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/>
  <xr:revisionPtr revIDLastSave="0" documentId="13_ncr:1_{67A2AF74-F396-47C6-9C0B-A8D89430D73D}" xr6:coauthVersionLast="47" xr6:coauthVersionMax="47" xr10:uidLastSave="{00000000-0000-0000-0000-000000000000}"/>
  <bookViews>
    <workbookView xWindow="-110" yWindow="-110" windowWidth="19420" windowHeight="10560" tabRatio="488" firstSheet="6" activeTab="8" xr2:uid="{00000000-000D-0000-FFFF-FFFF00000000}"/>
  </bookViews>
  <sheets>
    <sheet name="START" sheetId="2" r:id="rId1"/>
    <sheet name="debts" sheetId="17" r:id="rId2"/>
    <sheet name="jun 26 - jul 26" sheetId="20" r:id="rId3"/>
    <sheet name="may 26 - jun 26" sheetId="19" r:id="rId4"/>
    <sheet name="apr 26 - may 26" sheetId="16" r:id="rId5"/>
    <sheet name="mar 26 - apr 26" sheetId="15" r:id="rId6"/>
    <sheet name="feb 26 - mar 26" sheetId="14" r:id="rId7"/>
    <sheet name="Sheet1" sheetId="18" r:id="rId8"/>
    <sheet name="jan 26 - feb 26" sheetId="13" r:id="rId9"/>
    <sheet name="dec 26 - jan 26.2023" sheetId="12" r:id="rId10"/>
    <sheet name="nov 26 - dec 26" sheetId="11" r:id="rId11"/>
    <sheet name="oct 26 - nov 26" sheetId="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" i="12" l="1"/>
  <c r="C40" i="12"/>
  <c r="D40" i="13"/>
  <c r="C40" i="13"/>
  <c r="E4" i="12"/>
  <c r="E17" i="12"/>
  <c r="I2" i="18"/>
  <c r="I7" i="18"/>
  <c r="I37" i="17"/>
  <c r="E5" i="18"/>
  <c r="B12" i="18"/>
  <c r="J58" i="12"/>
  <c r="E2" i="11"/>
  <c r="E5" i="11"/>
  <c r="D13" i="11"/>
  <c r="C13" i="11"/>
  <c r="C23" i="11" s="1"/>
  <c r="C43" i="11"/>
  <c r="D45" i="11"/>
  <c r="C45" i="11"/>
  <c r="D30" i="11"/>
  <c r="C30" i="11"/>
  <c r="E6" i="11"/>
  <c r="E4" i="11"/>
  <c r="E44" i="11"/>
  <c r="D43" i="11"/>
  <c r="C46" i="11"/>
  <c r="E63" i="20"/>
  <c r="E62" i="20"/>
  <c r="J61" i="20"/>
  <c r="J6" i="20" s="1"/>
  <c r="E61" i="20"/>
  <c r="E60" i="20"/>
  <c r="J59" i="20"/>
  <c r="E59" i="20"/>
  <c r="E58" i="20"/>
  <c r="J57" i="20"/>
  <c r="I57" i="20"/>
  <c r="H57" i="20"/>
  <c r="E57" i="20"/>
  <c r="E64" i="20" s="1"/>
  <c r="J56" i="20"/>
  <c r="J55" i="20"/>
  <c r="J54" i="20"/>
  <c r="J53" i="20"/>
  <c r="E53" i="20"/>
  <c r="E52" i="20"/>
  <c r="E51" i="20"/>
  <c r="E50" i="20"/>
  <c r="J49" i="20"/>
  <c r="E49" i="20"/>
  <c r="E54" i="20" s="1"/>
  <c r="J48" i="20"/>
  <c r="J47" i="20"/>
  <c r="J50" i="20" s="1"/>
  <c r="D46" i="20"/>
  <c r="C46" i="20"/>
  <c r="E45" i="20"/>
  <c r="I44" i="20"/>
  <c r="H44" i="20"/>
  <c r="E44" i="20"/>
  <c r="J43" i="20"/>
  <c r="J44" i="20" s="1"/>
  <c r="E43" i="20"/>
  <c r="E46" i="20" s="1"/>
  <c r="J42" i="20"/>
  <c r="J41" i="20"/>
  <c r="E39" i="20"/>
  <c r="J38" i="20"/>
  <c r="E38" i="20"/>
  <c r="J37" i="20"/>
  <c r="E37" i="20"/>
  <c r="E40" i="20" s="1"/>
  <c r="J36" i="20"/>
  <c r="E36" i="20"/>
  <c r="J35" i="20"/>
  <c r="J34" i="20"/>
  <c r="D33" i="20"/>
  <c r="C33" i="20"/>
  <c r="E32" i="20"/>
  <c r="I31" i="20"/>
  <c r="H31" i="20"/>
  <c r="E31" i="20"/>
  <c r="J30" i="20"/>
  <c r="E30" i="20"/>
  <c r="J29" i="20"/>
  <c r="E29" i="20"/>
  <c r="J28" i="20"/>
  <c r="E28" i="20"/>
  <c r="J27" i="20"/>
  <c r="J26" i="20"/>
  <c r="E26" i="20"/>
  <c r="E33" i="20" s="1"/>
  <c r="J25" i="20"/>
  <c r="D23" i="20"/>
  <c r="C23" i="20"/>
  <c r="E22" i="20"/>
  <c r="J21" i="20"/>
  <c r="E21" i="20"/>
  <c r="J20" i="20"/>
  <c r="E20" i="20"/>
  <c r="J19" i="20"/>
  <c r="E19" i="20"/>
  <c r="J18" i="20"/>
  <c r="E18" i="20"/>
  <c r="J17" i="20"/>
  <c r="E17" i="20"/>
  <c r="J16" i="20"/>
  <c r="E16" i="20"/>
  <c r="J15" i="20"/>
  <c r="E15" i="20"/>
  <c r="J14" i="20"/>
  <c r="E14" i="20"/>
  <c r="J13" i="20"/>
  <c r="J22" i="20" s="1"/>
  <c r="E13" i="20"/>
  <c r="E23" i="20" s="1"/>
  <c r="E10" i="20"/>
  <c r="E6" i="20"/>
  <c r="E63" i="19"/>
  <c r="E62" i="19"/>
  <c r="J61" i="19"/>
  <c r="J4" i="19" s="1"/>
  <c r="E61" i="19"/>
  <c r="E60" i="19"/>
  <c r="J59" i="19"/>
  <c r="E59" i="19"/>
  <c r="E64" i="19" s="1"/>
  <c r="E58" i="19"/>
  <c r="I57" i="19"/>
  <c r="H57" i="19"/>
  <c r="E57" i="19"/>
  <c r="J56" i="19"/>
  <c r="J55" i="19"/>
  <c r="J54" i="19"/>
  <c r="J53" i="19"/>
  <c r="J57" i="19" s="1"/>
  <c r="E53" i="19"/>
  <c r="E52" i="19"/>
  <c r="E51" i="19"/>
  <c r="E50" i="19"/>
  <c r="J49" i="19"/>
  <c r="E49" i="19"/>
  <c r="E54" i="19" s="1"/>
  <c r="J48" i="19"/>
  <c r="J47" i="19"/>
  <c r="J50" i="19" s="1"/>
  <c r="D46" i="19"/>
  <c r="C46" i="19"/>
  <c r="E45" i="19"/>
  <c r="I44" i="19"/>
  <c r="H44" i="19"/>
  <c r="E44" i="19"/>
  <c r="E46" i="19" s="1"/>
  <c r="J43" i="19"/>
  <c r="E43" i="19"/>
  <c r="J42" i="19"/>
  <c r="J41" i="19"/>
  <c r="J44" i="19" s="1"/>
  <c r="E39" i="19"/>
  <c r="E38" i="19"/>
  <c r="J37" i="19"/>
  <c r="E37" i="19"/>
  <c r="J36" i="19"/>
  <c r="E36" i="19"/>
  <c r="E40" i="19" s="1"/>
  <c r="J35" i="19"/>
  <c r="J38" i="19" s="1"/>
  <c r="J34" i="19"/>
  <c r="D33" i="19"/>
  <c r="C33" i="19"/>
  <c r="E32" i="19"/>
  <c r="I31" i="19"/>
  <c r="H31" i="19"/>
  <c r="E31" i="19"/>
  <c r="J30" i="19"/>
  <c r="E30" i="19"/>
  <c r="J29" i="19"/>
  <c r="E29" i="19"/>
  <c r="J28" i="19"/>
  <c r="E28" i="19"/>
  <c r="J27" i="19"/>
  <c r="J26" i="19"/>
  <c r="E26" i="19"/>
  <c r="E33" i="19" s="1"/>
  <c r="J25" i="19"/>
  <c r="D23" i="19"/>
  <c r="C23" i="19"/>
  <c r="E22" i="19"/>
  <c r="J21" i="19"/>
  <c r="E21" i="19"/>
  <c r="J20" i="19"/>
  <c r="E20" i="19"/>
  <c r="J19" i="19"/>
  <c r="E19" i="19"/>
  <c r="J18" i="19"/>
  <c r="E18" i="19"/>
  <c r="J17" i="19"/>
  <c r="E17" i="19"/>
  <c r="J16" i="19"/>
  <c r="E16" i="19"/>
  <c r="J15" i="19"/>
  <c r="E15" i="19"/>
  <c r="J14" i="19"/>
  <c r="J22" i="19" s="1"/>
  <c r="E14" i="19"/>
  <c r="J13" i="19"/>
  <c r="E13" i="19"/>
  <c r="E23" i="19" s="1"/>
  <c r="E10" i="19"/>
  <c r="J6" i="19" s="1"/>
  <c r="E6" i="19"/>
  <c r="J30" i="16"/>
  <c r="J60" i="11"/>
  <c r="J55" i="12"/>
  <c r="H33" i="11"/>
  <c r="J36" i="17"/>
  <c r="J35" i="17"/>
  <c r="J34" i="17"/>
  <c r="J33" i="17"/>
  <c r="J32" i="17"/>
  <c r="J31" i="17"/>
  <c r="J30" i="17"/>
  <c r="E63" i="17"/>
  <c r="E62" i="17"/>
  <c r="E61" i="17"/>
  <c r="J67" i="17"/>
  <c r="E60" i="17"/>
  <c r="E59" i="17"/>
  <c r="J65" i="17"/>
  <c r="E58" i="17"/>
  <c r="E57" i="17"/>
  <c r="I63" i="17"/>
  <c r="H63" i="17"/>
  <c r="J62" i="17"/>
  <c r="J61" i="17"/>
  <c r="J60" i="17"/>
  <c r="E53" i="17"/>
  <c r="J59" i="17"/>
  <c r="E52" i="17"/>
  <c r="E51" i="17"/>
  <c r="E50" i="17"/>
  <c r="E49" i="17"/>
  <c r="J55" i="17"/>
  <c r="J54" i="17"/>
  <c r="J53" i="17"/>
  <c r="D46" i="17"/>
  <c r="C46" i="17"/>
  <c r="E45" i="17"/>
  <c r="E44" i="17"/>
  <c r="I50" i="17"/>
  <c r="H50" i="17"/>
  <c r="E43" i="17"/>
  <c r="J49" i="17"/>
  <c r="J48" i="17"/>
  <c r="J47" i="17"/>
  <c r="E39" i="17"/>
  <c r="E38" i="17"/>
  <c r="E37" i="17"/>
  <c r="J43" i="17"/>
  <c r="E36" i="17"/>
  <c r="J42" i="17"/>
  <c r="J41" i="17"/>
  <c r="J40" i="17"/>
  <c r="D33" i="17"/>
  <c r="C33" i="17"/>
  <c r="E32" i="17"/>
  <c r="E31" i="17"/>
  <c r="H37" i="17"/>
  <c r="E30" i="17"/>
  <c r="J29" i="17"/>
  <c r="E29" i="17"/>
  <c r="J28" i="17"/>
  <c r="E28" i="17"/>
  <c r="J27" i="17"/>
  <c r="J26" i="17"/>
  <c r="E26" i="17"/>
  <c r="J25" i="17"/>
  <c r="D23" i="17"/>
  <c r="C23" i="17"/>
  <c r="E22" i="17"/>
  <c r="J21" i="17"/>
  <c r="E21" i="17"/>
  <c r="J20" i="17"/>
  <c r="E20" i="17"/>
  <c r="J19" i="17"/>
  <c r="E19" i="17"/>
  <c r="J18" i="17"/>
  <c r="E18" i="17"/>
  <c r="J17" i="17"/>
  <c r="E17" i="17"/>
  <c r="J16" i="17"/>
  <c r="E16" i="17"/>
  <c r="J15" i="17"/>
  <c r="E15" i="17"/>
  <c r="J14" i="17"/>
  <c r="E14" i="17"/>
  <c r="J13" i="17"/>
  <c r="E13" i="17"/>
  <c r="E10" i="17"/>
  <c r="E6" i="17"/>
  <c r="J56" i="16"/>
  <c r="J55" i="16"/>
  <c r="J54" i="16"/>
  <c r="J61" i="16"/>
  <c r="J59" i="16"/>
  <c r="E63" i="16"/>
  <c r="E62" i="16"/>
  <c r="I57" i="16"/>
  <c r="H57" i="16"/>
  <c r="E61" i="16"/>
  <c r="E60" i="16"/>
  <c r="E59" i="16"/>
  <c r="E58" i="16"/>
  <c r="E57" i="16"/>
  <c r="J53" i="16"/>
  <c r="E53" i="16"/>
  <c r="E52" i="16"/>
  <c r="J49" i="16"/>
  <c r="E51" i="16"/>
  <c r="J48" i="16"/>
  <c r="E50" i="16"/>
  <c r="J47" i="16"/>
  <c r="E49" i="16"/>
  <c r="I44" i="16"/>
  <c r="H44" i="16"/>
  <c r="D46" i="16"/>
  <c r="C46" i="16"/>
  <c r="J43" i="16"/>
  <c r="E45" i="16"/>
  <c r="J42" i="16"/>
  <c r="E44" i="16"/>
  <c r="J41" i="16"/>
  <c r="E43" i="16"/>
  <c r="J37" i="16"/>
  <c r="E39" i="16"/>
  <c r="J36" i="16"/>
  <c r="E38" i="16"/>
  <c r="J35" i="16"/>
  <c r="E37" i="16"/>
  <c r="J34" i="16"/>
  <c r="E36" i="16"/>
  <c r="I31" i="16"/>
  <c r="H31" i="16"/>
  <c r="D33" i="16"/>
  <c r="C33" i="16"/>
  <c r="J29" i="16"/>
  <c r="E32" i="16"/>
  <c r="E31" i="16"/>
  <c r="E30" i="16"/>
  <c r="E29" i="16"/>
  <c r="J28" i="16"/>
  <c r="E28" i="16"/>
  <c r="J27" i="16"/>
  <c r="J26" i="16"/>
  <c r="E26" i="16"/>
  <c r="J25" i="16"/>
  <c r="D23" i="16"/>
  <c r="C23" i="16"/>
  <c r="E22" i="16"/>
  <c r="J21" i="16"/>
  <c r="E21" i="16"/>
  <c r="J20" i="16"/>
  <c r="E20" i="16"/>
  <c r="J19" i="16"/>
  <c r="E19" i="16"/>
  <c r="J18" i="16"/>
  <c r="E18" i="16"/>
  <c r="J17" i="16"/>
  <c r="E17" i="16"/>
  <c r="J16" i="16"/>
  <c r="E16" i="16"/>
  <c r="J15" i="16"/>
  <c r="E15" i="16"/>
  <c r="J14" i="16"/>
  <c r="E14" i="16"/>
  <c r="J13" i="16"/>
  <c r="E13" i="16"/>
  <c r="E10" i="16"/>
  <c r="E6" i="16"/>
  <c r="J65" i="15"/>
  <c r="J6" i="15" s="1"/>
  <c r="E64" i="15"/>
  <c r="J63" i="15"/>
  <c r="E63" i="15"/>
  <c r="E62" i="15"/>
  <c r="I61" i="15"/>
  <c r="H61" i="15"/>
  <c r="E61" i="15"/>
  <c r="J60" i="15"/>
  <c r="E60" i="15"/>
  <c r="J59" i="15"/>
  <c r="E59" i="15"/>
  <c r="J58" i="15"/>
  <c r="E58" i="15"/>
  <c r="J57" i="15"/>
  <c r="E57" i="15"/>
  <c r="J56" i="15"/>
  <c r="J55" i="15"/>
  <c r="E53" i="15"/>
  <c r="J52" i="15"/>
  <c r="E52" i="15"/>
  <c r="J51" i="15"/>
  <c r="E51" i="15"/>
  <c r="J50" i="15"/>
  <c r="E50" i="15"/>
  <c r="J49" i="15"/>
  <c r="E49" i="15"/>
  <c r="E54" i="15" s="1"/>
  <c r="I46" i="15"/>
  <c r="H46" i="15"/>
  <c r="D46" i="15"/>
  <c r="C46" i="15"/>
  <c r="J45" i="15"/>
  <c r="E45" i="15"/>
  <c r="J44" i="15"/>
  <c r="J46" i="15" s="1"/>
  <c r="E44" i="15"/>
  <c r="J43" i="15"/>
  <c r="E43" i="15"/>
  <c r="J39" i="15"/>
  <c r="E39" i="15"/>
  <c r="J38" i="15"/>
  <c r="E38" i="15"/>
  <c r="J37" i="15"/>
  <c r="E37" i="15"/>
  <c r="J36" i="15"/>
  <c r="J40" i="15" s="1"/>
  <c r="E36" i="15"/>
  <c r="E40" i="15" s="1"/>
  <c r="I33" i="15"/>
  <c r="H33" i="15"/>
  <c r="D33" i="15"/>
  <c r="C33" i="15"/>
  <c r="J32" i="15"/>
  <c r="E32" i="15"/>
  <c r="J31" i="15"/>
  <c r="E31" i="15"/>
  <c r="J30" i="15"/>
  <c r="E30" i="15"/>
  <c r="J29" i="15"/>
  <c r="E29" i="15"/>
  <c r="J28" i="15"/>
  <c r="E28" i="15"/>
  <c r="J27" i="15"/>
  <c r="J26" i="15"/>
  <c r="E26" i="15"/>
  <c r="J25" i="15"/>
  <c r="D23" i="15"/>
  <c r="C23" i="15"/>
  <c r="E22" i="15"/>
  <c r="J21" i="15"/>
  <c r="E21" i="15"/>
  <c r="J20" i="15"/>
  <c r="E20" i="15"/>
  <c r="J19" i="15"/>
  <c r="E19" i="15"/>
  <c r="J18" i="15"/>
  <c r="E18" i="15"/>
  <c r="J17" i="15"/>
  <c r="E17" i="15"/>
  <c r="J16" i="15"/>
  <c r="E16" i="15"/>
  <c r="J15" i="15"/>
  <c r="E15" i="15"/>
  <c r="J14" i="15"/>
  <c r="E14" i="15"/>
  <c r="J13" i="15"/>
  <c r="J22" i="15" s="1"/>
  <c r="E13" i="15"/>
  <c r="E10" i="15"/>
  <c r="E6" i="15"/>
  <c r="J65" i="14"/>
  <c r="J63" i="14"/>
  <c r="E63" i="14"/>
  <c r="E62" i="14"/>
  <c r="I61" i="14"/>
  <c r="H61" i="14"/>
  <c r="E61" i="14"/>
  <c r="J60" i="14"/>
  <c r="E60" i="14"/>
  <c r="J59" i="14"/>
  <c r="E59" i="14"/>
  <c r="J58" i="14"/>
  <c r="E58" i="14"/>
  <c r="J57" i="14"/>
  <c r="E57" i="14"/>
  <c r="E64" i="14" s="1"/>
  <c r="J56" i="14"/>
  <c r="J55" i="14"/>
  <c r="E54" i="14"/>
  <c r="E53" i="14"/>
  <c r="E52" i="14"/>
  <c r="J51" i="14"/>
  <c r="E51" i="14"/>
  <c r="J50" i="14"/>
  <c r="E50" i="14"/>
  <c r="J49" i="14"/>
  <c r="J52" i="14" s="1"/>
  <c r="E49" i="14"/>
  <c r="I46" i="14"/>
  <c r="H46" i="14"/>
  <c r="D46" i="14"/>
  <c r="C46" i="14"/>
  <c r="J45" i="14"/>
  <c r="E45" i="14"/>
  <c r="J44" i="14"/>
  <c r="E44" i="14"/>
  <c r="J43" i="14"/>
  <c r="E43" i="14"/>
  <c r="J39" i="14"/>
  <c r="E39" i="14"/>
  <c r="J38" i="14"/>
  <c r="E38" i="14"/>
  <c r="J37" i="14"/>
  <c r="E37" i="14"/>
  <c r="J36" i="14"/>
  <c r="J40" i="14" s="1"/>
  <c r="E36" i="14"/>
  <c r="E40" i="14" s="1"/>
  <c r="I33" i="14"/>
  <c r="H33" i="14"/>
  <c r="D33" i="14"/>
  <c r="C33" i="14"/>
  <c r="J32" i="14"/>
  <c r="E32" i="14"/>
  <c r="J31" i="14"/>
  <c r="E31" i="14"/>
  <c r="J30" i="14"/>
  <c r="E30" i="14"/>
  <c r="J29" i="14"/>
  <c r="E29" i="14"/>
  <c r="J28" i="14"/>
  <c r="E28" i="14"/>
  <c r="J27" i="14"/>
  <c r="J26" i="14"/>
  <c r="E26" i="14"/>
  <c r="J25" i="14"/>
  <c r="D23" i="14"/>
  <c r="C23" i="14"/>
  <c r="E22" i="14"/>
  <c r="J21" i="14"/>
  <c r="E21" i="14"/>
  <c r="J20" i="14"/>
  <c r="E20" i="14"/>
  <c r="J19" i="14"/>
  <c r="E19" i="14"/>
  <c r="J18" i="14"/>
  <c r="E18" i="14"/>
  <c r="J17" i="14"/>
  <c r="E17" i="14"/>
  <c r="J16" i="14"/>
  <c r="E16" i="14"/>
  <c r="J15" i="14"/>
  <c r="E15" i="14"/>
  <c r="J14" i="14"/>
  <c r="J22" i="14" s="1"/>
  <c r="E14" i="14"/>
  <c r="J13" i="14"/>
  <c r="E13" i="14"/>
  <c r="E10" i="14"/>
  <c r="E6" i="14"/>
  <c r="J65" i="13"/>
  <c r="J6" i="13" s="1"/>
  <c r="J63" i="13"/>
  <c r="E63" i="13"/>
  <c r="E62" i="13"/>
  <c r="I61" i="13"/>
  <c r="H61" i="13"/>
  <c r="E61" i="13"/>
  <c r="J60" i="13"/>
  <c r="E60" i="13"/>
  <c r="J59" i="13"/>
  <c r="E59" i="13"/>
  <c r="J58" i="13"/>
  <c r="E58" i="13"/>
  <c r="J57" i="13"/>
  <c r="E57" i="13"/>
  <c r="E64" i="13" s="1"/>
  <c r="J56" i="13"/>
  <c r="J55" i="13"/>
  <c r="E54" i="13"/>
  <c r="E53" i="13"/>
  <c r="E52" i="13"/>
  <c r="J51" i="13"/>
  <c r="E51" i="13"/>
  <c r="J50" i="13"/>
  <c r="E50" i="13"/>
  <c r="J49" i="13"/>
  <c r="J52" i="13" s="1"/>
  <c r="E49" i="13"/>
  <c r="I46" i="13"/>
  <c r="H46" i="13"/>
  <c r="D46" i="13"/>
  <c r="C46" i="13"/>
  <c r="J45" i="13"/>
  <c r="E45" i="13"/>
  <c r="J44" i="13"/>
  <c r="E44" i="13"/>
  <c r="J43" i="13"/>
  <c r="J46" i="13" s="1"/>
  <c r="E46" i="13"/>
  <c r="J39" i="13"/>
  <c r="E39" i="13"/>
  <c r="J38" i="13"/>
  <c r="E38" i="13"/>
  <c r="J37" i="13"/>
  <c r="E37" i="13"/>
  <c r="J36" i="13"/>
  <c r="J40" i="13" s="1"/>
  <c r="E36" i="13"/>
  <c r="I33" i="13"/>
  <c r="H33" i="13"/>
  <c r="D33" i="13"/>
  <c r="C33" i="13"/>
  <c r="J32" i="13"/>
  <c r="E32" i="13"/>
  <c r="J31" i="13"/>
  <c r="E31" i="13"/>
  <c r="J30" i="13"/>
  <c r="E30" i="13"/>
  <c r="J29" i="13"/>
  <c r="E29" i="13"/>
  <c r="J28" i="13"/>
  <c r="E28" i="13"/>
  <c r="J27" i="13"/>
  <c r="J26" i="13"/>
  <c r="E26" i="13"/>
  <c r="J25" i="13"/>
  <c r="D23" i="13"/>
  <c r="C23" i="13"/>
  <c r="E22" i="13"/>
  <c r="J21" i="13"/>
  <c r="E21" i="13"/>
  <c r="J20" i="13"/>
  <c r="E20" i="13"/>
  <c r="J19" i="13"/>
  <c r="E19" i="13"/>
  <c r="J18" i="13"/>
  <c r="E18" i="13"/>
  <c r="J17" i="13"/>
  <c r="E17" i="13"/>
  <c r="J16" i="13"/>
  <c r="E16" i="13"/>
  <c r="J15" i="13"/>
  <c r="E15" i="13"/>
  <c r="J14" i="13"/>
  <c r="J22" i="13" s="1"/>
  <c r="E14" i="13"/>
  <c r="J13" i="13"/>
  <c r="E13" i="13"/>
  <c r="E10" i="13"/>
  <c r="E6" i="13"/>
  <c r="J64" i="12"/>
  <c r="E63" i="12"/>
  <c r="E62" i="12"/>
  <c r="I60" i="12"/>
  <c r="H60" i="12"/>
  <c r="E61" i="12"/>
  <c r="E60" i="12"/>
  <c r="E59" i="12"/>
  <c r="J59" i="12"/>
  <c r="E58" i="12"/>
  <c r="J57" i="12"/>
  <c r="E57" i="12"/>
  <c r="J56" i="12"/>
  <c r="E53" i="12"/>
  <c r="E52" i="12"/>
  <c r="J51" i="12"/>
  <c r="E51" i="12"/>
  <c r="J50" i="12"/>
  <c r="E50" i="12"/>
  <c r="J49" i="12"/>
  <c r="E49" i="12"/>
  <c r="I46" i="12"/>
  <c r="H46" i="12"/>
  <c r="D46" i="12"/>
  <c r="C46" i="12"/>
  <c r="J45" i="12"/>
  <c r="E45" i="12"/>
  <c r="J44" i="12"/>
  <c r="E44" i="12"/>
  <c r="J43" i="12"/>
  <c r="E43" i="12"/>
  <c r="J39" i="12"/>
  <c r="E39" i="12"/>
  <c r="J38" i="12"/>
  <c r="E38" i="12"/>
  <c r="J37" i="12"/>
  <c r="E37" i="12"/>
  <c r="J36" i="12"/>
  <c r="E36" i="12"/>
  <c r="I33" i="12"/>
  <c r="H33" i="12"/>
  <c r="D33" i="12"/>
  <c r="C33" i="12"/>
  <c r="J32" i="12"/>
  <c r="E32" i="12"/>
  <c r="J31" i="12"/>
  <c r="E31" i="12"/>
  <c r="J30" i="12"/>
  <c r="E30" i="12"/>
  <c r="J29" i="12"/>
  <c r="E29" i="12"/>
  <c r="J28" i="12"/>
  <c r="E28" i="12"/>
  <c r="J27" i="12"/>
  <c r="J26" i="12"/>
  <c r="E26" i="12"/>
  <c r="J25" i="12"/>
  <c r="D23" i="12"/>
  <c r="C23" i="12"/>
  <c r="E22" i="12"/>
  <c r="J21" i="12"/>
  <c r="E21" i="12"/>
  <c r="J20" i="12"/>
  <c r="E20" i="12"/>
  <c r="J19" i="12"/>
  <c r="E19" i="12"/>
  <c r="J18" i="12"/>
  <c r="E18" i="12"/>
  <c r="J17" i="12"/>
  <c r="J16" i="12"/>
  <c r="E16" i="12"/>
  <c r="J15" i="12"/>
  <c r="E15" i="12"/>
  <c r="J14" i="12"/>
  <c r="E14" i="12"/>
  <c r="J13" i="12"/>
  <c r="E13" i="12"/>
  <c r="E10" i="12"/>
  <c r="I33" i="11"/>
  <c r="J65" i="11"/>
  <c r="E63" i="11"/>
  <c r="E62" i="11"/>
  <c r="I61" i="11"/>
  <c r="H61" i="11"/>
  <c r="E61" i="11"/>
  <c r="J59" i="11"/>
  <c r="E60" i="11"/>
  <c r="E59" i="11"/>
  <c r="J58" i="11"/>
  <c r="E58" i="11"/>
  <c r="J57" i="11"/>
  <c r="E57" i="11"/>
  <c r="J56" i="11"/>
  <c r="J55" i="11"/>
  <c r="E53" i="11"/>
  <c r="E52" i="11"/>
  <c r="J51" i="11"/>
  <c r="E51" i="11"/>
  <c r="J50" i="11"/>
  <c r="E50" i="11"/>
  <c r="J49" i="11"/>
  <c r="E49" i="11"/>
  <c r="I46" i="11"/>
  <c r="H46" i="11"/>
  <c r="D46" i="11"/>
  <c r="J45" i="11"/>
  <c r="E45" i="11"/>
  <c r="J44" i="11"/>
  <c r="J43" i="11"/>
  <c r="J39" i="11"/>
  <c r="E39" i="11"/>
  <c r="J38" i="11"/>
  <c r="E38" i="11"/>
  <c r="J37" i="11"/>
  <c r="E37" i="11"/>
  <c r="J36" i="11"/>
  <c r="E36" i="11"/>
  <c r="D33" i="11"/>
  <c r="C33" i="11"/>
  <c r="J32" i="11"/>
  <c r="E32" i="11"/>
  <c r="J31" i="11"/>
  <c r="E31" i="11"/>
  <c r="J30" i="11"/>
  <c r="E30" i="11"/>
  <c r="J29" i="11"/>
  <c r="E29" i="11"/>
  <c r="J28" i="11"/>
  <c r="E28" i="11"/>
  <c r="J27" i="11"/>
  <c r="J26" i="11"/>
  <c r="E26" i="11"/>
  <c r="J25" i="11"/>
  <c r="D23" i="11"/>
  <c r="E22" i="11"/>
  <c r="J21" i="11"/>
  <c r="E21" i="11"/>
  <c r="J20" i="11"/>
  <c r="E20" i="11"/>
  <c r="J19" i="11"/>
  <c r="E19" i="11"/>
  <c r="J18" i="11"/>
  <c r="E18" i="11"/>
  <c r="J17" i="11"/>
  <c r="E17" i="11"/>
  <c r="J16" i="11"/>
  <c r="E16" i="11"/>
  <c r="J15" i="11"/>
  <c r="E15" i="11"/>
  <c r="J14" i="11"/>
  <c r="E14" i="11"/>
  <c r="J13" i="11"/>
  <c r="E13" i="11"/>
  <c r="E10" i="11"/>
  <c r="J63" i="1"/>
  <c r="J65" i="1"/>
  <c r="J4" i="1" s="1"/>
  <c r="I61" i="1"/>
  <c r="H61" i="1"/>
  <c r="J60" i="1"/>
  <c r="J59" i="1"/>
  <c r="J32" i="1"/>
  <c r="D46" i="1"/>
  <c r="C46" i="1"/>
  <c r="J31" i="1"/>
  <c r="I46" i="1"/>
  <c r="H46" i="1"/>
  <c r="H33" i="1"/>
  <c r="D33" i="1"/>
  <c r="C33" i="1"/>
  <c r="C23" i="1"/>
  <c r="D23" i="1"/>
  <c r="E10" i="1"/>
  <c r="E6" i="1"/>
  <c r="J55" i="1"/>
  <c r="J56" i="1"/>
  <c r="J57" i="1"/>
  <c r="J58" i="1"/>
  <c r="J49" i="1"/>
  <c r="J50" i="1"/>
  <c r="J51" i="1"/>
  <c r="J43" i="1"/>
  <c r="J44" i="1"/>
  <c r="J45" i="1"/>
  <c r="J36" i="1"/>
  <c r="J37" i="1"/>
  <c r="J38" i="1"/>
  <c r="J39" i="1"/>
  <c r="J25" i="1"/>
  <c r="J26" i="1"/>
  <c r="J27" i="1"/>
  <c r="J28" i="1"/>
  <c r="J29" i="1"/>
  <c r="J30" i="1"/>
  <c r="J13" i="1"/>
  <c r="J14" i="1"/>
  <c r="J15" i="1"/>
  <c r="J16" i="1"/>
  <c r="J17" i="1"/>
  <c r="J18" i="1"/>
  <c r="J19" i="1"/>
  <c r="J20" i="1"/>
  <c r="J21" i="1"/>
  <c r="E57" i="1"/>
  <c r="E58" i="1"/>
  <c r="E59" i="1"/>
  <c r="E60" i="1"/>
  <c r="E61" i="1"/>
  <c r="E62" i="1"/>
  <c r="E63" i="1"/>
  <c r="E49" i="1"/>
  <c r="E50" i="1"/>
  <c r="E51" i="1"/>
  <c r="E52" i="1"/>
  <c r="E53" i="1"/>
  <c r="E43" i="1"/>
  <c r="E44" i="1"/>
  <c r="E45" i="1"/>
  <c r="E36" i="1"/>
  <c r="E37" i="1"/>
  <c r="E38" i="1"/>
  <c r="E39" i="1"/>
  <c r="E26" i="1"/>
  <c r="E28" i="1"/>
  <c r="E29" i="1"/>
  <c r="E30" i="1"/>
  <c r="E31" i="1"/>
  <c r="E32" i="1"/>
  <c r="E13" i="1"/>
  <c r="E14" i="1"/>
  <c r="E15" i="1"/>
  <c r="E16" i="1"/>
  <c r="E17" i="1"/>
  <c r="E18" i="1"/>
  <c r="E19" i="1"/>
  <c r="E20" i="1"/>
  <c r="E21" i="1"/>
  <c r="E22" i="1"/>
  <c r="E40" i="13" l="1"/>
  <c r="E33" i="15"/>
  <c r="E33" i="13"/>
  <c r="E6" i="12"/>
  <c r="J4" i="12" s="1"/>
  <c r="E7" i="18"/>
  <c r="E23" i="15"/>
  <c r="E46" i="15"/>
  <c r="E46" i="14"/>
  <c r="E54" i="12"/>
  <c r="E43" i="11"/>
  <c r="E46" i="11" s="1"/>
  <c r="J63" i="11"/>
  <c r="J67" i="11" s="1"/>
  <c r="J4" i="16"/>
  <c r="J40" i="12"/>
  <c r="J52" i="12"/>
  <c r="J22" i="12"/>
  <c r="E64" i="12"/>
  <c r="E33" i="12"/>
  <c r="E40" i="12"/>
  <c r="E46" i="12"/>
  <c r="J31" i="19"/>
  <c r="J63" i="20"/>
  <c r="J4" i="20"/>
  <c r="J8" i="20" s="1"/>
  <c r="J31" i="20"/>
  <c r="J8" i="19"/>
  <c r="J63" i="19"/>
  <c r="J46" i="12"/>
  <c r="E23" i="13"/>
  <c r="J62" i="12"/>
  <c r="J66" i="12" s="1"/>
  <c r="E23" i="12"/>
  <c r="J22" i="11"/>
  <c r="J46" i="11"/>
  <c r="J52" i="11"/>
  <c r="E54" i="11"/>
  <c r="E64" i="11"/>
  <c r="E40" i="11"/>
  <c r="J40" i="11"/>
  <c r="J4" i="11"/>
  <c r="J46" i="14"/>
  <c r="E23" i="14"/>
  <c r="E33" i="11"/>
  <c r="E23" i="11"/>
  <c r="E40" i="17"/>
  <c r="E33" i="17"/>
  <c r="J56" i="17"/>
  <c r="J22" i="17"/>
  <c r="E54" i="17"/>
  <c r="J4" i="17"/>
  <c r="E64" i="17"/>
  <c r="J44" i="17"/>
  <c r="J63" i="17"/>
  <c r="E46" i="17"/>
  <c r="J50" i="17"/>
  <c r="J37" i="17"/>
  <c r="J6" i="17"/>
  <c r="J69" i="17"/>
  <c r="E23" i="17"/>
  <c r="J22" i="16"/>
  <c r="E40" i="16"/>
  <c r="E46" i="16"/>
  <c r="J57" i="16"/>
  <c r="J31" i="16"/>
  <c r="J63" i="16"/>
  <c r="J50" i="16"/>
  <c r="E64" i="16"/>
  <c r="J6" i="16"/>
  <c r="J38" i="16"/>
  <c r="E33" i="16"/>
  <c r="E54" i="16"/>
  <c r="E23" i="16"/>
  <c r="J44" i="16"/>
  <c r="J33" i="14"/>
  <c r="J33" i="15"/>
  <c r="J4" i="14"/>
  <c r="J33" i="13"/>
  <c r="J6" i="12"/>
  <c r="J33" i="12"/>
  <c r="J4" i="15"/>
  <c r="J8" i="15" s="1"/>
  <c r="J67" i="15"/>
  <c r="J61" i="15"/>
  <c r="J6" i="14"/>
  <c r="E33" i="14"/>
  <c r="J61" i="14"/>
  <c r="J60" i="12"/>
  <c r="J67" i="13"/>
  <c r="J4" i="13"/>
  <c r="J8" i="13" s="1"/>
  <c r="J61" i="13"/>
  <c r="J67" i="14"/>
  <c r="J61" i="11"/>
  <c r="J6" i="11"/>
  <c r="J33" i="11"/>
  <c r="J40" i="1"/>
  <c r="J33" i="1"/>
  <c r="J6" i="1"/>
  <c r="J8" i="1" s="1"/>
  <c r="E46" i="1"/>
  <c r="E23" i="1"/>
  <c r="E64" i="1"/>
  <c r="J46" i="1"/>
  <c r="J67" i="1"/>
  <c r="E40" i="1"/>
  <c r="E54" i="1"/>
  <c r="J52" i="1"/>
  <c r="J61" i="1"/>
  <c r="E33" i="1"/>
  <c r="J22" i="1"/>
  <c r="J8" i="12" l="1"/>
  <c r="J8" i="11"/>
  <c r="J8" i="14"/>
  <c r="J8" i="17"/>
  <c r="J8" i="16"/>
</calcChain>
</file>

<file path=xl/sharedStrings.xml><?xml version="1.0" encoding="utf-8"?>
<sst xmlns="http://schemas.openxmlformats.org/spreadsheetml/2006/main" count="1578" uniqueCount="177">
  <si>
    <t>PROJECTED MONTHLY INCOME</t>
  </si>
  <si>
    <t>Income 1</t>
  </si>
  <si>
    <t>Extra income</t>
  </si>
  <si>
    <t>Total monthly income</t>
  </si>
  <si>
    <t>ACTUAL MONTHLY INCOME</t>
  </si>
  <si>
    <t>HOUSING</t>
  </si>
  <si>
    <t>Projected Cost</t>
  </si>
  <si>
    <t>Actual Cost</t>
  </si>
  <si>
    <t>Difference</t>
  </si>
  <si>
    <t>ENTERTAINMENT</t>
  </si>
  <si>
    <t>Mortgage or rent</t>
  </si>
  <si>
    <t>Video/DVD</t>
  </si>
  <si>
    <t>Phone</t>
  </si>
  <si>
    <t>CDs</t>
  </si>
  <si>
    <t>Electricity</t>
  </si>
  <si>
    <t>Movies</t>
  </si>
  <si>
    <t>Gas</t>
  </si>
  <si>
    <t>Concerts</t>
  </si>
  <si>
    <t>Water and sewer</t>
  </si>
  <si>
    <t>Sporting events</t>
  </si>
  <si>
    <t>Cable</t>
  </si>
  <si>
    <t>Live theater</t>
  </si>
  <si>
    <t>Waste removal</t>
  </si>
  <si>
    <t>Other</t>
  </si>
  <si>
    <t>Maintenance or repairs</t>
  </si>
  <si>
    <t>Supplies</t>
  </si>
  <si>
    <t>LOANS</t>
  </si>
  <si>
    <t>TRANSPORTATION</t>
  </si>
  <si>
    <t>Personal</t>
  </si>
  <si>
    <t>Vehicle payment</t>
  </si>
  <si>
    <t>Bus/taxi fare</t>
  </si>
  <si>
    <t>Insurance</t>
  </si>
  <si>
    <t>Licensing</t>
  </si>
  <si>
    <t>Fuel</t>
  </si>
  <si>
    <t>Maintenance</t>
  </si>
  <si>
    <t>TAXES</t>
  </si>
  <si>
    <t>Federal</t>
  </si>
  <si>
    <t>INSURANCE</t>
  </si>
  <si>
    <t>State</t>
  </si>
  <si>
    <t>Home</t>
  </si>
  <si>
    <t>Local</t>
  </si>
  <si>
    <t>Health</t>
  </si>
  <si>
    <t>Life</t>
  </si>
  <si>
    <t>SAVINGS OR INVESTMENTS</t>
  </si>
  <si>
    <t>Retirement account</t>
  </si>
  <si>
    <t>FOOD</t>
  </si>
  <si>
    <t>Investment account</t>
  </si>
  <si>
    <t>Groceries</t>
  </si>
  <si>
    <t>GIFTS AND DONATIONS</t>
  </si>
  <si>
    <t>Charity 1</t>
  </si>
  <si>
    <t>PETS</t>
  </si>
  <si>
    <t>Charity 2</t>
  </si>
  <si>
    <t>Food</t>
  </si>
  <si>
    <t>Charity 3</t>
  </si>
  <si>
    <t>Medical</t>
  </si>
  <si>
    <t>Grooming</t>
  </si>
  <si>
    <t>Toys</t>
  </si>
  <si>
    <t>PERSONAL CARE</t>
  </si>
  <si>
    <t>Hair/nails</t>
  </si>
  <si>
    <t>Clothing</t>
  </si>
  <si>
    <t>TOTAL PROJECTED COST</t>
  </si>
  <si>
    <t>Dry cleaning</t>
  </si>
  <si>
    <t>Health club</t>
  </si>
  <si>
    <t>TOTAL ACTUAL COST</t>
  </si>
  <si>
    <t>Organization dues or fees</t>
  </si>
  <si>
    <t>TOTAL DIFFERENCE</t>
  </si>
  <si>
    <t>Subtotal</t>
  </si>
  <si>
    <t>DIFFERENCE 
(Actual minus projected)</t>
  </si>
  <si>
    <t>Use this Personal Monthly Budget worksheet to track your Projected and Actual Monthly Income and Projected and Actual Cost.</t>
  </si>
  <si>
    <t>Enter expenses incurred on various categories in respective tables.</t>
  </si>
  <si>
    <t>Note: </t>
  </si>
  <si>
    <t>Additional instructions have been provided in column A in PERSONAL MONTHLY BUDGET worksheet. This text has been intentionally hidden. To remove text, select column A, then select DELETE. To unhide text, select column A, then change font color.</t>
  </si>
  <si>
    <t>To learn more about tables in the worksheet, press SHIFT and then F10 within a table, select the TABLE option, and then select ALTERNATIVE TEXT.</t>
  </si>
  <si>
    <t>ABOUT THIS TEMPLATE</t>
  </si>
  <si>
    <t>Create a Personal Monthly Budget in this worksheet. Helpful instructions on how to use this worksheet are in cells in this column. Arrow down to get started.</t>
  </si>
  <si>
    <t>Title of this worksheet is in cell at right. Next instruction is in cell A4.</t>
  </si>
  <si>
    <t>Projected Balance, Actual Balance, and Difference are auto calculated.</t>
  </si>
  <si>
    <t>Projected Monthly Income label is in cell at right. Enter Income 1 in cell E4 and Extra Income in E5 to calculate Total monthly income in E6. Next instruction is in cell A6.</t>
  </si>
  <si>
    <t>Projected Balance is auto calculated in cell J4, Actual Balance in J6, and Difference in J8. Next instruction is in cell A8.</t>
  </si>
  <si>
    <t>Actual Monthly Income label is in cell at right. Enter Income 1 in cell E8 and Extra Income in E9 to calculate Total monthly income in E10. Next instruction is in cell A12.</t>
  </si>
  <si>
    <t>Enter details in Housing table starting in cell at right and in Entertainment table starting in cell G12. Next instruction is in cell A25.</t>
  </si>
  <si>
    <t>Enter details in Transportation table starting in cell at right and in Loans table starting in cell G24. Next instruction is in cell A35.</t>
  </si>
  <si>
    <t>Enter details in Insurance table starting in cell at right and in Taxes table starting in cell G33. Next instruction is in cell A42.</t>
  </si>
  <si>
    <t>Enter details in Food table starting in cell at right and in Savings table starting in cell G40. Next instruction is in cell A48.</t>
  </si>
  <si>
    <t>Enter details in Pets table starting in cell at right and in Gifts table starting in cell G46. Next instruction is in cell A56.</t>
  </si>
  <si>
    <t>Enter details in Personal Care table starting in cell at right and in Legal table starting in cell G52. Next instruction is in cell A59.</t>
  </si>
  <si>
    <t>Total Projected Cost is auto calculated in cell J59, Total Actual Cost in J61, and Total Difference in J63.</t>
  </si>
  <si>
    <t>Tv</t>
  </si>
  <si>
    <t>ICICI Credit card</t>
  </si>
  <si>
    <t>RBL Credit card</t>
  </si>
  <si>
    <t>PERSONAL MONTHLY BUDGET OCT 26 - NOV 26</t>
  </si>
  <si>
    <t>Gold</t>
  </si>
  <si>
    <t>PERSONAL MONTHLY BUDGET NOV 26 - DEC 26</t>
  </si>
  <si>
    <t>Lazy Pay</t>
  </si>
  <si>
    <t>Veggies</t>
  </si>
  <si>
    <t>Cash E</t>
  </si>
  <si>
    <t>TOTAL SPENT
(Actual income minus expenses)</t>
  </si>
  <si>
    <t>REAMING BALANCE
(Projected income minus expenses)</t>
  </si>
  <si>
    <t>Milk</t>
  </si>
  <si>
    <t>IPAD</t>
  </si>
  <si>
    <t>Others</t>
  </si>
  <si>
    <t>ACT</t>
  </si>
  <si>
    <t>PERSONAL MONTHLY BUDGET JAN 26 - FEB 26</t>
  </si>
  <si>
    <t>Pinni</t>
  </si>
  <si>
    <t>Satya</t>
  </si>
  <si>
    <t>PERSONAL MONTHLY BUDGET FEB 26 - MAR 26</t>
  </si>
  <si>
    <t>CHINNI EXPENSES</t>
  </si>
  <si>
    <t>PG RENT</t>
  </si>
  <si>
    <t>CASHE</t>
  </si>
  <si>
    <t>Early Salary</t>
  </si>
  <si>
    <t>Simple</t>
  </si>
  <si>
    <t>Chinni income</t>
  </si>
  <si>
    <t>Paytm</t>
  </si>
  <si>
    <t>Zest</t>
  </si>
  <si>
    <t>z</t>
  </si>
  <si>
    <t>PERSONAL MONTHLY BUDGET DEC 26 - JAN 26.2023</t>
  </si>
  <si>
    <t>glass door</t>
  </si>
  <si>
    <t>Personal Gold</t>
  </si>
  <si>
    <t>satya</t>
  </si>
  <si>
    <t>pinni</t>
  </si>
  <si>
    <t>meena</t>
  </si>
  <si>
    <t>cashe</t>
  </si>
  <si>
    <t>moneyview</t>
  </si>
  <si>
    <t>Bava</t>
  </si>
  <si>
    <t>Money View</t>
  </si>
  <si>
    <t>Zest new</t>
  </si>
  <si>
    <t>simple</t>
  </si>
  <si>
    <t>tv</t>
  </si>
  <si>
    <t>rbl</t>
  </si>
  <si>
    <t>Zest New</t>
  </si>
  <si>
    <t>Column1</t>
  </si>
  <si>
    <t>-</t>
  </si>
  <si>
    <t>TV</t>
  </si>
  <si>
    <t>PERSONAL MONTHLY BUDGET MAY 26 - JUNE 26</t>
  </si>
  <si>
    <t>PERSONAL MONTHLY BUDGET JUN 26 - JUL 26</t>
  </si>
  <si>
    <t>ttl</t>
  </si>
  <si>
    <t>rental agreement</t>
  </si>
  <si>
    <t>cpu</t>
  </si>
  <si>
    <t>ACT (15/12/22)</t>
  </si>
  <si>
    <t>Rent Advance</t>
  </si>
  <si>
    <t>tiffin</t>
  </si>
  <si>
    <t>Shifting</t>
  </si>
  <si>
    <t>chinni bus ticket</t>
  </si>
  <si>
    <t>1k advance paid</t>
  </si>
  <si>
    <t>Tablets</t>
  </si>
  <si>
    <t>Act</t>
  </si>
  <si>
    <t>Rm : 3</t>
  </si>
  <si>
    <t>Rm : 5</t>
  </si>
  <si>
    <t>Rm : 2</t>
  </si>
  <si>
    <t>Rm : 4</t>
  </si>
  <si>
    <t>Rm : 0</t>
  </si>
  <si>
    <t>PERSONAL MONTHLY BUDGET MAR 26 - APR 26</t>
  </si>
  <si>
    <t>PERSONAL MONTHLY BUDGET Apr 26 - May 26</t>
  </si>
  <si>
    <t>CMR</t>
  </si>
  <si>
    <t>Remaining</t>
  </si>
  <si>
    <t>keerthi</t>
  </si>
  <si>
    <t>c</t>
  </si>
  <si>
    <t>Phone Recharge</t>
  </si>
  <si>
    <t>icici</t>
  </si>
  <si>
    <t>chinni</t>
  </si>
  <si>
    <t>sindu mom</t>
  </si>
  <si>
    <t>yshu</t>
  </si>
  <si>
    <t>salary</t>
  </si>
  <si>
    <t>rm</t>
  </si>
  <si>
    <t>res</t>
  </si>
  <si>
    <t>Cashe</t>
  </si>
  <si>
    <t>gold</t>
  </si>
  <si>
    <t xml:space="preserve">cashe </t>
  </si>
  <si>
    <t>zest</t>
  </si>
  <si>
    <t xml:space="preserve">moneyview </t>
  </si>
  <si>
    <t xml:space="preserve">simple </t>
  </si>
  <si>
    <t>es</t>
  </si>
  <si>
    <t>sum</t>
  </si>
  <si>
    <t>Keerthi</t>
  </si>
  <si>
    <t>RBL</t>
  </si>
  <si>
    <t>Airtel</t>
  </si>
  <si>
    <t>NPS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</si>
</sst>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11" x14ac:knownFonts="1">
    <font>
      <sz val="10"/>
      <color theme="1" tint="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 tint="0.24994659260841701"/>
      <name val="Century Gothic"/>
      <family val="2"/>
      <scheme val="major"/>
    </font>
    <font>
      <b/>
      <sz val="10"/>
      <color theme="1" tint="0.24994659260841701"/>
      <name val="Century Gothic"/>
      <family val="2"/>
      <scheme val="major"/>
    </font>
    <font>
      <sz val="22"/>
      <color theme="3" tint="0.24994659260841701"/>
      <name val="Century Gothic"/>
      <family val="2"/>
      <scheme val="major"/>
    </font>
    <font>
      <sz val="11"/>
      <color theme="0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6"/>
      <color theme="1" tint="0.24994659260841701"/>
      <name val="Century Gothic"/>
      <family val="2"/>
      <scheme val="major"/>
    </font>
    <font>
      <sz val="10"/>
      <color theme="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medium">
        <color theme="4" tint="-0.249946592608417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4">
    <xf numFmtId="0" fontId="0" fillId="0" borderId="0"/>
    <xf numFmtId="0" fontId="4" fillId="0" borderId="7" applyNumberFormat="0" applyFill="0" applyAlignment="0" applyProtection="0"/>
    <xf numFmtId="0" fontId="2" fillId="0" borderId="8" applyNumberFormat="0" applyFill="0" applyBorder="0" applyAlignment="0" applyProtection="0"/>
    <xf numFmtId="0" fontId="3" fillId="0" borderId="9" applyNumberFormat="0" applyFill="0" applyBorder="0" applyAlignment="0" applyProtection="0"/>
  </cellStyleXfs>
  <cellXfs count="44">
    <xf numFmtId="0" fontId="0" fillId="0" borderId="0" xfId="0"/>
    <xf numFmtId="0" fontId="4" fillId="0" borderId="7" xfId="1"/>
    <xf numFmtId="0" fontId="1" fillId="0" borderId="0" xfId="0" applyFont="1"/>
    <xf numFmtId="164" fontId="0" fillId="0" borderId="0" xfId="0" applyNumberFormat="1"/>
    <xf numFmtId="0" fontId="2" fillId="0" borderId="0" xfId="0" applyFont="1"/>
    <xf numFmtId="8" fontId="2" fillId="0" borderId="2" xfId="0" applyNumberFormat="1" applyFont="1" applyFill="1" applyBorder="1"/>
    <xf numFmtId="8" fontId="2" fillId="0" borderId="3" xfId="0" applyNumberFormat="1" applyFont="1" applyFill="1" applyBorder="1"/>
    <xf numFmtId="8" fontId="3" fillId="2" borderId="4" xfId="0" applyNumberFormat="1" applyFont="1" applyFill="1" applyBorder="1"/>
    <xf numFmtId="0" fontId="0" fillId="0" borderId="0" xfId="0" applyFont="1" applyFill="1" applyBorder="1"/>
    <xf numFmtId="164" fontId="0" fillId="0" borderId="0" xfId="0" applyNumberFormat="1" applyFont="1" applyFill="1" applyBorder="1"/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5" fillId="0" borderId="0" xfId="0" applyFont="1"/>
    <xf numFmtId="0" fontId="9" fillId="0" borderId="0" xfId="0" applyFont="1"/>
    <xf numFmtId="0" fontId="8" fillId="3" borderId="0" xfId="2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ont="1" applyFill="1" applyBorder="1"/>
    <xf numFmtId="0" fontId="0" fillId="4" borderId="0" xfId="0" applyFill="1"/>
    <xf numFmtId="0" fontId="0" fillId="4" borderId="10" xfId="0" applyFill="1" applyBorder="1"/>
    <xf numFmtId="0" fontId="0" fillId="0" borderId="10" xfId="0" applyBorder="1"/>
    <xf numFmtId="8" fontId="2" fillId="0" borderId="10" xfId="0" applyNumberFormat="1" applyFont="1" applyFill="1" applyBorder="1"/>
    <xf numFmtId="6" fontId="4" fillId="0" borderId="7" xfId="1" applyNumberFormat="1"/>
    <xf numFmtId="0" fontId="0" fillId="5" borderId="0" xfId="0" applyFill="1"/>
    <xf numFmtId="164" fontId="0" fillId="5" borderId="0" xfId="0" applyNumberFormat="1" applyFill="1"/>
    <xf numFmtId="0" fontId="0" fillId="0" borderId="0" xfId="0" applyFill="1"/>
    <xf numFmtId="0" fontId="0" fillId="6" borderId="0" xfId="0" applyFont="1" applyFill="1" applyBorder="1"/>
    <xf numFmtId="164" fontId="0" fillId="6" borderId="0" xfId="0" applyNumberFormat="1" applyFont="1" applyFill="1" applyBorder="1"/>
    <xf numFmtId="0" fontId="0" fillId="7" borderId="0" xfId="0" applyFill="1"/>
    <xf numFmtId="164" fontId="0" fillId="7" borderId="0" xfId="0" applyNumberFormat="1" applyFill="1"/>
    <xf numFmtId="0" fontId="0" fillId="7" borderId="0" xfId="0" applyFont="1" applyFill="1" applyBorder="1"/>
    <xf numFmtId="164" fontId="0" fillId="7" borderId="0" xfId="0" applyNumberFormat="1" applyFont="1" applyFill="1" applyBorder="1"/>
    <xf numFmtId="0" fontId="0" fillId="8" borderId="0" xfId="0" applyFill="1"/>
    <xf numFmtId="164" fontId="0" fillId="8" borderId="0" xfId="0" applyNumberFormat="1" applyFill="1"/>
    <xf numFmtId="0" fontId="2" fillId="0" borderId="2" xfId="2" applyBorder="1" applyAlignment="1">
      <alignment vertical="center" wrapText="1"/>
    </xf>
    <xf numFmtId="0" fontId="2" fillId="0" borderId="3" xfId="2" applyBorder="1" applyAlignment="1">
      <alignment vertical="center" wrapText="1"/>
    </xf>
    <xf numFmtId="0" fontId="2" fillId="0" borderId="4" xfId="2" applyBorder="1" applyAlignment="1">
      <alignment vertical="center" wrapText="1"/>
    </xf>
    <xf numFmtId="0" fontId="2" fillId="0" borderId="5" xfId="2" applyBorder="1" applyAlignment="1">
      <alignment vertical="center"/>
    </xf>
    <xf numFmtId="0" fontId="2" fillId="0" borderId="6" xfId="2" applyBorder="1" applyAlignment="1">
      <alignment vertical="center"/>
    </xf>
    <xf numFmtId="0" fontId="2" fillId="0" borderId="1" xfId="2" applyBorder="1" applyAlignment="1">
      <alignment horizontal="left" vertical="center" wrapText="1"/>
    </xf>
    <xf numFmtId="0" fontId="2" fillId="0" borderId="1" xfId="2" applyBorder="1" applyAlignment="1">
      <alignment horizontal="left" vertical="center"/>
    </xf>
    <xf numFmtId="8" fontId="3" fillId="2" borderId="1" xfId="0" applyNumberFormat="1" applyFont="1" applyFill="1" applyBorder="1" applyAlignment="1">
      <alignment vertical="center"/>
    </xf>
    <xf numFmtId="0" fontId="0" fillId="0" borderId="0" xfId="0" applyAlignment="1">
      <alignment horizontal="center"/>
    </xf>
    <xf numFmtId="0" fontId="3" fillId="0" borderId="1" xfId="3" applyBorder="1" applyAlignment="1">
      <alignment horizontal="left" vertical="center"/>
    </xf>
    <xf numFmtId="0" fontId="2" fillId="0" borderId="11" xfId="2" applyBorder="1" applyAlignment="1">
      <alignment vertical="center"/>
    </xf>
  </cellXfs>
  <cellStyles count="4">
    <cellStyle name="Heading 1" xfId="1" builtinId="16" customBuiltin="1"/>
    <cellStyle name="Heading 2" xfId="2" builtinId="17" customBuiltin="1"/>
    <cellStyle name="Heading 3" xfId="3" builtinId="18" customBuiltin="1"/>
    <cellStyle name="Normal" xfId="0" builtinId="0" customBuiltin="1"/>
  </cellStyles>
  <dxfs count="711">
    <dxf>
      <numFmt numFmtId="164" formatCode="&quot;$&quot;#,##0.0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0" formatCode="General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color rgb="FFC00000"/>
      </font>
    </dxf>
    <dxf>
      <font>
        <color rgb="FFC0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color rgb="FFC00000"/>
      </font>
    </dxf>
    <dxf>
      <font>
        <color rgb="FFC0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color rgb="FFC00000"/>
      </font>
    </dxf>
    <dxf>
      <font>
        <color rgb="FFC0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0" formatCode="General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color rgb="FFC00000"/>
      </font>
    </dxf>
    <dxf>
      <font>
        <color rgb="FFC0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color rgb="FFC00000"/>
      </font>
    </dxf>
    <dxf>
      <font>
        <color rgb="FFC0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0" formatCode="General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color rgb="FFC00000"/>
      </font>
    </dxf>
    <dxf>
      <font>
        <color rgb="FFC0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0" formatCode="General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color rgb="FFC00000"/>
      </font>
    </dxf>
    <dxf>
      <font>
        <color rgb="FFC0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0" formatCode="General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color rgb="FFC00000"/>
      </font>
    </dxf>
    <dxf>
      <font>
        <color rgb="FFC0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0" formatCode="General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color rgb="FFC00000"/>
      </font>
    </dxf>
    <dxf>
      <font>
        <color rgb="FFC0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color rgb="FFC00000"/>
      </font>
    </dxf>
    <dxf>
      <font>
        <color rgb="FFC00000"/>
      </font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 val="0"/>
        <i val="0"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</dxfs>
  <tableStyles count="1" defaultTableStyle="TableStyleLight9" defaultPivotStyle="PivotStyleLight16">
    <tableStyle name="Personal monthly budget" pivot="0" count="7" xr9:uid="{DF2684C2-C435-47FA-9646-E632C3AE8948}">
      <tableStyleElement type="wholeTable" dxfId="710"/>
      <tableStyleElement type="headerRow" dxfId="709"/>
      <tableStyleElement type="totalRow" dxfId="708"/>
      <tableStyleElement type="firstColumn" dxfId="707"/>
      <tableStyleElement type="lastColumn" dxfId="706"/>
      <tableStyleElement type="firstRowStripe" dxfId="705"/>
      <tableStyleElement type="firstColumnStripe" dxfId="70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2728A9C2-29B3-4905-876A-63CBFB20E0CA}" name="Housing25374961731486" displayName="Housing25374961731486" ref="B12:E23" totalsRowCount="1">
  <autoFilter ref="B12:E22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1" xr3:uid="{F7479BD9-CD64-4FA6-996E-F797F5584FC6}" name="HOUSING" totalsRowLabel="Subtotal" totalsRowDxfId="701"/>
    <tableColumn id="2" xr3:uid="{B59C903F-5FA5-4435-ADB5-D09720FC5464}" name="Projected Cost" totalsRowFunction="sum" totalsRowDxfId="700"/>
    <tableColumn id="3" xr3:uid="{1AAB384D-2ADA-4412-9728-C7D38AD8E4F6}" name="Actual Cost" totalsRowFunction="sum" totalsRowDxfId="699"/>
    <tableColumn id="4" xr3:uid="{B84A5EFE-43DF-4B00-BF8A-B6FE77CA76CC}" name="Difference" totalsRowFunction="sum" totalsRowDxfId="698">
      <calculatedColumnFormula>Housing25374961731486[[#This Row],[Projected Cost]]-Housing25374961731486[[#This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Housing Costs in this table. Difference is auto calculated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FFF651EF-D63B-41EF-8A3F-DFBACB2EE3B7}" name="Pets34465870822395" displayName="Pets34465870822395" ref="B48:E54" totalsRowCount="1">
  <autoFilter ref="B48:E53" xr:uid="{00000000-0009-0000-0100-00000A000000}">
    <filterColumn colId="0" hiddenButton="1"/>
    <filterColumn colId="1" hiddenButton="1"/>
    <filterColumn colId="2" hiddenButton="1"/>
    <filterColumn colId="3" hiddenButton="1"/>
  </autoFilter>
  <tableColumns count="4">
    <tableColumn id="1" xr3:uid="{B7673ED8-EEA6-4AF2-8A20-C86F1D7E52F0}" name="PETS" totalsRowLabel="Subtotal"/>
    <tableColumn id="2" xr3:uid="{9D384AF3-9D19-429F-9325-AADBABB28CEA}" name="Projected Cost" dataDxfId="649" totalsRowDxfId="648"/>
    <tableColumn id="3" xr3:uid="{D4219341-09DF-4112-8844-3B0750BBF559}" name="Actual Cost" dataDxfId="647" totalsRowDxfId="646"/>
    <tableColumn id="4" xr3:uid="{E5212A34-824C-40A9-B2FE-CD3183014563}" name="Difference" totalsRowFunction="sum" dataDxfId="645" totalsRowDxfId="644">
      <calculatedColumnFormula>Pets34465870822395[[#This Row],[Projected Cost]]-Pets34465870822395[[#This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Pets Costs in this table. Difference is auto calculated"/>
    </ext>
  </extLst>
</table>
</file>

<file path=xl/tables/table1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85294193-5A9B-4A6A-B03F-6C7CEB70D444}" name="Transportation28" displayName="Transportation28" ref="B25:E33" totalsRowCount="1" headerRowCellStyle="Normal">
  <autoFilter ref="B25:E32" xr:uid="{00000000-0009-0000-0100-000004000000}">
    <filterColumn colId="0" hiddenButton="1"/>
    <filterColumn colId="1" hiddenButton="1"/>
    <filterColumn colId="2" hiddenButton="1"/>
    <filterColumn colId="3" hiddenButton="1"/>
  </autoFilter>
  <tableColumns count="4">
    <tableColumn id="1" xr3:uid="{094B0C87-A66F-48B1-8E92-2C0E50988547}" name="TRANSPORTATION" totalsRowLabel="Subtotal"/>
    <tableColumn id="2" xr3:uid="{76913A91-FABC-41BF-BA28-D1F5BED35D43}" name="Projected Cost" totalsRowFunction="sum" dataDxfId="124" totalsRowDxfId="123"/>
    <tableColumn id="3" xr3:uid="{0CD3633D-9F0B-4C3E-8858-8EABE7469D14}" name="Actual Cost" totalsRowFunction="sum" dataDxfId="122" totalsRowDxfId="121"/>
    <tableColumn id="4" xr3:uid="{67479898-C128-415E-B933-73CCB648A065}" name="Difference" totalsRowFunction="sum" dataDxfId="120" totalsRowDxfId="119">
      <calculatedColumnFormula>Transportation28[[#This Row],[Projected Cost]]-Transportation28[[#This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Transportation Costs in this table. Difference is auto calculated"/>
    </ext>
  </extLst>
</table>
</file>

<file path=xl/tables/table1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203EA276-3421-49A9-A6FC-76DEB8EE5EC8}" name="Insurance29" displayName="Insurance29" ref="B35:E40" totalsRowCount="1" headerRowCellStyle="Normal">
  <autoFilter ref="B35:E39" xr:uid="{00000000-0009-0000-0100-000005000000}">
    <filterColumn colId="0" hiddenButton="1"/>
    <filterColumn colId="1" hiddenButton="1"/>
    <filterColumn colId="2" hiddenButton="1"/>
    <filterColumn colId="3" hiddenButton="1"/>
  </autoFilter>
  <tableColumns count="4">
    <tableColumn id="1" xr3:uid="{94E66A92-DA28-43FA-8213-B625515391AB}" name="INSURANCE" totalsRowLabel="Subtotal"/>
    <tableColumn id="2" xr3:uid="{E18DDD5E-4A9C-45AA-9DE6-57DA740BC343}" name="Projected Cost" dataDxfId="118" totalsRowDxfId="117"/>
    <tableColumn id="3" xr3:uid="{006A9C3A-FD72-4AC0-A72B-21544ECE6207}" name="Actual Cost" dataDxfId="116" totalsRowDxfId="115"/>
    <tableColumn id="4" xr3:uid="{DF80C0D8-182C-4117-874B-FD8B5F0516FA}" name="Difference" totalsRowFunction="sum" dataDxfId="114" totalsRowDxfId="113">
      <calculatedColumnFormula>Insurance29[[#This Row],[Projected Cost]]-Insurance29[[#This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Insurance Costs in this table. Difference is auto calculated"/>
    </ext>
  </extLst>
</table>
</file>

<file path=xl/tables/table1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7B6F672F-3E04-4AA1-A250-9EB3D75E5C3D}" name="Taxes30" displayName="Taxes30" ref="G35:J40" totalsRowCount="1" headerRowCellStyle="Normal">
  <autoFilter ref="G35:J39" xr:uid="{00000000-0009-0000-0100-000006000000}">
    <filterColumn colId="0" hiddenButton="1"/>
    <filterColumn colId="1" hiddenButton="1"/>
    <filterColumn colId="2" hiddenButton="1"/>
    <filterColumn colId="3" hiddenButton="1"/>
  </autoFilter>
  <tableColumns count="4">
    <tableColumn id="1" xr3:uid="{D5AD2ADB-2C9C-480F-82C9-B3ED81724185}" name="TAXES" totalsRowLabel="Subtotal"/>
    <tableColumn id="2" xr3:uid="{093D1561-D126-431D-8480-71409B25E2CE}" name="Projected Cost" dataDxfId="112" totalsRowDxfId="111"/>
    <tableColumn id="3" xr3:uid="{EB3A93C1-4042-4E9A-BC38-6A992703E206}" name="Actual Cost" dataDxfId="110" totalsRowDxfId="109"/>
    <tableColumn id="4" xr3:uid="{1207CC50-AECF-4D71-9805-593FBA220BCD}" name="Difference" totalsRowFunction="sum" dataDxfId="108" totalsRowDxfId="107">
      <calculatedColumnFormula>Taxes30[[#This Row],[Projected Cost]]-Taxes30[[#This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Taxes Costs in this table. Difference is auto calculated"/>
    </ext>
  </extLst>
</table>
</file>

<file path=xl/tables/table1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E72FEEE8-5C56-42A7-962C-915724D9E48E}" name="Savings31" displayName="Savings31" ref="G42:J46" totalsRowCount="1" headerRowCellStyle="Normal">
  <autoFilter ref="G42:J45" xr:uid="{00000000-0009-0000-0100-000007000000}">
    <filterColumn colId="0" hiddenButton="1"/>
    <filterColumn colId="1" hiddenButton="1"/>
    <filterColumn colId="2" hiddenButton="1"/>
    <filterColumn colId="3" hiddenButton="1"/>
  </autoFilter>
  <tableColumns count="4">
    <tableColumn id="1" xr3:uid="{CB650395-D1C3-443A-9D25-070A300E6632}" name="SAVINGS OR INVESTMENTS" totalsRowLabel="Subtotal"/>
    <tableColumn id="2" xr3:uid="{5F46D4E6-C032-477E-A83B-BA5F54A02EE4}" name="Projected Cost" totalsRowFunction="sum" dataDxfId="106" totalsRowDxfId="105"/>
    <tableColumn id="3" xr3:uid="{7BEDF0AA-6BD4-4314-A742-AC170AB5E8B7}" name="Actual Cost" totalsRowFunction="sum" dataDxfId="104" totalsRowDxfId="103"/>
    <tableColumn id="4" xr3:uid="{4BFE2B52-96B5-4060-87DF-2B5F10F33960}" name="Difference" totalsRowFunction="sum" dataDxfId="102" totalsRowDxfId="101">
      <calculatedColumnFormula>Savings31[[#This Row],[Projected Cost]]-Savings31[[#This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Costs for Savings or Investments in this table. Difference is auto calculated"/>
    </ext>
  </extLst>
</table>
</file>

<file path=xl/tables/table1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BB4E48EA-BEE1-45CB-B03A-546014016B92}" name="Food32" displayName="Food32" ref="B42:E46" totalsRowCount="1" headerRowCellStyle="Normal">
  <autoFilter ref="B42:E45" xr:uid="{00000000-0009-0000-0100-000008000000}">
    <filterColumn colId="0" hiddenButton="1"/>
    <filterColumn colId="1" hiddenButton="1"/>
    <filterColumn colId="2" hiddenButton="1"/>
    <filterColumn colId="3" hiddenButton="1"/>
  </autoFilter>
  <tableColumns count="4">
    <tableColumn id="1" xr3:uid="{4B4FE20E-0237-44FA-8FB4-6818D4A89A7A}" name="FOOD" totalsRowLabel="Subtotal"/>
    <tableColumn id="2" xr3:uid="{B6BA0B1F-1397-44BF-A344-9FCA9C1A2235}" name="Projected Cost" totalsRowFunction="sum" dataDxfId="100" totalsRowDxfId="99"/>
    <tableColumn id="3" xr3:uid="{82C60A01-42D7-41BD-B169-8569441CCA06}" name="Actual Cost" totalsRowFunction="sum" dataDxfId="98" totalsRowDxfId="97"/>
    <tableColumn id="4" xr3:uid="{5B322036-EE6D-4DA8-BB99-DE217EAC0535}" name="Difference" totalsRowFunction="sum" dataDxfId="96" totalsRowDxfId="95">
      <calculatedColumnFormula>Food32[[#This Row],[Projected Cost]]-Food32[[#This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Food Costs in this table. Difference is auto calculated"/>
    </ext>
  </extLst>
</table>
</file>

<file path=xl/tables/table1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1522E8C4-389D-4E7E-8DD3-BABF97ECDCEA}" name="Gifts33" displayName="Gifts33" ref="G48:J52" totalsRowCount="1" headerRowCellStyle="Normal">
  <autoFilter ref="G48:J51" xr:uid="{00000000-0009-0000-0100-000009000000}">
    <filterColumn colId="0" hiddenButton="1"/>
    <filterColumn colId="1" hiddenButton="1"/>
    <filterColumn colId="2" hiddenButton="1"/>
    <filterColumn colId="3" hiddenButton="1"/>
  </autoFilter>
  <tableColumns count="4">
    <tableColumn id="1" xr3:uid="{B251D430-1F8F-4256-B80B-867B3FBF1B77}" name="GIFTS AND DONATIONS" totalsRowLabel="Subtotal"/>
    <tableColumn id="2" xr3:uid="{EAC31E86-1D22-468D-B68B-1467BBB24651}" name="Projected Cost" dataDxfId="94" totalsRowDxfId="93"/>
    <tableColumn id="3" xr3:uid="{C4C73015-B4E8-4A50-992D-598F54B60C4E}" name="Actual Cost" dataDxfId="92" totalsRowDxfId="91"/>
    <tableColumn id="4" xr3:uid="{6349D68F-A079-44EF-B7C3-DF008F997211}" name="Difference" totalsRowFunction="sum" dataDxfId="90" totalsRowDxfId="89">
      <calculatedColumnFormula>Gifts33[[#This Row],[Projected Cost]]-Gifts33[[#This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Costs for Gifts and Donations in this table. Difference is auto calculated"/>
    </ext>
  </extLst>
</table>
</file>

<file path=xl/tables/table1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BC788430-E386-4407-B09C-775F3C947D38}" name="Pets34" displayName="Pets34" ref="B48:E54" totalsRowCount="1">
  <autoFilter ref="B48:E53" xr:uid="{00000000-0009-0000-0100-00000A000000}">
    <filterColumn colId="0" hiddenButton="1"/>
    <filterColumn colId="1" hiddenButton="1"/>
    <filterColumn colId="2" hiddenButton="1"/>
    <filterColumn colId="3" hiddenButton="1"/>
  </autoFilter>
  <tableColumns count="4">
    <tableColumn id="1" xr3:uid="{9C3B626D-43EA-4E8A-9697-EE5B53FBE3F0}" name="PETS" totalsRowLabel="Subtotal"/>
    <tableColumn id="2" xr3:uid="{2D34B1F7-6A52-408E-9DED-C39E7A246F74}" name="Projected Cost" dataDxfId="88" totalsRowDxfId="87"/>
    <tableColumn id="3" xr3:uid="{835DC5E2-E2D2-4626-BA77-912D2FEB68B8}" name="Actual Cost" dataDxfId="86" totalsRowDxfId="85"/>
    <tableColumn id="4" xr3:uid="{CFE3DD61-0F6A-4103-BAC6-F002E8CAF4F1}" name="Difference" totalsRowFunction="sum" dataDxfId="84" totalsRowDxfId="83">
      <calculatedColumnFormula>Pets34[[#This Row],[Projected Cost]]-Pets34[[#This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Pets Costs in this table. Difference is auto calculated"/>
    </ext>
  </extLst>
</table>
</file>

<file path=xl/tables/table1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D68AE99D-46C4-420E-A8F7-1D51E8BF62B0}" name="Legal35" displayName="Legal35" ref="G54:K61" totalsRowCount="1">
  <autoFilter ref="G54:K60" xr:uid="{00000000-0009-0000-0100-00000B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80CD0F92-1E7B-4141-A118-3E8188C94536}" name="CHINNI EXPENSES" totalsRowLabel="Subtotal"/>
    <tableColumn id="2" xr3:uid="{085D887D-708F-4040-A87F-97CEC372F0B7}" name="Projected Cost" totalsRowFunction="sum" dataDxfId="82" totalsRowDxfId="81"/>
    <tableColumn id="3" xr3:uid="{2D3C1500-33A7-40DC-AE01-458105BA7F1E}" name="Actual Cost" totalsRowFunction="sum" dataDxfId="80" totalsRowDxfId="79"/>
    <tableColumn id="4" xr3:uid="{40E7B8A8-FFAB-4CAD-A9A6-91FE17D466A0}" name="Difference" totalsRowFunction="sum" dataDxfId="78" totalsRowDxfId="77">
      <calculatedColumnFormula>Legal35[[#This Row],[Projected Cost]]-Legal35[[#This Row],[Actual Cost]]</calculatedColumnFormula>
    </tableColumn>
    <tableColumn id="5" xr3:uid="{79A53502-1D70-45B4-8C12-CD950778181B}" name="Column1" dataDxfId="76"/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Legal Costs in this table. Difference is auto calculated"/>
    </ext>
  </extLst>
</table>
</file>

<file path=xl/tables/table1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7790A4A2-0DC3-4655-B135-735253C6784C}" name="PersonalCare36" displayName="PersonalCare36" ref="B56:E64" totalsRowCount="1">
  <autoFilter ref="B56:E63" xr:uid="{00000000-0009-0000-0100-00000C000000}">
    <filterColumn colId="0" hiddenButton="1"/>
    <filterColumn colId="1" hiddenButton="1"/>
    <filterColumn colId="2" hiddenButton="1"/>
    <filterColumn colId="3" hiddenButton="1"/>
  </autoFilter>
  <tableColumns count="4">
    <tableColumn id="1" xr3:uid="{37DEBF87-A3DF-4D57-9D03-038BC5E82D8F}" name="PERSONAL CARE" totalsRowLabel="Subtotal" totalsRowDxfId="75"/>
    <tableColumn id="2" xr3:uid="{D5A2F6A0-D653-45A9-9618-0CDAD2A67221}" name="z" totalsRowDxfId="74"/>
    <tableColumn id="3" xr3:uid="{ECA1C311-60BE-4324-BBA5-C81AB9E39EB4}" name="Actual Cost" totalsRowDxfId="73"/>
    <tableColumn id="4" xr3:uid="{71971A22-87D5-4774-9EB0-F7C9EA323053}" name="Difference" totalsRowFunction="sum" totalsRowDxfId="72">
      <calculatedColumnFormula>PersonalCare36[[#This Row],[z]]-PersonalCare36[[#This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Personal Care Costs in this table. Difference is auto calculated"/>
    </ext>
  </extLst>
</table>
</file>

<file path=xl/tables/table1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ousing" displayName="Housing" ref="B12:E23" totalsRowCount="1">
  <autoFilter ref="B12:E22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HOUSING" totalsRowLabel="Subtotal" totalsRowDxfId="69"/>
    <tableColumn id="2" xr3:uid="{00000000-0010-0000-0000-000002000000}" name="Projected Cost" totalsRowFunction="sum" totalsRowDxfId="68"/>
    <tableColumn id="3" xr3:uid="{00000000-0010-0000-0000-000003000000}" name="Actual Cost" totalsRowFunction="sum" totalsRowDxfId="67"/>
    <tableColumn id="4" xr3:uid="{00000000-0010-0000-0000-000004000000}" name="Difference" totalsRowFunction="sum" totalsRowDxfId="66">
      <calculatedColumnFormula>Housing[[#This Row],[Projected Cost]]-Housing[[#This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Housing Costs in this table. Difference is auto calculated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985C35DE-55D4-49E0-BDE1-C4016ACD1A33}" name="Legal35475971832496" displayName="Legal35475971832496" ref="G58:J63" totalsRowCount="1" headerRowCellStyle="Normal">
  <autoFilter ref="G58:J62" xr:uid="{00000000-0009-0000-0100-00000B000000}">
    <filterColumn colId="0" hiddenButton="1"/>
    <filterColumn colId="1" hiddenButton="1"/>
    <filterColumn colId="2" hiddenButton="1"/>
    <filterColumn colId="3" hiddenButton="1"/>
  </autoFilter>
  <tableColumns count="4">
    <tableColumn id="1" xr3:uid="{FE69E240-CCDC-47FB-BFCB-900A2F83D149}" name="CHINNI EXPENSES" totalsRowLabel="Subtotal"/>
    <tableColumn id="2" xr3:uid="{B7BF5731-8CDC-4307-B353-2D8884F2C8E2}" name="Projected Cost" totalsRowFunction="sum" dataDxfId="643" totalsRowDxfId="642"/>
    <tableColumn id="3" xr3:uid="{0949225A-1565-43CE-A17C-F5536E8BA0A7}" name="Actual Cost" totalsRowFunction="sum" dataDxfId="641" totalsRowDxfId="640"/>
    <tableColumn id="4" xr3:uid="{8D5755EC-E48C-41C3-8A27-A7DE580BC82C}" name="Difference" totalsRowFunction="sum" dataDxfId="639" totalsRowDxfId="638">
      <calculatedColumnFormula>Legal35475971832496[[#This Row],[Projected Cost]]-Legal35475971832496[[#This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Legal Costs in this table. Difference is auto calculated"/>
    </ext>
  </extLst>
</table>
</file>

<file path=xl/tables/table1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Entertainment" displayName="Entertainment" ref="G12:J22" totalsRowCount="1" headerRowCellStyle="Normal">
  <autoFilter ref="G12:J21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ENTERTAINMENT" totalsRowLabel="Subtotal"/>
    <tableColumn id="2" xr3:uid="{00000000-0010-0000-0100-000002000000}" name="Projected Cost" dataDxfId="65" totalsRowDxfId="64"/>
    <tableColumn id="3" xr3:uid="{00000000-0010-0000-0100-000003000000}" name="Actual Cost" dataDxfId="63" totalsRowDxfId="62"/>
    <tableColumn id="4" xr3:uid="{00000000-0010-0000-0100-000004000000}" name="Difference" totalsRowFunction="sum" dataDxfId="61" totalsRowDxfId="60">
      <calculatedColumnFormula>Entertainment[[#This Row],[Projected Cost]]-Entertainment[[#This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Entertainment Costs in this table. Difference is auto calculated"/>
    </ext>
  </extLst>
</table>
</file>

<file path=xl/tables/table1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Loans" displayName="Loans" ref="G24:J33" totalsRowCount="1">
  <autoFilter ref="G24:J32" xr:uid="{00000000-0009-0000-0100-000003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200-000001000000}" name="LOANS" totalsRowLabel="Subtotal"/>
    <tableColumn id="2" xr3:uid="{00000000-0010-0000-0200-000002000000}" name="Projected Cost" totalsRowFunction="sum" dataDxfId="59" totalsRowDxfId="58"/>
    <tableColumn id="3" xr3:uid="{00000000-0010-0000-0200-000003000000}" name="Actual Cost" dataDxfId="57" totalsRowDxfId="56"/>
    <tableColumn id="4" xr3:uid="{00000000-0010-0000-0200-000004000000}" name="Difference" totalsRowFunction="sum" dataDxfId="55" totalsRowDxfId="54">
      <calculatedColumnFormula>Loans[[#This Row],[Projected Cost]]-Loans[[#This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Loan Costs in this table. Difference is auto calculated"/>
    </ext>
  </extLst>
</table>
</file>

<file path=xl/tables/table1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ransportation" displayName="Transportation" ref="B25:E33" totalsRowCount="1" headerRowCellStyle="Normal">
  <autoFilter ref="B25:E32" xr:uid="{00000000-0009-0000-0100-000004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300-000001000000}" name="TRANSPORTATION" totalsRowLabel="Subtotal"/>
    <tableColumn id="2" xr3:uid="{00000000-0010-0000-0300-000002000000}" name="Projected Cost" totalsRowFunction="sum" dataDxfId="53" totalsRowDxfId="52"/>
    <tableColumn id="3" xr3:uid="{00000000-0010-0000-0300-000003000000}" name="Actual Cost" totalsRowFunction="sum" dataDxfId="51" totalsRowDxfId="50"/>
    <tableColumn id="4" xr3:uid="{00000000-0010-0000-0300-000004000000}" name="Difference" totalsRowFunction="sum" dataDxfId="49" totalsRowDxfId="48">
      <calculatedColumnFormula>Transportation[[#This Row],[Projected Cost]]-Transportation[[#This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Transportation Costs in this table. Difference is auto calculated"/>
    </ext>
  </extLst>
</table>
</file>

<file path=xl/tables/table1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Insurance" displayName="Insurance" ref="B35:E40" totalsRowCount="1" headerRowCellStyle="Normal">
  <autoFilter ref="B35:E39" xr:uid="{00000000-0009-0000-0100-000005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400-000001000000}" name="INSURANCE" totalsRowLabel="Subtotal"/>
    <tableColumn id="2" xr3:uid="{00000000-0010-0000-0400-000002000000}" name="Projected Cost" dataDxfId="47" totalsRowDxfId="46"/>
    <tableColumn id="3" xr3:uid="{00000000-0010-0000-0400-000003000000}" name="Actual Cost" dataDxfId="45" totalsRowDxfId="44"/>
    <tableColumn id="4" xr3:uid="{00000000-0010-0000-0400-000004000000}" name="Difference" totalsRowFunction="sum" dataDxfId="43" totalsRowDxfId="42">
      <calculatedColumnFormula>Insurance[[#This Row],[Projected Cost]]-Insurance[[#This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Insurance Costs in this table. Difference is auto calculated"/>
    </ext>
  </extLst>
</table>
</file>

<file path=xl/tables/table1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xes" displayName="Taxes" ref="G35:J40" totalsRowCount="1" headerRowCellStyle="Normal">
  <autoFilter ref="G35:J39" xr:uid="{00000000-0009-0000-0100-000006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500-000001000000}" name="TAXES" totalsRowLabel="Subtotal"/>
    <tableColumn id="2" xr3:uid="{00000000-0010-0000-0500-000002000000}" name="Projected Cost" dataDxfId="41" totalsRowDxfId="40"/>
    <tableColumn id="3" xr3:uid="{00000000-0010-0000-0500-000003000000}" name="Actual Cost" dataDxfId="39" totalsRowDxfId="38"/>
    <tableColumn id="4" xr3:uid="{00000000-0010-0000-0500-000004000000}" name="Difference" totalsRowFunction="sum" dataDxfId="37" totalsRowDxfId="36">
      <calculatedColumnFormula>Taxes[[#This Row],[Projected Cost]]-Taxes[[#This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Taxes Costs in this table. Difference is auto calculated"/>
    </ext>
  </extLst>
</table>
</file>

<file path=xl/tables/table1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Savings" displayName="Savings" ref="G42:J46" totalsRowCount="1" headerRowCellStyle="Normal">
  <autoFilter ref="G42:J45" xr:uid="{00000000-0009-0000-0100-000007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600-000001000000}" name="SAVINGS OR INVESTMENTS" totalsRowLabel="Subtotal"/>
    <tableColumn id="2" xr3:uid="{00000000-0010-0000-0600-000002000000}" name="Projected Cost" totalsRowFunction="sum" dataDxfId="35" totalsRowDxfId="34"/>
    <tableColumn id="3" xr3:uid="{00000000-0010-0000-0600-000003000000}" name="Actual Cost" totalsRowFunction="sum" dataDxfId="33" totalsRowDxfId="32"/>
    <tableColumn id="4" xr3:uid="{00000000-0010-0000-0600-000004000000}" name="Difference" totalsRowFunction="sum" dataDxfId="31" totalsRowDxfId="30">
      <calculatedColumnFormula>Savings[[#This Row],[Projected Cost]]-Savings[[#This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Costs for Savings or Investments in this table. Difference is auto calculated"/>
    </ext>
  </extLst>
</table>
</file>

<file path=xl/tables/table1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Food" displayName="Food" ref="B42:E46" totalsRowCount="1" headerRowCellStyle="Normal">
  <autoFilter ref="B42:E45" xr:uid="{00000000-0009-0000-0100-000008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700-000001000000}" name="FOOD" totalsRowLabel="Subtotal"/>
    <tableColumn id="2" xr3:uid="{00000000-0010-0000-0700-000002000000}" name="Projected Cost" totalsRowFunction="sum" dataDxfId="29" totalsRowDxfId="28"/>
    <tableColumn id="3" xr3:uid="{00000000-0010-0000-0700-000003000000}" name="Actual Cost" totalsRowFunction="sum" dataDxfId="27" totalsRowDxfId="26"/>
    <tableColumn id="4" xr3:uid="{00000000-0010-0000-0700-000004000000}" name="Difference" totalsRowFunction="sum" dataDxfId="25" totalsRowDxfId="24">
      <calculatedColumnFormula>Food[[#This Row],[Projected Cost]]-Food[[#This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Food Costs in this table. Difference is auto calculated"/>
    </ext>
  </extLst>
</table>
</file>

<file path=xl/tables/table1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Gifts" displayName="Gifts" ref="G48:J52" totalsRowCount="1" headerRowCellStyle="Normal">
  <autoFilter ref="G48:J51" xr:uid="{00000000-0009-0000-0100-000009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800-000001000000}" name="GIFTS AND DONATIONS" totalsRowLabel="Subtotal"/>
    <tableColumn id="2" xr3:uid="{00000000-0010-0000-0800-000002000000}" name="Projected Cost" dataDxfId="23" totalsRowDxfId="22"/>
    <tableColumn id="3" xr3:uid="{00000000-0010-0000-0800-000003000000}" name="Actual Cost" dataDxfId="21" totalsRowDxfId="20"/>
    <tableColumn id="4" xr3:uid="{00000000-0010-0000-0800-000004000000}" name="Difference" totalsRowFunction="sum" dataDxfId="19" totalsRowDxfId="18">
      <calculatedColumnFormula>Gifts[[#This Row],[Projected Cost]]-Gifts[[#This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Costs for Gifts and Donations in this table. Difference is auto calculated"/>
    </ext>
  </extLst>
</table>
</file>

<file path=xl/tables/table1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Pets" displayName="Pets" ref="B48:E54" totalsRowCount="1">
  <autoFilter ref="B48:E53" xr:uid="{00000000-0009-0000-0100-00000A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900-000001000000}" name="PETS" totalsRowLabel="Subtotal"/>
    <tableColumn id="2" xr3:uid="{00000000-0010-0000-0900-000002000000}" name="Projected Cost" dataDxfId="17" totalsRowDxfId="16"/>
    <tableColumn id="3" xr3:uid="{00000000-0010-0000-0900-000003000000}" name="Actual Cost" dataDxfId="15" totalsRowDxfId="14"/>
    <tableColumn id="4" xr3:uid="{00000000-0010-0000-0900-000004000000}" name="Difference" totalsRowFunction="sum" dataDxfId="13" totalsRowDxfId="12">
      <calculatedColumnFormula>Pets[[#This Row],[Projected Cost]]-Pets[[#This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Pets Costs in this table. Difference is auto calculated"/>
    </ext>
  </extLst>
</table>
</file>

<file path=xl/tables/table1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Legal" displayName="Legal" ref="G54:J61" totalsRowCount="1" headerRowCellStyle="Normal">
  <autoFilter ref="G54:J60" xr:uid="{00000000-0009-0000-0100-00000B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A00-000001000000}" name="CHINNI EXPENSES" totalsRowLabel="Subtotal"/>
    <tableColumn id="2" xr3:uid="{00000000-0010-0000-0A00-000002000000}" name="Projected Cost" totalsRowFunction="sum" dataDxfId="11" totalsRowDxfId="10"/>
    <tableColumn id="3" xr3:uid="{00000000-0010-0000-0A00-000003000000}" name="Actual Cost" totalsRowFunction="sum" dataDxfId="9" totalsRowDxfId="8"/>
    <tableColumn id="4" xr3:uid="{00000000-0010-0000-0A00-000004000000}" name="Difference" totalsRowFunction="sum" dataDxfId="7" totalsRowDxfId="6">
      <calculatedColumnFormula>Legal[[#This Row],[Projected Cost]]-Legal[[#This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Legal Costs in this table. Difference is auto calculated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F42631AB-29CA-4C3F-B247-3EBCD6B5379D}" name="PersonalCare36486072848597" displayName="PersonalCare36486072848597" ref="B56:E64" totalsRowCount="1">
  <autoFilter ref="B56:E63" xr:uid="{00000000-0009-0000-0100-00000C000000}">
    <filterColumn colId="0" hiddenButton="1"/>
    <filterColumn colId="1" hiddenButton="1"/>
    <filterColumn colId="2" hiddenButton="1"/>
    <filterColumn colId="3" hiddenButton="1"/>
  </autoFilter>
  <tableColumns count="4">
    <tableColumn id="1" xr3:uid="{6BD4E319-696F-4D91-B6C9-F40F6BDEBE4F}" name="PERSONAL CARE" totalsRowLabel="Subtotal" totalsRowDxfId="637"/>
    <tableColumn id="2" xr3:uid="{D117CBDD-F04E-47CD-A8C5-F654B53AE643}" name="z" totalsRowDxfId="636"/>
    <tableColumn id="3" xr3:uid="{0EA0D3F7-DC07-48CA-88EB-003E90E40C9F}" name="Actual Cost" totalsRowDxfId="635"/>
    <tableColumn id="4" xr3:uid="{A02126F6-EA7D-412B-8180-49B2DF348C10}" name="Difference" totalsRowFunction="sum" totalsRowDxfId="634">
      <calculatedColumnFormula>PersonalCare36486072848597[[#This Row],[z]]-PersonalCare36486072848597[[#This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Personal Care Costs in this table. Difference is auto calculated"/>
    </ext>
  </extLst>
</table>
</file>

<file path=xl/tables/table1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PersonalCare" displayName="PersonalCare" ref="B56:E64" totalsRowCount="1">
  <autoFilter ref="B56:E63" xr:uid="{00000000-0009-0000-0100-00000C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B00-000001000000}" name="PERSONAL CARE" totalsRowLabel="Subtotal" totalsRowDxfId="5"/>
    <tableColumn id="2" xr3:uid="{00000000-0010-0000-0B00-000002000000}" name="z" totalsRowDxfId="4"/>
    <tableColumn id="3" xr3:uid="{00000000-0010-0000-0B00-000003000000}" name="Actual Cost" totalsRowDxfId="3"/>
    <tableColumn id="4" xr3:uid="{00000000-0010-0000-0B00-000004000000}" name="Difference" totalsRowFunction="sum" totalsRowDxfId="2">
      <calculatedColumnFormula>PersonalCare[[#This Row],[z]]-PersonalCare[[#This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Personal Care Costs in this table. Difference is auto calculated"/>
    </ext>
  </extLst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9" xr:uid="{464BA5AC-B5CD-4E61-B41D-C6A4FF56AD80}" name="Housing25374961731498110" displayName="Housing25374961731498110" ref="B12:E23" totalsRowCount="1">
  <autoFilter ref="B12:E22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1" xr3:uid="{97F2E52E-CA1B-427C-BF85-21A26BDBEFBD}" name="HOUSING" totalsRowLabel="Subtotal" totalsRowDxfId="631"/>
    <tableColumn id="2" xr3:uid="{ECEB12DE-C8F4-498E-805D-9C3A1CBC643F}" name="Projected Cost" totalsRowFunction="sum" totalsRowDxfId="630"/>
    <tableColumn id="3" xr3:uid="{B756907D-4AA1-4BBB-851E-0A38984B2C5C}" name="Actual Cost" totalsRowFunction="sum" totalsRowDxfId="629"/>
    <tableColumn id="4" xr3:uid="{F05D3BA2-D697-4C6E-94A3-67E0464F8E00}" name="Difference" totalsRowFunction="sum" totalsRowDxfId="628">
      <calculatedColumnFormula>Housing25374961731498110[[#This Row],[Projected Cost]]-Housing25374961731498110[[#This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Housing Costs in this table. Difference is auto calculated"/>
    </ext>
  </extLst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0" xr:uid="{66CD687F-9197-4590-9E1B-D1964DF38543}" name="Entertainment26385062741599111" displayName="Entertainment26385062741599111" ref="G12:J22" totalsRowCount="1" headerRowCellStyle="Normal">
  <autoFilter ref="G12:J21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F60FA217-AED0-4717-9955-EBF7E06159C1}" name="ENTERTAINMENT" totalsRowLabel="Subtotal"/>
    <tableColumn id="2" xr3:uid="{EA6C31F1-84F7-4E4A-9536-55D5C42EA6D6}" name="Projected Cost" dataDxfId="627" totalsRowDxfId="626"/>
    <tableColumn id="3" xr3:uid="{36F03CF5-E5A4-4940-B99D-C1E5407EECAE}" name="Actual Cost" dataDxfId="625" totalsRowDxfId="624"/>
    <tableColumn id="4" xr3:uid="{88774956-1685-44C0-92DF-61206548F56A}" name="Difference" totalsRowFunction="sum" dataDxfId="623" totalsRowDxfId="622">
      <calculatedColumnFormula>Entertainment26385062741599111[[#This Row],[Projected Cost]]-Entertainment26385062741599111[[#This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Entertainment Costs in this table. Difference is auto calculated"/>
    </ext>
  </extLst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1" xr:uid="{2788076F-FBCA-4B38-AEDC-3D9B4F2C30D0}" name="Loans273951637516100112" displayName="Loans273951637516100112" ref="G24:J31" totalsRowCount="1">
  <autoFilter ref="G24:J30" xr:uid="{00000000-0009-0000-0100-000003000000}">
    <filterColumn colId="0" hiddenButton="1"/>
    <filterColumn colId="1" hiddenButton="1"/>
    <filterColumn colId="2" hiddenButton="1"/>
    <filterColumn colId="3" hiddenButton="1"/>
  </autoFilter>
  <tableColumns count="4">
    <tableColumn id="1" xr3:uid="{3F0BEC49-D058-4D50-959D-02758D440DEC}" name="LOANS" totalsRowLabel="Subtotal"/>
    <tableColumn id="2" xr3:uid="{0997D5B3-F965-4859-A708-C704F283255A}" name="Projected Cost" totalsRowFunction="sum" dataDxfId="621" totalsRowDxfId="620"/>
    <tableColumn id="3" xr3:uid="{5580070A-FEE8-43DA-BB22-407082B0CB83}" name="Actual Cost" totalsRowFunction="sum" dataDxfId="619" totalsRowDxfId="618"/>
    <tableColumn id="4" xr3:uid="{AE7FE52E-155C-4651-BCF0-22F2D926CB2C}" name="Difference" totalsRowFunction="sum" dataDxfId="617" totalsRowDxfId="616">
      <calculatedColumnFormula>Loans273951637516100112[[#This Row],[Projected Cost]]-Loans273951637516100112[[#This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Loan Costs in this table. Difference is auto calculated"/>
    </ext>
  </extLst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2" xr:uid="{77FF971C-CDB8-4987-860B-DBB83831FD5F}" name="Transportation284052647617101113" displayName="Transportation284052647617101113" ref="B25:E33" totalsRowCount="1" headerRowCellStyle="Normal">
  <autoFilter ref="B25:E32" xr:uid="{00000000-0009-0000-0100-000004000000}">
    <filterColumn colId="0" hiddenButton="1"/>
    <filterColumn colId="1" hiddenButton="1"/>
    <filterColumn colId="2" hiddenButton="1"/>
    <filterColumn colId="3" hiddenButton="1"/>
  </autoFilter>
  <tableColumns count="4">
    <tableColumn id="1" xr3:uid="{F1DDB85A-99E0-44D2-94B7-ED6C722CE55B}" name="TRANSPORTATION" totalsRowLabel="Subtotal"/>
    <tableColumn id="2" xr3:uid="{A0464C39-18C4-493F-ABC1-4DBDF13241C2}" name="Projected Cost" totalsRowFunction="sum" dataDxfId="615" totalsRowDxfId="614"/>
    <tableColumn id="3" xr3:uid="{212802B3-079D-4AAC-9055-7EF202FF3CA9}" name="Actual Cost" totalsRowFunction="sum" dataDxfId="613" totalsRowDxfId="612"/>
    <tableColumn id="4" xr3:uid="{BB8D7A64-DBF9-460B-B805-6D849415AB07}" name="Difference" totalsRowFunction="sum" dataDxfId="611" totalsRowDxfId="610">
      <calculatedColumnFormula>Transportation284052647617101113[[#This Row],[Projected Cost]]-Transportation284052647617101113[[#This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Transportation Costs in this table. Difference is auto calculated"/>
    </ext>
  </extLst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3" xr:uid="{4E50F322-82C5-439F-8249-DFE44CCAF347}" name="Insurance294153657718102114" displayName="Insurance294153657718102114" ref="B35:E40" totalsRowCount="1" headerRowCellStyle="Normal">
  <autoFilter ref="B35:E39" xr:uid="{00000000-0009-0000-0100-000005000000}">
    <filterColumn colId="0" hiddenButton="1"/>
    <filterColumn colId="1" hiddenButton="1"/>
    <filterColumn colId="2" hiddenButton="1"/>
    <filterColumn colId="3" hiddenButton="1"/>
  </autoFilter>
  <tableColumns count="4">
    <tableColumn id="1" xr3:uid="{4FB62BAE-0206-43EC-9D78-1A79743293F8}" name="INSURANCE" totalsRowLabel="Subtotal"/>
    <tableColumn id="2" xr3:uid="{A6822579-043E-4BE1-851D-DDE9B165549B}" name="Projected Cost" dataDxfId="609" totalsRowDxfId="608"/>
    <tableColumn id="3" xr3:uid="{B5ABEC69-6C0E-44BF-8F86-F4F14471D234}" name="Actual Cost" dataDxfId="607" totalsRowDxfId="606"/>
    <tableColumn id="4" xr3:uid="{E94B076C-D5AF-4A29-956C-88429180C58A}" name="Difference" totalsRowFunction="sum" dataDxfId="605" totalsRowDxfId="604">
      <calculatedColumnFormula>Insurance294153657718102114[[#This Row],[Projected Cost]]-Insurance294153657718102114[[#This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Insurance Costs in this table. Difference is auto calculated"/>
    </ext>
  </extLst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4" xr:uid="{9E789C7C-CC44-4172-8F43-272D6A4C75D9}" name="Taxes304254667819103115" displayName="Taxes304254667819103115" ref="G33:J38" totalsRowCount="1" headerRowCellStyle="Normal">
  <autoFilter ref="G33:J37" xr:uid="{00000000-0009-0000-0100-000006000000}">
    <filterColumn colId="0" hiddenButton="1"/>
    <filterColumn colId="1" hiddenButton="1"/>
    <filterColumn colId="2" hiddenButton="1"/>
    <filterColumn colId="3" hiddenButton="1"/>
  </autoFilter>
  <tableColumns count="4">
    <tableColumn id="1" xr3:uid="{08B6FD09-3033-4EA9-A4C9-27A1EDF1C336}" name="TAXES" totalsRowLabel="Subtotal"/>
    <tableColumn id="2" xr3:uid="{4BE235DA-05B1-4A6A-A7A1-96C4C240E2DE}" name="Projected Cost" dataDxfId="603" totalsRowDxfId="602"/>
    <tableColumn id="3" xr3:uid="{2F750BF2-4C24-4B6A-89A7-634C596A3B0B}" name="Actual Cost" dataDxfId="601" totalsRowDxfId="600"/>
    <tableColumn id="4" xr3:uid="{1D89C54F-B759-466A-9ACF-A521D99D3FDA}" name="Difference" totalsRowFunction="sum" dataDxfId="599" totalsRowDxfId="598">
      <calculatedColumnFormula>Taxes304254667819103115[[#This Row],[Projected Cost]]-Taxes304254667819103115[[#This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Taxes Costs in this table. Difference is auto calculated"/>
    </ext>
  </extLst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5" xr:uid="{EB196C11-6347-45E8-B6E7-CA21963ED4DE}" name="Savings314355677920104116" displayName="Savings314355677920104116" ref="G40:J44" totalsRowCount="1" headerRowCellStyle="Normal">
  <autoFilter ref="G40:J43" xr:uid="{00000000-0009-0000-0100-000007000000}">
    <filterColumn colId="0" hiddenButton="1"/>
    <filterColumn colId="1" hiddenButton="1"/>
    <filterColumn colId="2" hiddenButton="1"/>
    <filterColumn colId="3" hiddenButton="1"/>
  </autoFilter>
  <tableColumns count="4">
    <tableColumn id="1" xr3:uid="{10CDB937-ACDA-4722-B704-BC53FD612AE9}" name="SAVINGS OR INVESTMENTS" totalsRowLabel="Subtotal"/>
    <tableColumn id="2" xr3:uid="{209C0477-F1D4-4E34-9319-617388AA5899}" name="Projected Cost" totalsRowFunction="sum" dataDxfId="597" totalsRowDxfId="596"/>
    <tableColumn id="3" xr3:uid="{53E044A3-484A-492D-A538-A68C65AF14C0}" name="Actual Cost" totalsRowFunction="sum" dataDxfId="595" totalsRowDxfId="594"/>
    <tableColumn id="4" xr3:uid="{59EEFC64-8B5F-41E3-BD15-9B321F085B2B}" name="Difference" totalsRowFunction="sum" dataDxfId="593" totalsRowDxfId="592">
      <calculatedColumnFormula>Savings314355677920104116[[#This Row],[Projected Cost]]-Savings314355677920104116[[#This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Costs for Savings or Investments in this table. Difference is auto calculated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196353FD-301B-4A5E-9BFC-0AFA3B589004}" name="Entertainment26385062741587" displayName="Entertainment26385062741587" ref="G12:J22" totalsRowCount="1" headerRowCellStyle="Normal">
  <autoFilter ref="G12:J21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EA922487-71F5-4684-8D06-255A225E3617}" name="ENTERTAINMENT" totalsRowLabel="Subtotal"/>
    <tableColumn id="2" xr3:uid="{70023B31-872E-4636-B404-1E3466F27DBE}" name="Projected Cost" dataDxfId="697" totalsRowDxfId="696"/>
    <tableColumn id="3" xr3:uid="{F8FE7B39-7B09-4827-8F59-5F77213956AA}" name="Actual Cost" dataDxfId="695" totalsRowDxfId="694"/>
    <tableColumn id="4" xr3:uid="{48E4421A-0FA8-42D6-AC59-B1F7A0134DAE}" name="Difference" totalsRowFunction="sum" dataDxfId="693" totalsRowDxfId="692">
      <calculatedColumnFormula>Entertainment26385062741587[[#This Row],[Projected Cost]]-Entertainment26385062741587[[#This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Entertainment Costs in this table. Difference is auto calculated"/>
    </ext>
  </extLst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6" xr:uid="{B6422806-1070-470D-8A85-15793FDF74E8}" name="Food324456688021105117" displayName="Food324456688021105117" ref="B42:E46" totalsRowCount="1" headerRowCellStyle="Normal">
  <autoFilter ref="B42:E45" xr:uid="{00000000-0009-0000-0100-000008000000}">
    <filterColumn colId="0" hiddenButton="1"/>
    <filterColumn colId="1" hiddenButton="1"/>
    <filterColumn colId="2" hiddenButton="1"/>
    <filterColumn colId="3" hiddenButton="1"/>
  </autoFilter>
  <tableColumns count="4">
    <tableColumn id="1" xr3:uid="{B7DE310D-56B5-44ED-B2B2-BBD4C2263378}" name="FOOD" totalsRowLabel="Subtotal"/>
    <tableColumn id="2" xr3:uid="{E1CC8AFB-C4D9-47BE-BF1B-F3802A4AFD94}" name="Projected Cost" totalsRowFunction="sum" dataDxfId="591" totalsRowDxfId="590"/>
    <tableColumn id="3" xr3:uid="{43388335-343E-4B70-BCE8-F6E90088230E}" name="Actual Cost" totalsRowFunction="sum" dataDxfId="589" totalsRowDxfId="588"/>
    <tableColumn id="4" xr3:uid="{6F2AB874-A7A0-4E99-93B0-DF83933B8514}" name="Difference" totalsRowFunction="sum" dataDxfId="587" totalsRowDxfId="586">
      <calculatedColumnFormula>Food324456688021105117[[#This Row],[Projected Cost]]-Food324456688021105117[[#This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Food Costs in this table. Difference is auto calculated"/>
    </ext>
  </extLst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7" xr:uid="{521515ED-468D-473D-A1DA-E24D10739C8D}" name="Gifts334557698122106118" displayName="Gifts334557698122106118" ref="G46:J50" totalsRowCount="1" headerRowCellStyle="Normal">
  <autoFilter ref="G46:J49" xr:uid="{00000000-0009-0000-0100-000009000000}">
    <filterColumn colId="0" hiddenButton="1"/>
    <filterColumn colId="1" hiddenButton="1"/>
    <filterColumn colId="2" hiddenButton="1"/>
    <filterColumn colId="3" hiddenButton="1"/>
  </autoFilter>
  <tableColumns count="4">
    <tableColumn id="1" xr3:uid="{39842767-243A-4DFB-9B7B-27164CCFA78A}" name="GIFTS AND DONATIONS" totalsRowLabel="Subtotal"/>
    <tableColumn id="2" xr3:uid="{093580A8-0263-499C-AD20-5AFD119A9C83}" name="Projected Cost" dataDxfId="585" totalsRowDxfId="584"/>
    <tableColumn id="3" xr3:uid="{2E984154-A765-46F2-A3E6-3E2D0FFFD516}" name="Actual Cost" dataDxfId="583" totalsRowDxfId="582"/>
    <tableColumn id="4" xr3:uid="{AAFF1734-1CBC-4CD1-8A59-FA8934EABA19}" name="Difference" totalsRowFunction="sum" dataDxfId="581" totalsRowDxfId="580">
      <calculatedColumnFormula>Gifts334557698122106118[[#This Row],[Projected Cost]]-Gifts334557698122106118[[#This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Costs for Gifts and Donations in this table. Difference is auto calculated"/>
    </ext>
  </extLst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8" xr:uid="{FE7D39D7-8A19-4060-A412-D84E26F1DBB7}" name="Pets344658708223107119" displayName="Pets344658708223107119" ref="B48:E54" totalsRowCount="1">
  <autoFilter ref="B48:E53" xr:uid="{00000000-0009-0000-0100-00000A000000}">
    <filterColumn colId="0" hiddenButton="1"/>
    <filterColumn colId="1" hiddenButton="1"/>
    <filterColumn colId="2" hiddenButton="1"/>
    <filterColumn colId="3" hiddenButton="1"/>
  </autoFilter>
  <tableColumns count="4">
    <tableColumn id="1" xr3:uid="{D7CC02B4-2129-4220-BD92-B466B6C9EC8D}" name="PETS" totalsRowLabel="Subtotal"/>
    <tableColumn id="2" xr3:uid="{44A9E2C0-41B3-4840-88E9-D826C740729B}" name="Projected Cost" dataDxfId="579" totalsRowDxfId="578"/>
    <tableColumn id="3" xr3:uid="{058106FB-CFAF-4E67-AB5E-8F5BD90B30F1}" name="Actual Cost" dataDxfId="577" totalsRowDxfId="576"/>
    <tableColumn id="4" xr3:uid="{8968BCD5-DC7A-426B-A641-7CC437E96ED1}" name="Difference" totalsRowFunction="sum" dataDxfId="575" totalsRowDxfId="574">
      <calculatedColumnFormula>Pets344658708223107119[[#This Row],[Projected Cost]]-Pets344658708223107119[[#This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Pets Costs in this table. Difference is auto calculated"/>
    </ext>
  </extLst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9" xr:uid="{0D0D3C2D-DF1A-496E-B8C3-0EA7F7A01ACD}" name="Legal354759718324108120" displayName="Legal354759718324108120" ref="G52:J57" totalsRowCount="1" headerRowCellStyle="Normal">
  <autoFilter ref="G52:J56" xr:uid="{00000000-0009-0000-0100-00000B000000}">
    <filterColumn colId="0" hiddenButton="1"/>
    <filterColumn colId="1" hiddenButton="1"/>
    <filterColumn colId="2" hiddenButton="1"/>
    <filterColumn colId="3" hiddenButton="1"/>
  </autoFilter>
  <tableColumns count="4">
    <tableColumn id="1" xr3:uid="{28204B9B-B660-482A-87D4-B0EA36BEC5E2}" name="CHINNI EXPENSES" totalsRowLabel="Subtotal"/>
    <tableColumn id="2" xr3:uid="{B1B9EA5A-BAE5-4B96-AA83-5F124F1ED183}" name="Projected Cost" totalsRowFunction="sum" dataDxfId="573" totalsRowDxfId="572"/>
    <tableColumn id="3" xr3:uid="{AA4590A8-53F3-40B3-B807-C26655312F0A}" name="Actual Cost" totalsRowFunction="sum" dataDxfId="571" totalsRowDxfId="570"/>
    <tableColumn id="4" xr3:uid="{7DB9FC73-E550-47F7-BE36-CA11D259DE9B}" name="Difference" totalsRowFunction="sum" dataDxfId="569" totalsRowDxfId="568">
      <calculatedColumnFormula>Legal354759718324108120[[#This Row],[Projected Cost]]-Legal354759718324108120[[#This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Legal Costs in this table. Difference is auto calculated"/>
    </ext>
  </extLst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0" xr:uid="{894E743A-001B-487F-A850-098DEC314D01}" name="PersonalCare364860728485109121" displayName="PersonalCare364860728485109121" ref="B56:E64" totalsRowCount="1">
  <autoFilter ref="B56:E63" xr:uid="{00000000-0009-0000-0100-00000C000000}">
    <filterColumn colId="0" hiddenButton="1"/>
    <filterColumn colId="1" hiddenButton="1"/>
    <filterColumn colId="2" hiddenButton="1"/>
    <filterColumn colId="3" hiddenButton="1"/>
  </autoFilter>
  <tableColumns count="4">
    <tableColumn id="1" xr3:uid="{2BEB116B-BD21-439A-84E6-6CD796248FBE}" name="PERSONAL CARE" totalsRowLabel="Subtotal" totalsRowDxfId="567"/>
    <tableColumn id="2" xr3:uid="{F6C1BE25-C899-4993-B343-E5A5A88B1528}" name="z" totalsRowDxfId="566"/>
    <tableColumn id="3" xr3:uid="{BD346863-5CA0-4699-BDBB-11AFEFC33315}" name="Actual Cost" totalsRowDxfId="565"/>
    <tableColumn id="4" xr3:uid="{D8C6B7DB-3CB7-4E81-BEF2-27A628AE7598}" name="Difference" totalsRowFunction="sum" totalsRowDxfId="564">
      <calculatedColumnFormula>PersonalCare364860728485109121[[#This Row],[z]]-PersonalCare364860728485109121[[#This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Personal Care Costs in this table. Difference is auto calculated"/>
    </ext>
  </extLst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FDC6FDF3-CC60-4BD5-ABFF-99DD4EA17581}" name="Housing25374961731498" displayName="Housing25374961731498" ref="B12:E23" totalsRowCount="1">
  <autoFilter ref="B12:E22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1" xr3:uid="{9561BCB0-27E0-486E-8004-6257D8E2A2F7}" name="HOUSING" totalsRowLabel="Subtotal" totalsRowDxfId="561"/>
    <tableColumn id="2" xr3:uid="{AC442394-36B4-40B4-97E4-0D4F8782BF79}" name="Projected Cost" totalsRowFunction="sum" totalsRowDxfId="560"/>
    <tableColumn id="3" xr3:uid="{72CDDA3E-14E2-4965-BD07-B218AFF5C8BB}" name="Actual Cost" totalsRowFunction="sum" totalsRowDxfId="559"/>
    <tableColumn id="4" xr3:uid="{2CD3895C-CB5C-453F-9189-2FF323F558B6}" name="Difference" totalsRowFunction="sum" totalsRowDxfId="558">
      <calculatedColumnFormula>Housing25374961731498[[#This Row],[Projected Cost]]-Housing25374961731498[[#This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Housing Costs in this table. Difference is auto calculated"/>
    </ext>
  </extLst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6FFE9D80-D039-4886-9672-F533BAB1ABED}" name="Entertainment26385062741599" displayName="Entertainment26385062741599" ref="G12:J22" totalsRowCount="1" headerRowCellStyle="Normal">
  <autoFilter ref="G12:J21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E46EFA53-F009-484C-853B-B1FCDF2DE693}" name="ENTERTAINMENT" totalsRowLabel="Subtotal"/>
    <tableColumn id="2" xr3:uid="{BF67E43D-EA80-4DA3-999B-7FC2D13DD6CE}" name="Projected Cost" dataDxfId="557" totalsRowDxfId="556"/>
    <tableColumn id="3" xr3:uid="{0D1F3E35-A450-406F-A7FD-89067E4DF63D}" name="Actual Cost" dataDxfId="555" totalsRowDxfId="554"/>
    <tableColumn id="4" xr3:uid="{732B844F-E998-428E-A95A-A4889D1A29B2}" name="Difference" totalsRowFunction="sum" dataDxfId="553" totalsRowDxfId="552">
      <calculatedColumnFormula>Entertainment26385062741599[[#This Row],[Projected Cost]]-Entertainment26385062741599[[#This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Entertainment Costs in this table. Difference is auto calculated"/>
    </ext>
  </extLst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CF228A1D-B109-45D3-90DF-DDC63D5E60F6}" name="Loans273951637516100" displayName="Loans273951637516100" ref="G24:J31" totalsRowCount="1">
  <autoFilter ref="G24:J30" xr:uid="{00000000-0009-0000-0100-000003000000}">
    <filterColumn colId="0" hiddenButton="1"/>
    <filterColumn colId="1" hiddenButton="1"/>
    <filterColumn colId="2" hiddenButton="1"/>
    <filterColumn colId="3" hiddenButton="1"/>
  </autoFilter>
  <tableColumns count="4">
    <tableColumn id="1" xr3:uid="{C97399E9-59DC-4611-B023-6006BB7358C1}" name="LOANS" totalsRowLabel="Subtotal"/>
    <tableColumn id="2" xr3:uid="{2A950FF4-1FEE-4596-9CFF-EBFC42AE6A1A}" name="Projected Cost" totalsRowFunction="sum" dataDxfId="551" totalsRowDxfId="550"/>
    <tableColumn id="3" xr3:uid="{FF6F7B07-1056-438B-BC09-664AA2308A71}" name="Actual Cost" totalsRowFunction="sum" dataDxfId="549" totalsRowDxfId="548"/>
    <tableColumn id="4" xr3:uid="{0A6E77FA-6F93-4791-9E69-90C37BB86AE5}" name="Difference" totalsRowFunction="sum" dataDxfId="547" totalsRowDxfId="546">
      <calculatedColumnFormula>Loans273951637516100[[#This Row],[Projected Cost]]-Loans273951637516100[[#This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Loan Costs in this table. Difference is auto calculated"/>
    </ext>
  </extLst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" xr:uid="{92660860-866C-43F5-B440-9E4BB4E61199}" name="Transportation284052647617101" displayName="Transportation284052647617101" ref="B25:E33" totalsRowCount="1" headerRowCellStyle="Normal">
  <autoFilter ref="B25:E32" xr:uid="{00000000-0009-0000-0100-000004000000}">
    <filterColumn colId="0" hiddenButton="1"/>
    <filterColumn colId="1" hiddenButton="1"/>
    <filterColumn colId="2" hiddenButton="1"/>
    <filterColumn colId="3" hiddenButton="1"/>
  </autoFilter>
  <tableColumns count="4">
    <tableColumn id="1" xr3:uid="{D9D041E1-8C77-4287-B64A-9F72213ED809}" name="TRANSPORTATION" totalsRowLabel="Subtotal"/>
    <tableColumn id="2" xr3:uid="{8FDB2A99-CF11-457E-B23B-829D8D05B9C5}" name="Projected Cost" totalsRowFunction="sum" dataDxfId="545" totalsRowDxfId="544"/>
    <tableColumn id="3" xr3:uid="{41C1BD8E-9114-4CAD-9166-D3796A4D053F}" name="Actual Cost" totalsRowFunction="sum" dataDxfId="543" totalsRowDxfId="542"/>
    <tableColumn id="4" xr3:uid="{83DD3D5C-A24D-41CF-942B-519A8330BE0D}" name="Difference" totalsRowFunction="sum" dataDxfId="541" totalsRowDxfId="540">
      <calculatedColumnFormula>Transportation284052647617101[[#This Row],[Projected Cost]]-Transportation284052647617101[[#This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Transportation Costs in this table. Difference is auto calculated"/>
    </ext>
  </extLst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1" xr:uid="{C275CEB5-483B-4F80-8A4C-F777C3A7B1C1}" name="Insurance294153657718102" displayName="Insurance294153657718102" ref="B35:E40" totalsRowCount="1" headerRowCellStyle="Normal">
  <autoFilter ref="B35:E39" xr:uid="{00000000-0009-0000-0100-000005000000}">
    <filterColumn colId="0" hiddenButton="1"/>
    <filterColumn colId="1" hiddenButton="1"/>
    <filterColumn colId="2" hiddenButton="1"/>
    <filterColumn colId="3" hiddenButton="1"/>
  </autoFilter>
  <tableColumns count="4">
    <tableColumn id="1" xr3:uid="{FABB7D0B-C574-44F3-9A28-ED1A2D373304}" name="INSURANCE" totalsRowLabel="Subtotal"/>
    <tableColumn id="2" xr3:uid="{14F71220-FEB1-4B0F-8123-24D58D6B04C8}" name="Projected Cost" dataDxfId="539" totalsRowDxfId="538"/>
    <tableColumn id="3" xr3:uid="{1CB2944F-96C9-48FC-B315-4B6D973EC539}" name="Actual Cost" dataDxfId="537" totalsRowDxfId="536"/>
    <tableColumn id="4" xr3:uid="{A8A73E1D-2B97-4C81-A1F1-0E919BE74C55}" name="Difference" totalsRowFunction="sum" dataDxfId="535" totalsRowDxfId="534">
      <calculatedColumnFormula>Insurance294153657718102[[#This Row],[Projected Cost]]-Insurance294153657718102[[#This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Insurance Costs in this table. Difference is auto calculated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A5043D06-86F7-408B-B373-DAA2AF2405DE}" name="Loans27395163751688" displayName="Loans27395163751688" ref="G24:J37" totalsRowCount="1">
  <autoFilter ref="G24:J36" xr:uid="{00000000-0009-0000-0100-000003000000}">
    <filterColumn colId="0" hiddenButton="1"/>
    <filterColumn colId="1" hiddenButton="1"/>
    <filterColumn colId="2" hiddenButton="1"/>
    <filterColumn colId="3" hiddenButton="1"/>
  </autoFilter>
  <tableColumns count="4">
    <tableColumn id="1" xr3:uid="{858544B3-C484-4DCD-8BB8-C4E2A3424854}" name="LOANS" totalsRowLabel="Subtotal"/>
    <tableColumn id="2" xr3:uid="{53045531-0934-4F32-B419-E063152C40F5}" name="Projected Cost" totalsRowFunction="sum" dataDxfId="691" totalsRowDxfId="690"/>
    <tableColumn id="3" xr3:uid="{1D8860A9-4535-4DC7-980C-7C2F2C16142F}" name="Actual Cost" totalsRowFunction="sum" dataDxfId="689" totalsRowDxfId="688"/>
    <tableColumn id="4" xr3:uid="{7996653C-2AED-4477-85E2-9FE2F03B1A5A}" name="Difference" totalsRowFunction="sum" dataDxfId="687" totalsRowDxfId="686">
      <calculatedColumnFormula>Loans27395163751688[[#This Row],[Projected Cost]]-Loans27395163751688[[#This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Loan Costs in this table. Difference is auto calculated"/>
    </ext>
  </extLst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2" xr:uid="{5A5F238C-EDF8-4300-A27F-B1F72C9A9315}" name="Taxes304254667819103" displayName="Taxes304254667819103" ref="G33:J38" totalsRowCount="1" headerRowCellStyle="Normal">
  <autoFilter ref="G33:J37" xr:uid="{00000000-0009-0000-0100-000006000000}">
    <filterColumn colId="0" hiddenButton="1"/>
    <filterColumn colId="1" hiddenButton="1"/>
    <filterColumn colId="2" hiddenButton="1"/>
    <filterColumn colId="3" hiddenButton="1"/>
  </autoFilter>
  <tableColumns count="4">
    <tableColumn id="1" xr3:uid="{466FAFD0-D8DF-4D09-B3A6-69DEB766CF34}" name="TAXES" totalsRowLabel="Subtotal"/>
    <tableColumn id="2" xr3:uid="{E75354DC-5ED2-4C04-925D-2302BF8D2357}" name="Projected Cost" dataDxfId="533" totalsRowDxfId="532"/>
    <tableColumn id="3" xr3:uid="{06A7BCE8-6BD9-472C-8657-B4C9BEDF1BD2}" name="Actual Cost" dataDxfId="531" totalsRowDxfId="530"/>
    <tableColumn id="4" xr3:uid="{1D1897F1-8639-4CA5-B960-AF8566C17A48}" name="Difference" totalsRowFunction="sum" dataDxfId="529" totalsRowDxfId="528">
      <calculatedColumnFormula>Taxes304254667819103[[#This Row],[Projected Cost]]-Taxes304254667819103[[#This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Taxes Costs in this table. Difference is auto calculated"/>
    </ext>
  </extLst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3" xr:uid="{EB1988D0-C5FE-4B51-BA50-9E84D6CD7E1A}" name="Savings314355677920104" displayName="Savings314355677920104" ref="G40:J44" totalsRowCount="1" headerRowCellStyle="Normal">
  <autoFilter ref="G40:J43" xr:uid="{00000000-0009-0000-0100-000007000000}">
    <filterColumn colId="0" hiddenButton="1"/>
    <filterColumn colId="1" hiddenButton="1"/>
    <filterColumn colId="2" hiddenButton="1"/>
    <filterColumn colId="3" hiddenButton="1"/>
  </autoFilter>
  <tableColumns count="4">
    <tableColumn id="1" xr3:uid="{6AEAB04B-ADB3-4AAF-A526-8845017620E7}" name="SAVINGS OR INVESTMENTS" totalsRowLabel="Subtotal"/>
    <tableColumn id="2" xr3:uid="{886A8215-9924-4295-8934-CD01E8555279}" name="Projected Cost" totalsRowFunction="sum" dataDxfId="527" totalsRowDxfId="526"/>
    <tableColumn id="3" xr3:uid="{F9138654-15BF-4C3F-8A42-4BD6851B6CFA}" name="Actual Cost" totalsRowFunction="sum" dataDxfId="525" totalsRowDxfId="524"/>
    <tableColumn id="4" xr3:uid="{2FA9065D-EC6C-4946-AF83-30AEF0C88087}" name="Difference" totalsRowFunction="sum" dataDxfId="523" totalsRowDxfId="522">
      <calculatedColumnFormula>Savings314355677920104[[#This Row],[Projected Cost]]-Savings314355677920104[[#This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Costs for Savings or Investments in this table. Difference is auto calculated"/>
    </ext>
  </extLst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4" xr:uid="{D4638B9F-0A64-4B1B-8CBE-4527ABE31D91}" name="Food324456688021105" displayName="Food324456688021105" ref="B42:E46" totalsRowCount="1" headerRowCellStyle="Normal">
  <autoFilter ref="B42:E45" xr:uid="{00000000-0009-0000-0100-000008000000}">
    <filterColumn colId="0" hiddenButton="1"/>
    <filterColumn colId="1" hiddenButton="1"/>
    <filterColumn colId="2" hiddenButton="1"/>
    <filterColumn colId="3" hiddenButton="1"/>
  </autoFilter>
  <tableColumns count="4">
    <tableColumn id="1" xr3:uid="{315E3605-A473-4803-9E6D-41DEBB53028C}" name="FOOD" totalsRowLabel="Subtotal"/>
    <tableColumn id="2" xr3:uid="{FA9D12D5-AD16-4C41-AE61-56C2ED4650A8}" name="Projected Cost" totalsRowFunction="sum" dataDxfId="521" totalsRowDxfId="520"/>
    <tableColumn id="3" xr3:uid="{9873BA23-979B-4224-A783-BC077EE6BAD0}" name="Actual Cost" totalsRowFunction="sum" dataDxfId="519" totalsRowDxfId="518"/>
    <tableColumn id="4" xr3:uid="{DD84F683-9573-4677-8EA5-1EF2AC554164}" name="Difference" totalsRowFunction="sum" dataDxfId="517" totalsRowDxfId="516">
      <calculatedColumnFormula>Food324456688021105[[#This Row],[Projected Cost]]-Food324456688021105[[#This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Food Costs in this table. Difference is auto calculated"/>
    </ext>
  </extLst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5" xr:uid="{6C0C9C05-8FCA-47BE-954C-648437808009}" name="Gifts334557698122106" displayName="Gifts334557698122106" ref="G46:J50" totalsRowCount="1" headerRowCellStyle="Normal">
  <autoFilter ref="G46:J49" xr:uid="{00000000-0009-0000-0100-000009000000}">
    <filterColumn colId="0" hiddenButton="1"/>
    <filterColumn colId="1" hiddenButton="1"/>
    <filterColumn colId="2" hiddenButton="1"/>
    <filterColumn colId="3" hiddenButton="1"/>
  </autoFilter>
  <tableColumns count="4">
    <tableColumn id="1" xr3:uid="{04294540-A774-4868-B878-2A63D43140B1}" name="GIFTS AND DONATIONS" totalsRowLabel="Subtotal"/>
    <tableColumn id="2" xr3:uid="{B11892B6-51F3-414E-B939-3AC413CD765C}" name="Projected Cost" dataDxfId="515" totalsRowDxfId="514"/>
    <tableColumn id="3" xr3:uid="{A4DCD4F9-B1FD-4BB1-9738-926964AEFE31}" name="Actual Cost" dataDxfId="513" totalsRowDxfId="512"/>
    <tableColumn id="4" xr3:uid="{60E3B5AD-A19E-4CA4-8A13-A5348DF888BD}" name="Difference" totalsRowFunction="sum" dataDxfId="511" totalsRowDxfId="510">
      <calculatedColumnFormula>Gifts334557698122106[[#This Row],[Projected Cost]]-Gifts334557698122106[[#This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Costs for Gifts and Donations in this table. Difference is auto calculated"/>
    </ext>
  </extLst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6" xr:uid="{05A68C75-EFEB-4A72-ABBB-BA54408F720F}" name="Pets344658708223107" displayName="Pets344658708223107" ref="B48:E54" totalsRowCount="1">
  <autoFilter ref="B48:E53" xr:uid="{00000000-0009-0000-0100-00000A000000}">
    <filterColumn colId="0" hiddenButton="1"/>
    <filterColumn colId="1" hiddenButton="1"/>
    <filterColumn colId="2" hiddenButton="1"/>
    <filterColumn colId="3" hiddenButton="1"/>
  </autoFilter>
  <tableColumns count="4">
    <tableColumn id="1" xr3:uid="{97A1B8D7-6DFC-4CE0-B69A-3881759519AD}" name="PETS" totalsRowLabel="Subtotal"/>
    <tableColumn id="2" xr3:uid="{1476D7BC-B5AD-4877-8492-8B669346CE0F}" name="Projected Cost" dataDxfId="509" totalsRowDxfId="508"/>
    <tableColumn id="3" xr3:uid="{9522FA78-1EE9-492A-A001-C73A1F91074A}" name="Actual Cost" dataDxfId="507" totalsRowDxfId="506"/>
    <tableColumn id="4" xr3:uid="{83F76501-BA65-4DDC-973A-AA27B61DA1FA}" name="Difference" totalsRowFunction="sum" dataDxfId="505" totalsRowDxfId="504">
      <calculatedColumnFormula>Pets344658708223107[[#This Row],[Projected Cost]]-Pets344658708223107[[#This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Pets Costs in this table. Difference is auto calculated"/>
    </ext>
  </extLst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7" xr:uid="{E330E6FF-0672-433E-87B3-C8483279E183}" name="Legal354759718324108" displayName="Legal354759718324108" ref="G52:J57" totalsRowCount="1" headerRowCellStyle="Normal">
  <autoFilter ref="G52:J56" xr:uid="{00000000-0009-0000-0100-00000B000000}">
    <filterColumn colId="0" hiddenButton="1"/>
    <filterColumn colId="1" hiddenButton="1"/>
    <filterColumn colId="2" hiddenButton="1"/>
    <filterColumn colId="3" hiddenButton="1"/>
  </autoFilter>
  <tableColumns count="4">
    <tableColumn id="1" xr3:uid="{AD90DBE0-7416-4091-B1A2-A97109636D52}" name="CHINNI EXPENSES" totalsRowLabel="Subtotal"/>
    <tableColumn id="2" xr3:uid="{52618EB5-4597-46A0-82DD-BEDAF23E814F}" name="Projected Cost" totalsRowFunction="sum" dataDxfId="503" totalsRowDxfId="502"/>
    <tableColumn id="3" xr3:uid="{B9C18C23-97B6-494B-B896-F855EF36ED61}" name="Actual Cost" totalsRowFunction="sum" dataDxfId="501" totalsRowDxfId="500"/>
    <tableColumn id="4" xr3:uid="{5DF47998-E5D2-4323-87F1-37B6A480F5C3}" name="Difference" totalsRowFunction="sum" dataDxfId="499" totalsRowDxfId="498">
      <calculatedColumnFormula>Legal354759718324108[[#This Row],[Projected Cost]]-Legal354759718324108[[#This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Legal Costs in this table. Difference is auto calculated"/>
    </ext>
  </extLst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8" xr:uid="{8D84573B-18B5-438C-BC05-EDA50871F685}" name="PersonalCare364860728485109" displayName="PersonalCare364860728485109" ref="B56:E64" totalsRowCount="1">
  <autoFilter ref="B56:E63" xr:uid="{00000000-0009-0000-0100-00000C000000}">
    <filterColumn colId="0" hiddenButton="1"/>
    <filterColumn colId="1" hiddenButton="1"/>
    <filterColumn colId="2" hiddenButton="1"/>
    <filterColumn colId="3" hiddenButton="1"/>
  </autoFilter>
  <tableColumns count="4">
    <tableColumn id="1" xr3:uid="{80153B80-D0F5-4928-AE59-BF8BADF95E74}" name="PERSONAL CARE" totalsRowLabel="Subtotal" totalsRowDxfId="497"/>
    <tableColumn id="2" xr3:uid="{2B46BEE9-DEB7-4633-B7AC-4998C1BDB4D7}" name="z" totalsRowDxfId="496"/>
    <tableColumn id="3" xr3:uid="{02E5C91F-E2B2-41C3-BBCA-D3537D2309A9}" name="Actual Cost" totalsRowDxfId="495"/>
    <tableColumn id="4" xr3:uid="{4D7C3D25-3C75-4212-9C6A-7954149C6227}" name="Difference" totalsRowFunction="sum" totalsRowDxfId="494">
      <calculatedColumnFormula>PersonalCare364860728485109[[#This Row],[z]]-PersonalCare364860728485109[[#This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Personal Care Costs in this table. Difference is auto calculated"/>
    </ext>
  </extLst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425AD13-645E-43AF-A2F2-91241B56BCCA}" name="Housing253749617314" displayName="Housing253749617314" ref="B12:E23" totalsRowCount="1">
  <autoFilter ref="B12:E22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1" xr3:uid="{52EF9B5E-EB05-47C5-B635-A88CA906B550}" name="HOUSING" totalsRowLabel="Subtotal" totalsRowDxfId="491"/>
    <tableColumn id="2" xr3:uid="{CD21A4B1-E0FD-482D-8DF2-A9E74A693D24}" name="Projected Cost" totalsRowFunction="sum" totalsRowDxfId="490"/>
    <tableColumn id="3" xr3:uid="{043EED88-C499-438B-B2A8-D44629B9CD37}" name="Actual Cost" totalsRowFunction="sum" totalsRowDxfId="489"/>
    <tableColumn id="4" xr3:uid="{9874D0E0-8017-4E3B-A928-D12EF8B827DE}" name="Difference" totalsRowFunction="sum" totalsRowDxfId="488">
      <calculatedColumnFormula>Housing253749617314[[#This Row],[Projected Cost]]-Housing253749617314[[#This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Housing Costs in this table. Difference is auto calculated"/>
    </ext>
  </extLst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EDBF566-652A-4A35-96C0-A2E6B220DA1C}" name="Entertainment263850627415" displayName="Entertainment263850627415" ref="G12:J22" totalsRowCount="1" headerRowCellStyle="Normal">
  <autoFilter ref="G12:J21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1BE3F62-EB16-4C08-9F41-F12DC7FE8B44}" name="ENTERTAINMENT" totalsRowLabel="Subtotal"/>
    <tableColumn id="2" xr3:uid="{431D4337-1A1C-4FAF-B9D1-81F1736352DA}" name="Projected Cost" dataDxfId="487" totalsRowDxfId="486"/>
    <tableColumn id="3" xr3:uid="{ACCA1A47-0FD9-4BD8-B500-CA0E359725DD}" name="Actual Cost" dataDxfId="485" totalsRowDxfId="484"/>
    <tableColumn id="4" xr3:uid="{3F16E329-10FB-49AF-8FF0-A5D43F04576F}" name="Difference" totalsRowFunction="sum" dataDxfId="483" totalsRowDxfId="482">
      <calculatedColumnFormula>Entertainment263850627415[[#This Row],[Projected Cost]]-Entertainment263850627415[[#This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Entertainment Costs in this table. Difference is auto calculated"/>
    </ext>
  </extLst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808DAA0-B746-402A-B509-9462373D9C34}" name="Loans273951637516" displayName="Loans273951637516" ref="G24:J31" totalsRowCount="1">
  <autoFilter ref="G24:J30" xr:uid="{00000000-0009-0000-0100-000003000000}">
    <filterColumn colId="0" hiddenButton="1"/>
    <filterColumn colId="1" hiddenButton="1"/>
    <filterColumn colId="2" hiddenButton="1"/>
    <filterColumn colId="3" hiddenButton="1"/>
  </autoFilter>
  <tableColumns count="4">
    <tableColumn id="1" xr3:uid="{19F83E3C-AB86-4BB5-B175-1EC43EA43CDF}" name="LOANS" totalsRowLabel="Subtotal"/>
    <tableColumn id="2" xr3:uid="{FF058D94-2C87-444A-8061-F86CEC854C52}" name="Projected Cost" totalsRowFunction="sum" dataDxfId="481" totalsRowDxfId="480"/>
    <tableColumn id="3" xr3:uid="{35C9D302-9570-4995-B7C9-D2DF428788C2}" name="Actual Cost" totalsRowFunction="sum" dataDxfId="479" totalsRowDxfId="478"/>
    <tableColumn id="4" xr3:uid="{EA84F0EF-C4AA-4EF6-8349-C98E8E1FA0EE}" name="Difference" totalsRowFunction="sum" dataDxfId="477" totalsRowDxfId="476">
      <calculatedColumnFormula>Loans273951637516[[#This Row],[Projected Cost]]-Loans273951637516[[#This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Loan Costs in this table. Difference is auto calculated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A15FC5F2-D344-410E-BBEB-01A1F9795DFA}" name="Transportation28405264761789" displayName="Transportation28405264761789" ref="B25:E33" totalsRowCount="1" headerRowCellStyle="Normal">
  <autoFilter ref="B25:E32" xr:uid="{00000000-0009-0000-0100-000004000000}">
    <filterColumn colId="0" hiddenButton="1"/>
    <filterColumn colId="1" hiddenButton="1"/>
    <filterColumn colId="2" hiddenButton="1"/>
    <filterColumn colId="3" hiddenButton="1"/>
  </autoFilter>
  <tableColumns count="4">
    <tableColumn id="1" xr3:uid="{6DBDFBE1-6FAC-48EF-95C5-1FE5B50F9ACB}" name="TRANSPORTATION" totalsRowLabel="Subtotal"/>
    <tableColumn id="2" xr3:uid="{FA502D5A-BEA7-491A-AD08-5A4BDEEEDF30}" name="Projected Cost" totalsRowFunction="sum" dataDxfId="685" totalsRowDxfId="684"/>
    <tableColumn id="3" xr3:uid="{CE51F0C0-A6FA-46DB-B744-959D68E87CCE}" name="Actual Cost" totalsRowFunction="sum" dataDxfId="683" totalsRowDxfId="682"/>
    <tableColumn id="4" xr3:uid="{778576EF-58BB-4E93-BC02-07A90C88D507}" name="Difference" totalsRowFunction="sum" dataDxfId="681" totalsRowDxfId="680">
      <calculatedColumnFormula>Transportation28405264761789[[#This Row],[Projected Cost]]-Transportation28405264761789[[#This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Transportation Costs in this table. Difference is auto calculated"/>
    </ext>
  </extLst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C5E0995-D929-4DA5-9BD9-CB6980318E39}" name="Transportation284052647617" displayName="Transportation284052647617" ref="B25:E33" totalsRowCount="1" headerRowCellStyle="Normal">
  <autoFilter ref="B25:E32" xr:uid="{00000000-0009-0000-0100-000004000000}">
    <filterColumn colId="0" hiddenButton="1"/>
    <filterColumn colId="1" hiddenButton="1"/>
    <filterColumn colId="2" hiddenButton="1"/>
    <filterColumn colId="3" hiddenButton="1"/>
  </autoFilter>
  <tableColumns count="4">
    <tableColumn id="1" xr3:uid="{92468598-54CC-497A-B30D-5BA87BBA63FD}" name="TRANSPORTATION" totalsRowLabel="Subtotal"/>
    <tableColumn id="2" xr3:uid="{55BDF648-AC3B-4B9F-8EBE-4EE057D80D9C}" name="Projected Cost" totalsRowFunction="sum" dataDxfId="475" totalsRowDxfId="474"/>
    <tableColumn id="3" xr3:uid="{BCD0FB4C-230F-47CE-AED9-410698EF1071}" name="Actual Cost" totalsRowFunction="sum" dataDxfId="473" totalsRowDxfId="472"/>
    <tableColumn id="4" xr3:uid="{13F7F289-DAA3-4A59-90F2-E3E07140CA72}" name="Difference" totalsRowFunction="sum" dataDxfId="471" totalsRowDxfId="470">
      <calculatedColumnFormula>Transportation284052647617[[#This Row],[Projected Cost]]-Transportation284052647617[[#This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Transportation Costs in this table. Difference is auto calculated"/>
    </ext>
  </extLst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17A3F97-D9AB-4E9B-A6C9-CC2E3B69FF51}" name="Insurance294153657718" displayName="Insurance294153657718" ref="B35:E40" totalsRowCount="1" headerRowCellStyle="Normal">
  <autoFilter ref="B35:E39" xr:uid="{00000000-0009-0000-0100-000005000000}">
    <filterColumn colId="0" hiddenButton="1"/>
    <filterColumn colId="1" hiddenButton="1"/>
    <filterColumn colId="2" hiddenButton="1"/>
    <filterColumn colId="3" hiddenButton="1"/>
  </autoFilter>
  <tableColumns count="4">
    <tableColumn id="1" xr3:uid="{56D5A8B3-DAD0-4961-8568-6DC8BBDF555D}" name="INSURANCE" totalsRowLabel="Subtotal"/>
    <tableColumn id="2" xr3:uid="{4C44E1FF-ADAF-4B87-ADB4-6E0A83182846}" name="Projected Cost" dataDxfId="469" totalsRowDxfId="468"/>
    <tableColumn id="3" xr3:uid="{DF75EEB3-4583-4C88-BC04-4440175CF0FF}" name="Actual Cost" dataDxfId="467" totalsRowDxfId="466"/>
    <tableColumn id="4" xr3:uid="{FD247236-FEA0-4F92-8FE7-25E009B842D9}" name="Difference" totalsRowFunction="sum" dataDxfId="465" totalsRowDxfId="464">
      <calculatedColumnFormula>Insurance294153657718[[#This Row],[Projected Cost]]-Insurance294153657718[[#This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Insurance Costs in this table. Difference is auto calculated"/>
    </ext>
  </extLst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60639CF-D659-445E-8746-9B7AAE7DC762}" name="Taxes304254667819" displayName="Taxes304254667819" ref="G33:J38" totalsRowCount="1" headerRowCellStyle="Normal">
  <autoFilter ref="G33:J37" xr:uid="{00000000-0009-0000-0100-000006000000}">
    <filterColumn colId="0" hiddenButton="1"/>
    <filterColumn colId="1" hiddenButton="1"/>
    <filterColumn colId="2" hiddenButton="1"/>
    <filterColumn colId="3" hiddenButton="1"/>
  </autoFilter>
  <tableColumns count="4">
    <tableColumn id="1" xr3:uid="{F851C8A1-7E4D-4167-A64D-282FDB1AC4C2}" name="TAXES" totalsRowLabel="Subtotal"/>
    <tableColumn id="2" xr3:uid="{64538BE7-F6F0-4265-BEEC-7D32A51DF6C6}" name="Projected Cost" dataDxfId="463" totalsRowDxfId="462"/>
    <tableColumn id="3" xr3:uid="{2F939763-C559-41DD-81FC-F73082395C41}" name="Actual Cost" dataDxfId="461" totalsRowDxfId="460"/>
    <tableColumn id="4" xr3:uid="{F22EAFC1-B51B-4771-9C7B-F3B10EF90A73}" name="Difference" totalsRowFunction="sum" dataDxfId="459" totalsRowDxfId="458">
      <calculatedColumnFormula>Taxes304254667819[[#This Row],[Projected Cost]]-Taxes304254667819[[#This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Taxes Costs in this table. Difference is auto calculated"/>
    </ext>
  </extLst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1751E64-ABD9-4A1A-9579-D14426682698}" name="Savings314355677920" displayName="Savings314355677920" ref="G40:J44" totalsRowCount="1" headerRowCellStyle="Normal">
  <autoFilter ref="G40:J43" xr:uid="{00000000-0009-0000-0100-000007000000}">
    <filterColumn colId="0" hiddenButton="1"/>
    <filterColumn colId="1" hiddenButton="1"/>
    <filterColumn colId="2" hiddenButton="1"/>
    <filterColumn colId="3" hiddenButton="1"/>
  </autoFilter>
  <tableColumns count="4">
    <tableColumn id="1" xr3:uid="{E47256D4-176C-467B-BAAF-C25DF0D1D484}" name="SAVINGS OR INVESTMENTS" totalsRowLabel="Subtotal"/>
    <tableColumn id="2" xr3:uid="{B69EC336-8796-4C8F-B4CB-611A8FEB84B2}" name="Projected Cost" totalsRowFunction="sum" dataDxfId="457" totalsRowDxfId="456"/>
    <tableColumn id="3" xr3:uid="{1DC9CD48-6EE4-4AFE-9E35-593E2F21BA03}" name="Actual Cost" totalsRowFunction="sum" dataDxfId="455" totalsRowDxfId="454"/>
    <tableColumn id="4" xr3:uid="{68FE8C65-D44C-4A87-B702-DBFE76CAF984}" name="Difference" totalsRowFunction="sum" dataDxfId="453" totalsRowDxfId="452">
      <calculatedColumnFormula>Savings314355677920[[#This Row],[Projected Cost]]-Savings314355677920[[#This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Costs for Savings or Investments in this table. Difference is auto calculated"/>
    </ext>
  </extLst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FA790332-7F50-447D-8304-793BC34D26CE}" name="Food324456688021" displayName="Food324456688021" ref="B42:E46" totalsRowCount="1" headerRowCellStyle="Normal">
  <autoFilter ref="B42:E45" xr:uid="{00000000-0009-0000-0100-000008000000}">
    <filterColumn colId="0" hiddenButton="1"/>
    <filterColumn colId="1" hiddenButton="1"/>
    <filterColumn colId="2" hiddenButton="1"/>
    <filterColumn colId="3" hiddenButton="1"/>
  </autoFilter>
  <tableColumns count="4">
    <tableColumn id="1" xr3:uid="{1EF92760-40D7-4C73-819F-069B0FCD5013}" name="FOOD" totalsRowLabel="Subtotal"/>
    <tableColumn id="2" xr3:uid="{3665EDDA-AAF0-4413-A298-4AFBE41535C3}" name="Projected Cost" totalsRowFunction="sum" dataDxfId="451" totalsRowDxfId="450"/>
    <tableColumn id="3" xr3:uid="{009F66EB-7C6C-4E4D-80FD-73F9E9D27F7D}" name="Actual Cost" totalsRowFunction="sum" dataDxfId="449" totalsRowDxfId="448"/>
    <tableColumn id="4" xr3:uid="{ACB9FD6E-87FC-487A-A259-1E4B317F7DC0}" name="Difference" totalsRowFunction="sum" dataDxfId="447" totalsRowDxfId="446">
      <calculatedColumnFormula>Food324456688021[[#This Row],[Projected Cost]]-Food324456688021[[#This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Food Costs in this table. Difference is auto calculated"/>
    </ext>
  </extLst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B4CA19D9-E14F-4F4C-AD79-45896A868887}" name="Gifts334557698122" displayName="Gifts334557698122" ref="G46:J50" totalsRowCount="1" headerRowCellStyle="Normal">
  <autoFilter ref="G46:J49" xr:uid="{00000000-0009-0000-0100-000009000000}">
    <filterColumn colId="0" hiddenButton="1"/>
    <filterColumn colId="1" hiddenButton="1"/>
    <filterColumn colId="2" hiddenButton="1"/>
    <filterColumn colId="3" hiddenButton="1"/>
  </autoFilter>
  <tableColumns count="4">
    <tableColumn id="1" xr3:uid="{3E6BA64A-3A49-49D8-A3DC-21634F593978}" name="GIFTS AND DONATIONS" totalsRowLabel="Subtotal"/>
    <tableColumn id="2" xr3:uid="{41466C2B-EB76-44C5-A603-01C9EE051C3A}" name="Projected Cost" dataDxfId="445" totalsRowDxfId="444"/>
    <tableColumn id="3" xr3:uid="{7F47B7E1-88E9-4D51-A6CD-5EE8D9269336}" name="Actual Cost" dataDxfId="443" totalsRowDxfId="442"/>
    <tableColumn id="4" xr3:uid="{25AEA17D-B834-4ED0-B905-F3EB0155B3D8}" name="Difference" totalsRowFunction="sum" dataDxfId="441" totalsRowDxfId="440">
      <calculatedColumnFormula>Gifts334557698122[[#This Row],[Projected Cost]]-Gifts334557698122[[#This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Costs for Gifts and Donations in this table. Difference is auto calculated"/>
    </ext>
  </extLst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73FD15BE-EF8B-44F2-9944-3B6B5C14996C}" name="Pets344658708223" displayName="Pets344658708223" ref="B48:E54" totalsRowCount="1">
  <autoFilter ref="B48:E53" xr:uid="{00000000-0009-0000-0100-00000A000000}">
    <filterColumn colId="0" hiddenButton="1"/>
    <filterColumn colId="1" hiddenButton="1"/>
    <filterColumn colId="2" hiddenButton="1"/>
    <filterColumn colId="3" hiddenButton="1"/>
  </autoFilter>
  <tableColumns count="4">
    <tableColumn id="1" xr3:uid="{F3A9A70D-2D77-4B88-A06D-7F1D4E55B0E4}" name="PETS" totalsRowLabel="Subtotal"/>
    <tableColumn id="2" xr3:uid="{3A3E00AD-A0FC-476B-92DE-8141789E9FF8}" name="Projected Cost" dataDxfId="439" totalsRowDxfId="438"/>
    <tableColumn id="3" xr3:uid="{4DF57CFE-C96D-4DD4-A769-4EA9BD332EC3}" name="Actual Cost" dataDxfId="437" totalsRowDxfId="436"/>
    <tableColumn id="4" xr3:uid="{BB3DAED9-237F-43F0-9997-EF2D46560566}" name="Difference" totalsRowFunction="sum" dataDxfId="435" totalsRowDxfId="434">
      <calculatedColumnFormula>Pets344658708223[[#This Row],[Projected Cost]]-Pets344658708223[[#This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Pets Costs in this table. Difference is auto calculated"/>
    </ext>
  </extLst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82555498-6FCE-4BE3-A0E3-4897844CF1FD}" name="Legal354759718324" displayName="Legal354759718324" ref="G52:J57" totalsRowCount="1" headerRowCellStyle="Normal">
  <autoFilter ref="G52:J56" xr:uid="{00000000-0009-0000-0100-00000B000000}">
    <filterColumn colId="0" hiddenButton="1"/>
    <filterColumn colId="1" hiddenButton="1"/>
    <filterColumn colId="2" hiddenButton="1"/>
    <filterColumn colId="3" hiddenButton="1"/>
  </autoFilter>
  <tableColumns count="4">
    <tableColumn id="1" xr3:uid="{AC329FE1-1F9B-4A60-8256-3A70813A8833}" name="CHINNI EXPENSES" totalsRowLabel="Subtotal"/>
    <tableColumn id="2" xr3:uid="{944CBA2F-4F71-4393-B40C-2D113DD1DF1A}" name="Projected Cost" totalsRowFunction="sum" dataDxfId="433" totalsRowDxfId="432"/>
    <tableColumn id="3" xr3:uid="{01EEE860-871C-4B1C-876A-52E275F99393}" name="Actual Cost" totalsRowFunction="sum" dataDxfId="431" totalsRowDxfId="430"/>
    <tableColumn id="4" xr3:uid="{900A0641-8D16-4BCB-9E09-C83B8AA950F1}" name="Difference" totalsRowFunction="sum" dataDxfId="429" totalsRowDxfId="428">
      <calculatedColumnFormula>Legal354759718324[[#This Row],[Projected Cost]]-Legal354759718324[[#This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Legal Costs in this table. Difference is auto calculated"/>
    </ext>
  </extLst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26E69E41-41F9-427A-AD12-F3929F1D46C6}" name="PersonalCare364860728485" displayName="PersonalCare364860728485" ref="B56:E64" totalsRowCount="1">
  <autoFilter ref="B56:E63" xr:uid="{00000000-0009-0000-0100-00000C000000}">
    <filterColumn colId="0" hiddenButton="1"/>
    <filterColumn colId="1" hiddenButton="1"/>
    <filterColumn colId="2" hiddenButton="1"/>
    <filterColumn colId="3" hiddenButton="1"/>
  </autoFilter>
  <tableColumns count="4">
    <tableColumn id="1" xr3:uid="{656FFE99-F308-4B9A-960D-247083268A2F}" name="PERSONAL CARE" totalsRowLabel="Subtotal" totalsRowDxfId="427"/>
    <tableColumn id="2" xr3:uid="{5D5EA0FC-2740-4210-8D00-F46069121C23}" name="z" totalsRowDxfId="426"/>
    <tableColumn id="3" xr3:uid="{CCBABBB5-6BF3-475D-B941-273BCBF0CD88}" name="Actual Cost" totalsRowDxfId="425"/>
    <tableColumn id="4" xr3:uid="{543625A6-0C4D-4342-A820-D448B5098D82}" name="Difference" totalsRowFunction="sum" totalsRowDxfId="424">
      <calculatedColumnFormula>PersonalCare364860728485[[#This Row],[z]]-PersonalCare364860728485[[#This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Personal Care Costs in this table. Difference is auto calculated"/>
    </ext>
  </extLst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047C9F35-56DA-444F-A9EC-272F6AA26881}" name="Housing2537496173" displayName="Housing2537496173" ref="B12:E23" totalsRowCount="1">
  <autoFilter ref="B12:E22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1" xr3:uid="{9C57E1ED-00AE-4BA2-B8AE-18559A10EA9A}" name="HOUSING" totalsRowLabel="Subtotal" totalsRowDxfId="421"/>
    <tableColumn id="2" xr3:uid="{9D9BCD45-48A1-4BD6-8C7E-DB75D956DBB2}" name="Projected Cost" totalsRowFunction="sum" totalsRowDxfId="420"/>
    <tableColumn id="3" xr3:uid="{BF29C549-5783-4BB5-8F56-C7DFF61AC47A}" name="Actual Cost" totalsRowFunction="sum" totalsRowDxfId="419"/>
    <tableColumn id="4" xr3:uid="{B3AE509E-99CB-454D-ADAA-156409770D54}" name="Difference" totalsRowFunction="sum" totalsRowDxfId="418">
      <calculatedColumnFormula>Housing2537496173[[#This Row],[Projected Cost]]-Housing2537496173[[#This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Housing Costs in this table. Difference is auto calculated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0E8199DA-87EF-4393-B9E9-F940E2A60672}" name="Insurance29415365771890" displayName="Insurance29415365771890" ref="B35:E40" totalsRowCount="1" headerRowCellStyle="Normal">
  <autoFilter ref="B35:E39" xr:uid="{00000000-0009-0000-0100-000005000000}">
    <filterColumn colId="0" hiddenButton="1"/>
    <filterColumn colId="1" hiddenButton="1"/>
    <filterColumn colId="2" hiddenButton="1"/>
    <filterColumn colId="3" hiddenButton="1"/>
  </autoFilter>
  <tableColumns count="4">
    <tableColumn id="1" xr3:uid="{F405863B-F0D2-4576-83AD-B6A542C34DD6}" name="INSURANCE" totalsRowLabel="Subtotal"/>
    <tableColumn id="2" xr3:uid="{305C2953-75AC-49A2-BFB6-4AB6C9AA4201}" name="Projected Cost" dataDxfId="679" totalsRowDxfId="678"/>
    <tableColumn id="3" xr3:uid="{ABAC919F-726E-419C-9B66-69FD91FA7FFF}" name="Actual Cost" dataDxfId="677" totalsRowDxfId="676"/>
    <tableColumn id="4" xr3:uid="{65F4BEC4-48A6-4A25-81C9-49A9574AD055}" name="Difference" totalsRowFunction="sum" dataDxfId="675" totalsRowDxfId="674">
      <calculatedColumnFormula>Insurance29415365771890[[#This Row],[Projected Cost]]-Insurance29415365771890[[#This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Insurance Costs in this table. Difference is auto calculated"/>
    </ext>
  </extLst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AE52FF7E-F196-4DEA-9DE6-F8016AF02590}" name="Entertainment2638506274" displayName="Entertainment2638506274" ref="G12:J22" totalsRowCount="1" headerRowCellStyle="Normal">
  <autoFilter ref="G12:J21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9A56262-BE69-4D3F-BF60-098876F3F0A0}" name="ENTERTAINMENT" totalsRowLabel="Subtotal"/>
    <tableColumn id="2" xr3:uid="{14E8EE6E-1CD0-4183-A977-2B6DB06BC978}" name="Projected Cost" dataDxfId="417" totalsRowDxfId="416"/>
    <tableColumn id="3" xr3:uid="{CA28620F-B474-4807-8A3B-D7A57CA4E03F}" name="Actual Cost" dataDxfId="415" totalsRowDxfId="414"/>
    <tableColumn id="4" xr3:uid="{B97CE30A-E30D-4F6C-8420-1D51CF5E262D}" name="Difference" totalsRowFunction="sum" dataDxfId="413" totalsRowDxfId="412">
      <calculatedColumnFormula>Entertainment2638506274[[#This Row],[Projected Cost]]-Entertainment2638506274[[#This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Entertainment Costs in this table. Difference is auto calculated"/>
    </ext>
  </extLst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33098C73-71CD-4F62-979B-EE1E112E5296}" name="Loans2739516375" displayName="Loans2739516375" ref="G24:J33" totalsRowCount="1">
  <autoFilter ref="G24:J32" xr:uid="{00000000-0009-0000-0100-000003000000}">
    <filterColumn colId="0" hiddenButton="1"/>
    <filterColumn colId="1" hiddenButton="1"/>
    <filterColumn colId="2" hiddenButton="1"/>
    <filterColumn colId="3" hiddenButton="1"/>
  </autoFilter>
  <tableColumns count="4">
    <tableColumn id="1" xr3:uid="{BD44633D-B49B-40B3-A64B-50D93D02B094}" name="LOANS" totalsRowLabel="Subtotal"/>
    <tableColumn id="2" xr3:uid="{81F3FF60-1773-43F4-9014-68D6DB00AC5F}" name="Projected Cost" totalsRowFunction="sum" dataDxfId="411" totalsRowDxfId="410"/>
    <tableColumn id="3" xr3:uid="{E69836D6-D85C-4F78-9E86-1FD1729C30B5}" name="Actual Cost" totalsRowFunction="sum" dataDxfId="409" totalsRowDxfId="408"/>
    <tableColumn id="4" xr3:uid="{B7C79FFF-533B-4186-830A-C62D03D6E72F}" name="Difference" totalsRowFunction="sum" dataDxfId="407" totalsRowDxfId="406">
      <calculatedColumnFormula>Loans2739516375[[#This Row],[Projected Cost]]-Loans2739516375[[#This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Loan Costs in this table. Difference is auto calculated"/>
    </ext>
  </extLst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A5524376-E0DA-4AF0-A369-80C9F7DAB9F7}" name="Transportation2840526476" displayName="Transportation2840526476" ref="B25:E33" totalsRowCount="1" headerRowCellStyle="Normal">
  <autoFilter ref="B25:E32" xr:uid="{00000000-0009-0000-0100-000004000000}">
    <filterColumn colId="0" hiddenButton="1"/>
    <filterColumn colId="1" hiddenButton="1"/>
    <filterColumn colId="2" hiddenButton="1"/>
    <filterColumn colId="3" hiddenButton="1"/>
  </autoFilter>
  <tableColumns count="4">
    <tableColumn id="1" xr3:uid="{B9B4FF78-6A30-4893-9FC3-F9A63563DD7D}" name="TRANSPORTATION" totalsRowLabel="Subtotal"/>
    <tableColumn id="2" xr3:uid="{6512DCD2-60A4-4F56-BB93-93173618024F}" name="Projected Cost" totalsRowFunction="sum" dataDxfId="405" totalsRowDxfId="404"/>
    <tableColumn id="3" xr3:uid="{3B9E2FA0-5F0F-4D5D-AD2E-8A5E83C4F882}" name="Actual Cost" totalsRowFunction="sum" dataDxfId="403" totalsRowDxfId="402"/>
    <tableColumn id="4" xr3:uid="{D275DC5A-0DF5-4EEA-9C91-F614DB4604B9}" name="Difference" totalsRowFunction="sum" dataDxfId="401" totalsRowDxfId="400">
      <calculatedColumnFormula>Transportation2840526476[[#This Row],[Projected Cost]]-Transportation2840526476[[#This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Transportation Costs in this table. Difference is auto calculated"/>
    </ext>
  </extLst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680649CF-C07A-4F54-83E1-3010F85CCF5D}" name="Insurance2941536577" displayName="Insurance2941536577" ref="B35:E40" totalsRowCount="1" headerRowCellStyle="Normal">
  <autoFilter ref="B35:E39" xr:uid="{00000000-0009-0000-0100-000005000000}">
    <filterColumn colId="0" hiddenButton="1"/>
    <filterColumn colId="1" hiddenButton="1"/>
    <filterColumn colId="2" hiddenButton="1"/>
    <filterColumn colId="3" hiddenButton="1"/>
  </autoFilter>
  <tableColumns count="4">
    <tableColumn id="1" xr3:uid="{FF98CE20-69F1-4FC0-AD0E-06F5FF8C4732}" name="INSURANCE" totalsRowLabel="Subtotal"/>
    <tableColumn id="2" xr3:uid="{D7271132-CC7B-4DE8-B0B8-5C20276F4695}" name="Projected Cost" dataDxfId="399" totalsRowDxfId="398"/>
    <tableColumn id="3" xr3:uid="{A354842B-9510-4D1C-9862-02F8C132FC24}" name="Actual Cost" dataDxfId="397" totalsRowDxfId="396"/>
    <tableColumn id="4" xr3:uid="{2D49493B-03BE-41B6-B5DA-9C4843899C48}" name="Difference" totalsRowFunction="sum" dataDxfId="395" totalsRowDxfId="394">
      <calculatedColumnFormula>Insurance2941536577[[#This Row],[Projected Cost]]-Insurance2941536577[[#This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Insurance Costs in this table. Difference is auto calculated"/>
    </ext>
  </extLst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6F7F02D0-946C-4FF8-9B50-58BA35B5F613}" name="Taxes3042546678" displayName="Taxes3042546678" ref="G35:J40" totalsRowCount="1" headerRowCellStyle="Normal">
  <autoFilter ref="G35:J39" xr:uid="{00000000-0009-0000-0100-000006000000}">
    <filterColumn colId="0" hiddenButton="1"/>
    <filterColumn colId="1" hiddenButton="1"/>
    <filterColumn colId="2" hiddenButton="1"/>
    <filterColumn colId="3" hiddenButton="1"/>
  </autoFilter>
  <tableColumns count="4">
    <tableColumn id="1" xr3:uid="{FD448E4A-672A-443D-91ED-72772C9B4592}" name="TAXES" totalsRowLabel="Subtotal"/>
    <tableColumn id="2" xr3:uid="{D1EB5634-67AD-46F9-8E2B-F8E6CAE3C84C}" name="Projected Cost" dataDxfId="393" totalsRowDxfId="392"/>
    <tableColumn id="3" xr3:uid="{A7E12A72-8A5C-4E61-AAA0-C039C49CF226}" name="Actual Cost" dataDxfId="391" totalsRowDxfId="390"/>
    <tableColumn id="4" xr3:uid="{2F650FCB-F94E-4F60-8E14-836A7B7A20C5}" name="Difference" totalsRowFunction="sum" dataDxfId="389" totalsRowDxfId="388">
      <calculatedColumnFormula>Taxes3042546678[[#This Row],[Projected Cost]]-Taxes3042546678[[#This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Taxes Costs in this table. Difference is auto calculated"/>
    </ext>
  </extLst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E3B0D744-EA4A-4027-96D3-E6ADF66AD467}" name="Savings3143556779" displayName="Savings3143556779" ref="G42:J46" totalsRowCount="1" headerRowCellStyle="Normal">
  <autoFilter ref="G42:J45" xr:uid="{00000000-0009-0000-0100-000007000000}">
    <filterColumn colId="0" hiddenButton="1"/>
    <filterColumn colId="1" hiddenButton="1"/>
    <filterColumn colId="2" hiddenButton="1"/>
    <filterColumn colId="3" hiddenButton="1"/>
  </autoFilter>
  <tableColumns count="4">
    <tableColumn id="1" xr3:uid="{776A32A2-8A17-4179-91C9-6F9B6B3EAFB0}" name="SAVINGS OR INVESTMENTS" totalsRowLabel="Subtotal"/>
    <tableColumn id="2" xr3:uid="{5B8F6102-9F21-4E9B-91A0-7B14ABCEC2FD}" name="Projected Cost" totalsRowFunction="sum" dataDxfId="387" totalsRowDxfId="386"/>
    <tableColumn id="3" xr3:uid="{A9E566FD-E53E-43BA-85A6-F1407A0C094B}" name="Actual Cost" totalsRowFunction="sum" dataDxfId="385" totalsRowDxfId="384"/>
    <tableColumn id="4" xr3:uid="{E1199128-EA9E-4073-B4DD-A6154C8CE0A2}" name="Difference" totalsRowFunction="sum" dataDxfId="383" totalsRowDxfId="382">
      <calculatedColumnFormula>Savings3143556779[[#This Row],[Projected Cost]]-Savings3143556779[[#This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Costs for Savings or Investments in this table. Difference is auto calculated"/>
    </ext>
  </extLst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2F555893-A05A-43E5-864C-6A0A9AA5B71E}" name="Food3244566880" displayName="Food3244566880" ref="B42:E46" totalsRowCount="1" headerRowCellStyle="Normal">
  <autoFilter ref="B42:E45" xr:uid="{00000000-0009-0000-0100-000008000000}">
    <filterColumn colId="0" hiddenButton="1"/>
    <filterColumn colId="1" hiddenButton="1"/>
    <filterColumn colId="2" hiddenButton="1"/>
    <filterColumn colId="3" hiddenButton="1"/>
  </autoFilter>
  <tableColumns count="4">
    <tableColumn id="1" xr3:uid="{C26CA9C0-39A1-4B64-8916-B11DB808DA94}" name="FOOD" totalsRowLabel="Subtotal"/>
    <tableColumn id="2" xr3:uid="{B8FBD2A0-7152-4846-85B3-D0705A33B263}" name="Projected Cost" totalsRowFunction="sum" dataDxfId="381" totalsRowDxfId="380"/>
    <tableColumn id="3" xr3:uid="{9D5FBB5D-D0EB-4555-9991-7CDA272FE405}" name="Actual Cost" totalsRowFunction="sum" dataDxfId="379" totalsRowDxfId="378"/>
    <tableColumn id="4" xr3:uid="{F084C36B-FA3E-4A1F-B290-32E1AEAA6DB6}" name="Difference" totalsRowFunction="sum" dataDxfId="377" totalsRowDxfId="376">
      <calculatedColumnFormula>Food3244566880[[#This Row],[Projected Cost]]-Food3244566880[[#This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Food Costs in this table. Difference is auto calculated"/>
    </ext>
  </extLst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6EB1B3D8-C03E-415B-9874-4855E8E31372}" name="Gifts3345576981" displayName="Gifts3345576981" ref="G48:J52" totalsRowCount="1" headerRowCellStyle="Normal">
  <autoFilter ref="G48:J51" xr:uid="{00000000-0009-0000-0100-000009000000}">
    <filterColumn colId="0" hiddenButton="1"/>
    <filterColumn colId="1" hiddenButton="1"/>
    <filterColumn colId="2" hiddenButton="1"/>
    <filterColumn colId="3" hiddenButton="1"/>
  </autoFilter>
  <tableColumns count="4">
    <tableColumn id="1" xr3:uid="{14C9BDE6-1678-4A79-9668-45CEBCC167ED}" name="GIFTS AND DONATIONS" totalsRowLabel="Subtotal"/>
    <tableColumn id="2" xr3:uid="{8A74779D-5338-462C-B72D-1D3DDB89A242}" name="Projected Cost" dataDxfId="375" totalsRowDxfId="374"/>
    <tableColumn id="3" xr3:uid="{14591FF4-82C5-4F5B-92C2-F8728023E0C5}" name="Actual Cost" dataDxfId="373" totalsRowDxfId="372"/>
    <tableColumn id="4" xr3:uid="{012CE4E2-9129-4EF3-BCB0-2D0E83987FE0}" name="Difference" totalsRowFunction="sum" dataDxfId="371" totalsRowDxfId="370">
      <calculatedColumnFormula>Gifts3345576981[[#This Row],[Projected Cost]]-Gifts3345576981[[#This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Costs for Gifts and Donations in this table. Difference is auto calculated"/>
    </ext>
  </extLst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5E698692-9E67-4BE0-BB65-4B4BA2BEE1DA}" name="Pets3446587082" displayName="Pets3446587082" ref="B48:E54" totalsRowCount="1">
  <autoFilter ref="B48:E53" xr:uid="{00000000-0009-0000-0100-00000A000000}">
    <filterColumn colId="0" hiddenButton="1"/>
    <filterColumn colId="1" hiddenButton="1"/>
    <filterColumn colId="2" hiddenButton="1"/>
    <filterColumn colId="3" hiddenButton="1"/>
  </autoFilter>
  <tableColumns count="4">
    <tableColumn id="1" xr3:uid="{CC6F0123-177A-48F6-843F-0FB1EE67F497}" name="PETS" totalsRowLabel="Subtotal"/>
    <tableColumn id="2" xr3:uid="{76DABA45-DC75-48A9-8327-C3B8BF749A94}" name="Projected Cost" dataDxfId="369" totalsRowDxfId="368"/>
    <tableColumn id="3" xr3:uid="{FDB45139-BD9A-4A8D-9233-CB4D28F97BCC}" name="Actual Cost" dataDxfId="367" totalsRowDxfId="366"/>
    <tableColumn id="4" xr3:uid="{3BF19074-2798-485F-BA34-7F3444DC643C}" name="Difference" totalsRowFunction="sum" dataDxfId="365" totalsRowDxfId="364">
      <calculatedColumnFormula>Pets3446587082[[#This Row],[Projected Cost]]-Pets3446587082[[#This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Pets Costs in this table. Difference is auto calculated"/>
    </ext>
  </extLst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25A5EA18-F67C-4EC8-BE78-CFEEAC11557B}" name="Legal3547597183" displayName="Legal3547597183" ref="G54:J61" totalsRowCount="1" headerRowCellStyle="Normal">
  <autoFilter ref="G54:J60" xr:uid="{00000000-0009-0000-0100-00000B000000}">
    <filterColumn colId="0" hiddenButton="1"/>
    <filterColumn colId="1" hiddenButton="1"/>
    <filterColumn colId="2" hiddenButton="1"/>
    <filterColumn colId="3" hiddenButton="1"/>
  </autoFilter>
  <tableColumns count="4">
    <tableColumn id="1" xr3:uid="{250982FA-504E-4AB3-88C7-150F6341E57B}" name="CHINNI EXPENSES" totalsRowLabel="Subtotal"/>
    <tableColumn id="2" xr3:uid="{5E13E95E-7F00-4341-8A78-E4622F8D58F4}" name="Projected Cost" totalsRowFunction="sum" dataDxfId="363" totalsRowDxfId="362"/>
    <tableColumn id="3" xr3:uid="{09A129B0-31C9-4AF8-8A8D-A9DB89AAC717}" name="Actual Cost" totalsRowFunction="sum" dataDxfId="361" totalsRowDxfId="360"/>
    <tableColumn id="4" xr3:uid="{5A5C3D49-63CA-4B78-B5B3-31321454EFA4}" name="Difference" totalsRowFunction="sum" dataDxfId="359" totalsRowDxfId="358">
      <calculatedColumnFormula>Legal3547597183[[#This Row],[Projected Cost]]-Legal3547597183[[#This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Legal Costs in this table. Difference is auto calculated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BCD0FE3D-6562-4567-B04D-D7073F3F9F57}" name="Taxes30425466781991" displayName="Taxes30425466781991" ref="G39:J44" totalsRowCount="1" headerRowCellStyle="Normal">
  <autoFilter ref="G39:J43" xr:uid="{00000000-0009-0000-0100-000006000000}">
    <filterColumn colId="0" hiddenButton="1"/>
    <filterColumn colId="1" hiddenButton="1"/>
    <filterColumn colId="2" hiddenButton="1"/>
    <filterColumn colId="3" hiddenButton="1"/>
  </autoFilter>
  <tableColumns count="4">
    <tableColumn id="1" xr3:uid="{F56E405E-EEEC-4EFB-8A54-FEFECB030A19}" name="TAXES" totalsRowLabel="Subtotal"/>
    <tableColumn id="2" xr3:uid="{B7C5E182-8E56-43A4-A7A4-1AEDAD67CC5D}" name="Projected Cost" dataDxfId="673" totalsRowDxfId="672"/>
    <tableColumn id="3" xr3:uid="{ECC13ADC-40D6-4AC7-9EAA-28219C6CC54D}" name="Actual Cost" dataDxfId="671" totalsRowDxfId="670"/>
    <tableColumn id="4" xr3:uid="{09D43279-1E1C-4534-8CE3-CC0CD48083DB}" name="Difference" totalsRowFunction="sum" dataDxfId="669" totalsRowDxfId="668">
      <calculatedColumnFormula>Taxes30425466781991[[#This Row],[Projected Cost]]-Taxes30425466781991[[#This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Taxes Costs in this table. Difference is auto calculated"/>
    </ext>
  </extLst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DBA028F9-5A3B-4CD2-A2AE-7EF726A12CC0}" name="PersonalCare3648607284" displayName="PersonalCare3648607284" ref="B56:E64" totalsRowCount="1">
  <autoFilter ref="B56:E63" xr:uid="{00000000-0009-0000-0100-00000C000000}">
    <filterColumn colId="0" hiddenButton="1"/>
    <filterColumn colId="1" hiddenButton="1"/>
    <filterColumn colId="2" hiddenButton="1"/>
    <filterColumn colId="3" hiddenButton="1"/>
  </autoFilter>
  <tableColumns count="4">
    <tableColumn id="1" xr3:uid="{4F9DFC94-5A3D-466D-95B5-09982E83BCAE}" name="PERSONAL CARE" totalsRowLabel="Subtotal" totalsRowDxfId="357"/>
    <tableColumn id="2" xr3:uid="{32729EE4-BE4C-47D2-9054-2D2E58C1A3F3}" name="z" totalsRowDxfId="356"/>
    <tableColumn id="3" xr3:uid="{FCDE8BEB-137B-4401-B127-2A0EFA26CD0A}" name="Actual Cost" totalsRowDxfId="355"/>
    <tableColumn id="4" xr3:uid="{5575A86E-499E-42C6-862A-D377BC6125A4}" name="Difference" totalsRowFunction="sum" totalsRowDxfId="354">
      <calculatedColumnFormula>PersonalCare3648607284[[#This Row],[z]]-PersonalCare3648607284[[#This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Personal Care Costs in this table. Difference is auto calculated"/>
    </ext>
  </extLst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AD1B23C6-B978-4ADC-8DCC-3DA653A74963}" name="Housing25374961" displayName="Housing25374961" ref="B12:E23" totalsRowCount="1">
  <autoFilter ref="B12:E22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1" xr3:uid="{4B36B1F2-176B-4D7F-B0A0-33B04C0D2A17}" name="HOUSING" totalsRowLabel="Subtotal" totalsRowDxfId="351"/>
    <tableColumn id="2" xr3:uid="{B3F9A8CF-58A8-4972-BD49-4EBF4324447F}" name="Projected Cost" totalsRowFunction="sum" totalsRowDxfId="350"/>
    <tableColumn id="3" xr3:uid="{5F04415E-13D2-4C4A-B179-8CF529A7F9DC}" name="Actual Cost" totalsRowFunction="sum" totalsRowDxfId="349"/>
    <tableColumn id="4" xr3:uid="{4914DF69-B829-4752-970B-917A22C506DA}" name="Difference" totalsRowFunction="sum" totalsRowDxfId="348">
      <calculatedColumnFormula>Housing25374961[[#This Row],[Projected Cost]]-Housing25374961[[#This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Housing Costs in this table. Difference is auto calculated"/>
    </ext>
  </extLst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3DF059A2-BB7B-4139-A89D-CF412D6FB5D0}" name="Entertainment26385062" displayName="Entertainment26385062" ref="G12:J22" totalsRowCount="1" headerRowCellStyle="Normal">
  <autoFilter ref="G12:J21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AC3E215B-F22F-402A-B345-AD68A1D968AA}" name="ENTERTAINMENT" totalsRowLabel="Subtotal"/>
    <tableColumn id="2" xr3:uid="{684307A5-59C2-4400-B403-7CAAF7E8022F}" name="Projected Cost" dataDxfId="347" totalsRowDxfId="346"/>
    <tableColumn id="3" xr3:uid="{FB23AE16-10D9-4B3E-B935-9DBE537714FC}" name="Actual Cost" dataDxfId="345" totalsRowDxfId="344"/>
    <tableColumn id="4" xr3:uid="{A6FAF5B9-9856-4318-90AE-1E9BA0C5DEAB}" name="Difference" totalsRowFunction="sum" dataDxfId="343" totalsRowDxfId="342">
      <calculatedColumnFormula>Entertainment26385062[[#This Row],[Projected Cost]]-Entertainment26385062[[#This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Entertainment Costs in this table. Difference is auto calculated"/>
    </ext>
  </extLst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683FDD46-B9B2-4F97-97DA-411518D6F930}" name="Loans27395163" displayName="Loans27395163" ref="G24:J33" totalsRowCount="1">
  <autoFilter ref="G24:J32" xr:uid="{00000000-0009-0000-0100-000003000000}">
    <filterColumn colId="0" hiddenButton="1"/>
    <filterColumn colId="1" hiddenButton="1"/>
    <filterColumn colId="2" hiddenButton="1"/>
    <filterColumn colId="3" hiddenButton="1"/>
  </autoFilter>
  <tableColumns count="4">
    <tableColumn id="1" xr3:uid="{9F52DEB8-205A-4537-A245-2E770221C157}" name="LOANS" totalsRowLabel="Subtotal"/>
    <tableColumn id="2" xr3:uid="{7E6D9338-F071-45B7-8531-68B54BB7BCCC}" name="Projected Cost" totalsRowFunction="sum" dataDxfId="341" totalsRowDxfId="340"/>
    <tableColumn id="3" xr3:uid="{23FFF3FF-CA40-4E34-B2A1-778BAB1BE9B9}" name="Actual Cost" totalsRowFunction="sum" dataDxfId="339" totalsRowDxfId="338"/>
    <tableColumn id="4" xr3:uid="{FCDC664A-164C-4FA6-AB0B-168FB17D92CB}" name="Difference" totalsRowFunction="sum" dataDxfId="337" totalsRowDxfId="336">
      <calculatedColumnFormula>Loans27395163[[#This Row],[Projected Cost]]-Loans27395163[[#This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Loan Costs in this table. Difference is auto calculated"/>
    </ext>
  </extLst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6DEF4A7F-2ED0-495F-9F65-DE0247AEA378}" name="Transportation28405264" displayName="Transportation28405264" ref="B25:E33" totalsRowCount="1" headerRowCellStyle="Normal">
  <autoFilter ref="B25:E32" xr:uid="{00000000-0009-0000-0100-000004000000}">
    <filterColumn colId="0" hiddenButton="1"/>
    <filterColumn colId="1" hiddenButton="1"/>
    <filterColumn colId="2" hiddenButton="1"/>
    <filterColumn colId="3" hiddenButton="1"/>
  </autoFilter>
  <tableColumns count="4">
    <tableColumn id="1" xr3:uid="{1C574388-3B78-4F10-8878-A30DD9CE6C9E}" name="TRANSPORTATION" totalsRowLabel="Subtotal"/>
    <tableColumn id="2" xr3:uid="{6811B7DA-1BCE-4E3E-AADA-5CA5A47DFC99}" name="Projected Cost" totalsRowFunction="sum" dataDxfId="335" totalsRowDxfId="334"/>
    <tableColumn id="3" xr3:uid="{3A352037-3121-4A02-94E3-DD0CB758DE44}" name="Actual Cost" totalsRowFunction="sum" dataDxfId="333" totalsRowDxfId="332"/>
    <tableColumn id="4" xr3:uid="{187086F3-511A-4FE0-984D-36942243BACD}" name="Difference" totalsRowFunction="sum" dataDxfId="331" totalsRowDxfId="330">
      <calculatedColumnFormula>Transportation28405264[[#This Row],[Projected Cost]]-Transportation28405264[[#This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Transportation Costs in this table. Difference is auto calculated"/>
    </ext>
  </extLst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9F5C8729-C37D-4701-947F-2FA49A7BDD50}" name="Insurance29415365" displayName="Insurance29415365" ref="B35:E40" totalsRowCount="1" headerRowCellStyle="Normal">
  <autoFilter ref="B35:E39" xr:uid="{00000000-0009-0000-0100-000005000000}">
    <filterColumn colId="0" hiddenButton="1"/>
    <filterColumn colId="1" hiddenButton="1"/>
    <filterColumn colId="2" hiddenButton="1"/>
    <filterColumn colId="3" hiddenButton="1"/>
  </autoFilter>
  <tableColumns count="4">
    <tableColumn id="1" xr3:uid="{E353F520-B71E-42A1-A293-404968AF9306}" name="INSURANCE" totalsRowLabel="Subtotal"/>
    <tableColumn id="2" xr3:uid="{DE9748D4-152E-4852-ACBF-0B70A2B819D3}" name="Projected Cost" dataDxfId="329" totalsRowDxfId="328"/>
    <tableColumn id="3" xr3:uid="{CFDD1970-FFD6-4097-AC88-F32D4DCB4E6F}" name="Actual Cost" dataDxfId="327" totalsRowDxfId="326"/>
    <tableColumn id="4" xr3:uid="{CE950E71-9BA3-429F-BD05-ED801209B438}" name="Difference" totalsRowFunction="sum" dataDxfId="325" totalsRowDxfId="324">
      <calculatedColumnFormula>Insurance29415365[[#This Row],[Projected Cost]]-Insurance29415365[[#This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Insurance Costs in this table. Difference is auto calculated"/>
    </ext>
  </extLst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710373B3-B49E-495D-8B87-3269BD5D1053}" name="Taxes30425466" displayName="Taxes30425466" ref="G35:J40" totalsRowCount="1" headerRowCellStyle="Normal">
  <autoFilter ref="G35:J39" xr:uid="{00000000-0009-0000-0100-000006000000}">
    <filterColumn colId="0" hiddenButton="1"/>
    <filterColumn colId="1" hiddenButton="1"/>
    <filterColumn colId="2" hiddenButton="1"/>
    <filterColumn colId="3" hiddenButton="1"/>
  </autoFilter>
  <tableColumns count="4">
    <tableColumn id="1" xr3:uid="{8441527E-9579-4F6E-AF3F-8D7FFB6AD47A}" name="TAXES" totalsRowLabel="Subtotal"/>
    <tableColumn id="2" xr3:uid="{589D66E5-695E-4A16-B477-5E0DDD26B793}" name="Projected Cost" dataDxfId="323" totalsRowDxfId="322"/>
    <tableColumn id="3" xr3:uid="{B6FA4B5C-6AC4-4E22-9EA0-DCA80BAD89D8}" name="Actual Cost" dataDxfId="321" totalsRowDxfId="320"/>
    <tableColumn id="4" xr3:uid="{C0B30FC3-9DEB-4C14-AC7D-881FD118F54F}" name="Difference" totalsRowFunction="sum" dataDxfId="319" totalsRowDxfId="318">
      <calculatedColumnFormula>Taxes30425466[[#This Row],[Projected Cost]]-Taxes30425466[[#This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Taxes Costs in this table. Difference is auto calculated"/>
    </ext>
  </extLst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A5B1CDA4-4276-4140-9134-16BD09A959AD}" name="Savings31435567" displayName="Savings31435567" ref="G42:J46" totalsRowCount="1" headerRowCellStyle="Normal">
  <autoFilter ref="G42:J45" xr:uid="{00000000-0009-0000-0100-000007000000}">
    <filterColumn colId="0" hiddenButton="1"/>
    <filterColumn colId="1" hiddenButton="1"/>
    <filterColumn colId="2" hiddenButton="1"/>
    <filterColumn colId="3" hiddenButton="1"/>
  </autoFilter>
  <tableColumns count="4">
    <tableColumn id="1" xr3:uid="{D5860B58-BB7C-4A8E-885F-0CACC7802BFE}" name="SAVINGS OR INVESTMENTS" totalsRowLabel="Subtotal"/>
    <tableColumn id="2" xr3:uid="{DD92CA3F-C742-4AE9-8444-1812D18317E8}" name="Projected Cost" totalsRowFunction="sum" dataDxfId="317" totalsRowDxfId="316"/>
    <tableColumn id="3" xr3:uid="{4B9B08D4-13E3-4884-B7AA-49DF6850983B}" name="Actual Cost" totalsRowFunction="sum" dataDxfId="315" totalsRowDxfId="314"/>
    <tableColumn id="4" xr3:uid="{E10AC0B0-C241-494F-9ACC-ABB739976651}" name="Difference" totalsRowFunction="sum" dataDxfId="313" totalsRowDxfId="312">
      <calculatedColumnFormula>Savings31435567[[#This Row],[Projected Cost]]-Savings31435567[[#This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Costs for Savings or Investments in this table. Difference is auto calculated"/>
    </ext>
  </extLst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CC2F3083-541A-42C7-A7B6-7B0878CA2DB0}" name="Food32445668" displayName="Food32445668" ref="B42:E46" totalsRowCount="1" headerRowCellStyle="Normal">
  <autoFilter ref="B42:E45" xr:uid="{00000000-0009-0000-0100-000008000000}">
    <filterColumn colId="0" hiddenButton="1"/>
    <filterColumn colId="1" hiddenButton="1"/>
    <filterColumn colId="2" hiddenButton="1"/>
    <filterColumn colId="3" hiddenButton="1"/>
  </autoFilter>
  <tableColumns count="4">
    <tableColumn id="1" xr3:uid="{5FE6C868-E0F4-4AB1-BB1F-164EC1915D4C}" name="FOOD" totalsRowLabel="Subtotal"/>
    <tableColumn id="2" xr3:uid="{6B8F3FF0-7B11-4ADA-89BD-77FC59AC9953}" name="Projected Cost" totalsRowFunction="sum" dataDxfId="311" totalsRowDxfId="310"/>
    <tableColumn id="3" xr3:uid="{415CEB3A-7CE8-4177-B45D-2D77F750C8D0}" name="Actual Cost" totalsRowFunction="sum" dataDxfId="309" totalsRowDxfId="308"/>
    <tableColumn id="4" xr3:uid="{DFA093DC-353A-4938-8830-8F285A0F2D59}" name="Difference" totalsRowFunction="sum" dataDxfId="307" totalsRowDxfId="306">
      <calculatedColumnFormula>Food32445668[[#This Row],[Projected Cost]]-Food32445668[[#This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Food Costs in this table. Difference is auto calculated"/>
    </ext>
  </extLst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F40B6AEF-24CD-4C3F-8EF0-4B8C3A3D5E60}" name="Gifts33455769" displayName="Gifts33455769" ref="G48:J52" totalsRowCount="1" headerRowCellStyle="Normal">
  <autoFilter ref="G48:J51" xr:uid="{00000000-0009-0000-0100-000009000000}">
    <filterColumn colId="0" hiddenButton="1"/>
    <filterColumn colId="1" hiddenButton="1"/>
    <filterColumn colId="2" hiddenButton="1"/>
    <filterColumn colId="3" hiddenButton="1"/>
  </autoFilter>
  <tableColumns count="4">
    <tableColumn id="1" xr3:uid="{60AD645A-C08E-40A8-BA41-1E601ADE3CB6}" name="GIFTS AND DONATIONS" totalsRowLabel="Subtotal"/>
    <tableColumn id="2" xr3:uid="{39BA8AB0-62B3-434C-BF6E-248E39F29443}" name="Projected Cost" dataDxfId="305" totalsRowDxfId="304"/>
    <tableColumn id="3" xr3:uid="{C5E9CC83-67D1-47AB-B694-F34F5EBD7DBC}" name="Actual Cost" dataDxfId="303" totalsRowDxfId="302"/>
    <tableColumn id="4" xr3:uid="{27A307D5-911B-4095-B549-91AC6A52C186}" name="Difference" totalsRowFunction="sum" dataDxfId="301" totalsRowDxfId="300">
      <calculatedColumnFormula>Gifts33455769[[#This Row],[Projected Cost]]-Gifts33455769[[#This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Costs for Gifts and Donations in this table. Difference is auto calculated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81F0B826-36FA-48F9-893A-704F186A9904}" name="Savings31435567792092" displayName="Savings31435567792092" ref="G46:J50" totalsRowCount="1" headerRowCellStyle="Normal">
  <autoFilter ref="G46:J49" xr:uid="{00000000-0009-0000-0100-000007000000}">
    <filterColumn colId="0" hiddenButton="1"/>
    <filterColumn colId="1" hiddenButton="1"/>
    <filterColumn colId="2" hiddenButton="1"/>
    <filterColumn colId="3" hiddenButton="1"/>
  </autoFilter>
  <tableColumns count="4">
    <tableColumn id="1" xr3:uid="{ABEE34FC-54CF-40EF-981B-D2BFC940A4D3}" name="SAVINGS OR INVESTMENTS" totalsRowLabel="Subtotal"/>
    <tableColumn id="2" xr3:uid="{405591D7-D42A-4DD4-A834-475D3D1EF56B}" name="Projected Cost" totalsRowFunction="sum" dataDxfId="667" totalsRowDxfId="666"/>
    <tableColumn id="3" xr3:uid="{36C3799C-FB36-42FE-AC17-2929AACC6E4E}" name="Actual Cost" totalsRowFunction="sum" dataDxfId="665" totalsRowDxfId="664"/>
    <tableColumn id="4" xr3:uid="{93FE0B72-5665-4F04-A261-17C0214F8688}" name="Difference" totalsRowFunction="sum" dataDxfId="663" totalsRowDxfId="662">
      <calculatedColumnFormula>Savings31435567792092[[#This Row],[Projected Cost]]-Savings31435567792092[[#This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Costs for Savings or Investments in this table. Difference is auto calculated"/>
    </ext>
  </extLst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2B25A915-D47B-450F-9DAF-87AD9DA6667A}" name="Pets34465870" displayName="Pets34465870" ref="B48:E54" totalsRowCount="1">
  <autoFilter ref="B48:E53" xr:uid="{00000000-0009-0000-0100-00000A000000}">
    <filterColumn colId="0" hiddenButton="1"/>
    <filterColumn colId="1" hiddenButton="1"/>
    <filterColumn colId="2" hiddenButton="1"/>
    <filterColumn colId="3" hiddenButton="1"/>
  </autoFilter>
  <tableColumns count="4">
    <tableColumn id="1" xr3:uid="{C3969B78-72AD-499C-A639-055882A444AA}" name="PETS" totalsRowLabel="Subtotal"/>
    <tableColumn id="2" xr3:uid="{1FB210A8-7029-4909-A96C-8374D83A0826}" name="Projected Cost" dataDxfId="299" totalsRowDxfId="298"/>
    <tableColumn id="3" xr3:uid="{03DA05A0-9BF9-44A1-9041-5F2A93588A90}" name="Actual Cost" dataDxfId="297" totalsRowDxfId="296"/>
    <tableColumn id="4" xr3:uid="{E6603F9F-73C6-44D6-81F0-2417E5521BA7}" name="Difference" totalsRowFunction="sum" dataDxfId="295" totalsRowDxfId="294">
      <calculatedColumnFormula>Pets34465870[[#This Row],[Projected Cost]]-Pets34465870[[#This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Pets Costs in this table. Difference is auto calculated"/>
    </ext>
  </extLst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152F027E-B678-413F-AC30-22700B76FB02}" name="Legal35475971" displayName="Legal35475971" ref="G54:J61" totalsRowCount="1" headerRowCellStyle="Normal">
  <autoFilter ref="G54:J60" xr:uid="{00000000-0009-0000-0100-00000B000000}">
    <filterColumn colId="0" hiddenButton="1"/>
    <filterColumn colId="1" hiddenButton="1"/>
    <filterColumn colId="2" hiddenButton="1"/>
    <filterColumn colId="3" hiddenButton="1"/>
  </autoFilter>
  <tableColumns count="4">
    <tableColumn id="1" xr3:uid="{DDEE72A8-8DE6-4A7C-AC4C-AD9285A603FC}" name="CHINNI EXPENSES" totalsRowLabel="Subtotal"/>
    <tableColumn id="2" xr3:uid="{88CA30C2-ABE0-49F9-9428-8272D28BA600}" name="Projected Cost" totalsRowFunction="sum" dataDxfId="293" totalsRowDxfId="292"/>
    <tableColumn id="3" xr3:uid="{C53D831D-5D62-4855-A18C-77782E163CB0}" name="Actual Cost" totalsRowFunction="sum" dataDxfId="291" totalsRowDxfId="290"/>
    <tableColumn id="4" xr3:uid="{DC4D6219-B3BE-44A5-AD77-0209E7C1DB1F}" name="Difference" totalsRowFunction="sum" dataDxfId="289" totalsRowDxfId="288">
      <calculatedColumnFormula>Legal35475971[[#This Row],[Projected Cost]]-Legal35475971[[#This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Legal Costs in this table. Difference is auto calculated"/>
    </ext>
  </extLst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56D0F6C2-063D-4E0A-9E94-C1F61CE8C50C}" name="PersonalCare36486072" displayName="PersonalCare36486072" ref="B56:E64" totalsRowCount="1">
  <autoFilter ref="B56:E63" xr:uid="{00000000-0009-0000-0100-00000C000000}">
    <filterColumn colId="0" hiddenButton="1"/>
    <filterColumn colId="1" hiddenButton="1"/>
    <filterColumn colId="2" hiddenButton="1"/>
    <filterColumn colId="3" hiddenButton="1"/>
  </autoFilter>
  <tableColumns count="4">
    <tableColumn id="1" xr3:uid="{B532C2F4-813A-4037-9C8B-3A65898EA46F}" name="PERSONAL CARE" totalsRowLabel="Subtotal" totalsRowDxfId="287"/>
    <tableColumn id="2" xr3:uid="{42BE7614-C07E-490A-89F7-1BCA17CB5F0C}" name="z" totalsRowDxfId="286"/>
    <tableColumn id="3" xr3:uid="{746CA2E2-8566-4B2E-BCE0-ACCB2921CECA}" name="Actual Cost" totalsRowDxfId="285"/>
    <tableColumn id="4" xr3:uid="{0C376482-42C0-4B4F-B3E1-569A6DB80BA2}" name="Difference" totalsRowFunction="sum" totalsRowDxfId="284">
      <calculatedColumnFormula>PersonalCare36486072[[#This Row],[z]]-PersonalCare36486072[[#This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Personal Care Costs in this table. Difference is auto calculated"/>
    </ext>
  </extLst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A5F6706C-BE1E-4BFD-B7F3-22E5C9D6733A}" name="Housing253749" displayName="Housing253749" ref="B12:E23" totalsRowCount="1">
  <autoFilter ref="B12:E22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1" xr3:uid="{3CBC56E8-F429-44A1-B298-278F5A41ECF2}" name="HOUSING" totalsRowLabel="Subtotal" totalsRowDxfId="281"/>
    <tableColumn id="2" xr3:uid="{CE52CF13-FB35-4DE2-8CAC-C7181233B01A}" name="Projected Cost" totalsRowFunction="sum" totalsRowDxfId="280"/>
    <tableColumn id="3" xr3:uid="{4667402B-62D8-455E-B177-1A5ED2B9F336}" name="Actual Cost" totalsRowFunction="sum" totalsRowDxfId="279"/>
    <tableColumn id="4" xr3:uid="{FF0E82E5-D09F-499B-9E1E-6BC81A32674C}" name="Difference" totalsRowFunction="sum" totalsRowDxfId="278">
      <calculatedColumnFormula>Housing253749[[#This Row],[Projected Cost]]-Housing253749[[#This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Housing Costs in this table. Difference is auto calculated"/>
    </ext>
  </extLst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8AB42BC2-BD56-4223-9725-8D11B079221A}" name="Entertainment263850" displayName="Entertainment263850" ref="G12:J22" totalsRowCount="1" headerRowCellStyle="Normal">
  <autoFilter ref="G12:J21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8B5A9DE0-E116-4611-AC6D-B0466BD58146}" name="ENTERTAINMENT" totalsRowLabel="Subtotal"/>
    <tableColumn id="2" xr3:uid="{31E8AD86-DE73-4B0A-9C92-F375F5F32D2B}" name="Projected Cost" dataDxfId="277" totalsRowDxfId="276"/>
    <tableColumn id="3" xr3:uid="{06BA4106-7EB3-447B-A6B9-BB22A0E9A508}" name="Actual Cost" dataDxfId="275" totalsRowDxfId="274"/>
    <tableColumn id="4" xr3:uid="{0AE74DBB-E4F3-4921-84F7-0EE8E32AC578}" name="Difference" totalsRowFunction="sum" dataDxfId="273" totalsRowDxfId="272">
      <calculatedColumnFormula>Entertainment263850[[#This Row],[Projected Cost]]-Entertainment263850[[#This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Entertainment Costs in this table. Difference is auto calculated"/>
    </ext>
  </extLst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A5EFE4DE-586D-452C-87AE-E54B319ED701}" name="Loans273951" displayName="Loans273951" ref="G24:J33" totalsRowCount="1">
  <autoFilter ref="G24:J32" xr:uid="{00000000-0009-0000-0100-000003000000}">
    <filterColumn colId="0" hiddenButton="1"/>
    <filterColumn colId="1" hiddenButton="1"/>
    <filterColumn colId="2" hiddenButton="1"/>
    <filterColumn colId="3" hiddenButton="1"/>
  </autoFilter>
  <tableColumns count="4">
    <tableColumn id="1" xr3:uid="{56E4C5B2-37CA-430C-8CE0-954C14D27ED9}" name="LOANS" totalsRowLabel="Subtotal"/>
    <tableColumn id="2" xr3:uid="{5C360673-74FF-4FEB-B086-F344D635C18E}" name="Projected Cost" totalsRowFunction="sum" dataDxfId="271" totalsRowDxfId="270"/>
    <tableColumn id="3" xr3:uid="{015B34FB-D09D-4C38-9B04-C3766A331CBE}" name="Actual Cost" totalsRowFunction="sum" dataDxfId="269" totalsRowDxfId="268"/>
    <tableColumn id="4" xr3:uid="{ECA9C00E-606E-485F-B704-0C5E48453142}" name="Difference" totalsRowFunction="sum" dataDxfId="267" totalsRowDxfId="266">
      <calculatedColumnFormula>Loans273951[[#This Row],[Projected Cost]]-Loans273951[[#This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Loan Costs in this table. Difference is auto calculated"/>
    </ext>
  </extLst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408755D3-A95B-4820-AFF6-58DF3448E6E2}" name="Transportation284052" displayName="Transportation284052" ref="B25:E33" totalsRowCount="1" headerRowCellStyle="Normal">
  <autoFilter ref="B25:E32" xr:uid="{00000000-0009-0000-0100-000004000000}">
    <filterColumn colId="0" hiddenButton="1"/>
    <filterColumn colId="1" hiddenButton="1"/>
    <filterColumn colId="2" hiddenButton="1"/>
    <filterColumn colId="3" hiddenButton="1"/>
  </autoFilter>
  <tableColumns count="4">
    <tableColumn id="1" xr3:uid="{2457F05A-5107-4B57-9B61-435ECD97E32D}" name="TRANSPORTATION" totalsRowLabel="Subtotal"/>
    <tableColumn id="2" xr3:uid="{790AF92A-8DBC-44D6-A3B6-D6E9835ED9D3}" name="Projected Cost" totalsRowFunction="sum" dataDxfId="265" totalsRowDxfId="264"/>
    <tableColumn id="3" xr3:uid="{7D576DE1-DF36-4417-90FF-A2EF4BCA3BB6}" name="Actual Cost" totalsRowFunction="sum" dataDxfId="263" totalsRowDxfId="262"/>
    <tableColumn id="4" xr3:uid="{C6EC5AFA-5880-42B5-896F-895F33333018}" name="Difference" totalsRowFunction="sum" dataDxfId="261" totalsRowDxfId="260">
      <calculatedColumnFormula>Transportation284052[[#This Row],[Projected Cost]]-Transportation284052[[#This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Transportation Costs in this table. Difference is auto calculated"/>
    </ext>
  </extLst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AFFE31E4-4BE4-4AA8-A7A2-63DB21EE582E}" name="Insurance294153" displayName="Insurance294153" ref="B35:E40" totalsRowCount="1" headerRowCellStyle="Normal">
  <autoFilter ref="B35:E39" xr:uid="{00000000-0009-0000-0100-000005000000}">
    <filterColumn colId="0" hiddenButton="1"/>
    <filterColumn colId="1" hiddenButton="1"/>
    <filterColumn colId="2" hiddenButton="1"/>
    <filterColumn colId="3" hiddenButton="1"/>
  </autoFilter>
  <tableColumns count="4">
    <tableColumn id="1" xr3:uid="{8F20BCA1-3044-466E-8BF8-091F5FC2DDBE}" name="INSURANCE" totalsRowLabel="Subtotal"/>
    <tableColumn id="2" xr3:uid="{C59A26BF-58FA-47E9-ACE8-7E45B9F85B62}" name="Projected Cost" totalsRowFunction="sum" dataDxfId="259" totalsRowDxfId="258"/>
    <tableColumn id="3" xr3:uid="{1A0FB637-376D-462E-87FA-1563A9D4D1BA}" name="Actual Cost" totalsRowFunction="sum" dataDxfId="257" totalsRowDxfId="256"/>
    <tableColumn id="4" xr3:uid="{686C1121-C9D5-483C-968F-3387992A4FE7}" name="Difference" totalsRowFunction="sum" dataDxfId="255" totalsRowDxfId="254">
      <calculatedColumnFormula>Insurance294153[[#This Row],[Projected Cost]]-Insurance294153[[#This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Insurance Costs in this table. Difference is auto calculated"/>
    </ext>
  </extLst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33D3737D-95D3-4F10-93F8-D0BAE1F30DF7}" name="Taxes304254" displayName="Taxes304254" ref="G35:J40" totalsRowCount="1" headerRowCellStyle="Normal">
  <autoFilter ref="G35:J39" xr:uid="{00000000-0009-0000-0100-000006000000}">
    <filterColumn colId="0" hiddenButton="1"/>
    <filterColumn colId="1" hiddenButton="1"/>
    <filterColumn colId="2" hiddenButton="1"/>
    <filterColumn colId="3" hiddenButton="1"/>
  </autoFilter>
  <tableColumns count="4">
    <tableColumn id="1" xr3:uid="{510A9264-3AF4-47D3-818F-2F0762B05461}" name="TAXES" totalsRowLabel="Subtotal"/>
    <tableColumn id="2" xr3:uid="{44219EE2-6A48-4DC3-8EF4-80C4EA0E6A2B}" name="Projected Cost" dataDxfId="253" totalsRowDxfId="252"/>
    <tableColumn id="3" xr3:uid="{1D2ED701-0F78-44FC-BB5E-0A068277E2AD}" name="Actual Cost" dataDxfId="251" totalsRowDxfId="250"/>
    <tableColumn id="4" xr3:uid="{52CB59DA-32FA-4FE5-8205-000E0B14CA97}" name="Difference" totalsRowFunction="sum" dataDxfId="249" totalsRowDxfId="248">
      <calculatedColumnFormula>Taxes304254[[#This Row],[Projected Cost]]-Taxes304254[[#This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Taxes Costs in this table. Difference is auto calculated"/>
    </ext>
  </extLst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95CD1A91-E838-4001-A682-9E71C4CFD60E}" name="Savings314355" displayName="Savings314355" ref="G42:J46" totalsRowCount="1" headerRowCellStyle="Normal">
  <autoFilter ref="G42:J45" xr:uid="{00000000-0009-0000-0100-000007000000}">
    <filterColumn colId="0" hiddenButton="1"/>
    <filterColumn colId="1" hiddenButton="1"/>
    <filterColumn colId="2" hiddenButton="1"/>
    <filterColumn colId="3" hiddenButton="1"/>
  </autoFilter>
  <tableColumns count="4">
    <tableColumn id="1" xr3:uid="{EDD824A6-09C2-46F1-9BE3-E33162B5E9C9}" name="SAVINGS OR INVESTMENTS" totalsRowLabel="Subtotal"/>
    <tableColumn id="2" xr3:uid="{6DD40A4B-91BF-4E42-840F-3F5E9923FAD2}" name="Projected Cost" totalsRowFunction="sum" dataDxfId="247" totalsRowDxfId="246"/>
    <tableColumn id="3" xr3:uid="{965B06F5-26B9-4EF0-BB72-FE8221DBEFD2}" name="Actual Cost" totalsRowFunction="sum" dataDxfId="245" totalsRowDxfId="244"/>
    <tableColumn id="4" xr3:uid="{52D29A33-1886-48D8-80CC-7C959C749BC1}" name="Difference" totalsRowFunction="sum" dataDxfId="243" totalsRowDxfId="242">
      <calculatedColumnFormula>Savings314355[[#This Row],[Projected Cost]]-Savings314355[[#This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Costs for Savings or Investments in this table. Difference is auto calculated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52EBF22E-05EE-4372-95A6-790D7122F57E}" name="Food32445668802193" displayName="Food32445668802193" ref="B42:E46" totalsRowCount="1" headerRowCellStyle="Normal">
  <autoFilter ref="B42:E45" xr:uid="{00000000-0009-0000-0100-000008000000}">
    <filterColumn colId="0" hiddenButton="1"/>
    <filterColumn colId="1" hiddenButton="1"/>
    <filterColumn colId="2" hiddenButton="1"/>
    <filterColumn colId="3" hiddenButton="1"/>
  </autoFilter>
  <tableColumns count="4">
    <tableColumn id="1" xr3:uid="{2753D5CB-C7DA-41E0-A25E-FD48DE8264C5}" name="FOOD" totalsRowLabel="Subtotal"/>
    <tableColumn id="2" xr3:uid="{3FBE5D19-0354-482F-B1C3-94DA023A46E4}" name="Projected Cost" totalsRowFunction="sum" dataDxfId="661" totalsRowDxfId="660"/>
    <tableColumn id="3" xr3:uid="{2B6B48A2-4DF9-4075-BEE8-A8DA79B575A5}" name="Actual Cost" totalsRowFunction="sum" dataDxfId="659" totalsRowDxfId="658"/>
    <tableColumn id="4" xr3:uid="{A24848EF-A69F-45A9-83C7-B74D6B141F3D}" name="Difference" totalsRowFunction="sum" dataDxfId="657" totalsRowDxfId="656">
      <calculatedColumnFormula>Food32445668802193[[#This Row],[Projected Cost]]-Food32445668802193[[#This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Food Costs in this table. Difference is auto calculated"/>
    </ext>
  </extLst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229A79E3-22F5-448E-A27A-03CEE2EEF756}" name="Food324456" displayName="Food324456" ref="B42:E46" totalsRowCount="1" headerRowCellStyle="Normal">
  <autoFilter ref="B42:E45" xr:uid="{00000000-0009-0000-0100-000008000000}">
    <filterColumn colId="0" hiddenButton="1"/>
    <filterColumn colId="1" hiddenButton="1"/>
    <filterColumn colId="2" hiddenButton="1"/>
    <filterColumn colId="3" hiddenButton="1"/>
  </autoFilter>
  <tableColumns count="4">
    <tableColumn id="1" xr3:uid="{232F2AE0-8F97-4D5A-8B74-3C0320A26467}" name="FOOD" totalsRowLabel="Subtotal"/>
    <tableColumn id="2" xr3:uid="{DC641458-CE5A-4143-BBDE-ADF3A41BA88C}" name="Projected Cost" totalsRowFunction="sum" dataDxfId="241" totalsRowDxfId="240"/>
    <tableColumn id="3" xr3:uid="{AFD22CAE-E17E-405A-BA35-BDB133CC20E1}" name="Actual Cost" totalsRowFunction="sum" dataDxfId="239" totalsRowDxfId="238"/>
    <tableColumn id="4" xr3:uid="{45801EA2-BDE6-4965-805A-E45F31E204C6}" name="Difference" totalsRowFunction="sum" dataDxfId="237" totalsRowDxfId="236">
      <calculatedColumnFormula>Food324456[[#This Row],[Projected Cost]]-Food324456[[#This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Food Costs in this table. Difference is auto calculated"/>
    </ext>
  </extLst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9B5F5C62-4D99-4948-B320-EF51AD8E1332}" name="Gifts334557" displayName="Gifts334557" ref="G48:J52" totalsRowCount="1" headerRowCellStyle="Normal">
  <autoFilter ref="G48:J51" xr:uid="{00000000-0009-0000-0100-000009000000}">
    <filterColumn colId="0" hiddenButton="1"/>
    <filterColumn colId="1" hiddenButton="1"/>
    <filterColumn colId="2" hiddenButton="1"/>
    <filterColumn colId="3" hiddenButton="1"/>
  </autoFilter>
  <tableColumns count="4">
    <tableColumn id="1" xr3:uid="{2691F3B6-EB70-4E64-8310-886048033D99}" name="GIFTS AND DONATIONS" totalsRowLabel="Subtotal"/>
    <tableColumn id="2" xr3:uid="{3D4C7BD0-9ED6-44D5-9A0B-79AA15A392BE}" name="Projected Cost" dataDxfId="235" totalsRowDxfId="234"/>
    <tableColumn id="3" xr3:uid="{245DF3BC-68A5-47B0-90A4-C51C2212609E}" name="Actual Cost" dataDxfId="233" totalsRowDxfId="232"/>
    <tableColumn id="4" xr3:uid="{7B1A0E03-533A-4B71-ADFE-310B4FD9E443}" name="Difference" totalsRowFunction="sum" dataDxfId="231" totalsRowDxfId="230">
      <calculatedColumnFormula>Gifts334557[[#This Row],[Projected Cost]]-Gifts334557[[#This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Costs for Gifts and Donations in this table. Difference is auto calculated"/>
    </ext>
  </extLst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8427CBFC-097F-4C0C-9F68-BECAC19DEED0}" name="Pets344658" displayName="Pets344658" ref="B48:E54" totalsRowCount="1">
  <autoFilter ref="B48:E53" xr:uid="{00000000-0009-0000-0100-00000A000000}">
    <filterColumn colId="0" hiddenButton="1"/>
    <filterColumn colId="1" hiddenButton="1"/>
    <filterColumn colId="2" hiddenButton="1"/>
    <filterColumn colId="3" hiddenButton="1"/>
  </autoFilter>
  <tableColumns count="4">
    <tableColumn id="1" xr3:uid="{BB6E8C28-1D10-4991-AB66-5F76132BBB62}" name="PETS" totalsRowLabel="Subtotal"/>
    <tableColumn id="2" xr3:uid="{C1E3F6DD-1AB9-485B-8994-BBC1366CCB4B}" name="Projected Cost" dataDxfId="229" totalsRowDxfId="228"/>
    <tableColumn id="3" xr3:uid="{519C9CD5-9B32-42AB-A1C2-2BD8D9D75513}" name="Actual Cost" dataDxfId="227" totalsRowDxfId="226"/>
    <tableColumn id="4" xr3:uid="{641223BA-FFBE-40B0-971C-AAC3A38416BB}" name="Difference" totalsRowFunction="sum" dataDxfId="225" totalsRowDxfId="224">
      <calculatedColumnFormula>Pets344658[[#This Row],[Projected Cost]]-Pets344658[[#This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Pets Costs in this table. Difference is auto calculated"/>
    </ext>
  </extLst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113C75DD-A482-4BEC-810D-284B70AFAA9F}" name="Legal354759" displayName="Legal354759" ref="G54:J61" totalsRowCount="1" headerRowCellStyle="Normal">
  <autoFilter ref="G54:J60" xr:uid="{00000000-0009-0000-0100-00000B000000}">
    <filterColumn colId="0" hiddenButton="1"/>
    <filterColumn colId="1" hiddenButton="1"/>
    <filterColumn colId="2" hiddenButton="1"/>
    <filterColumn colId="3" hiddenButton="1"/>
  </autoFilter>
  <tableColumns count="4">
    <tableColumn id="1" xr3:uid="{202CE92A-481C-463F-A5BF-5AB10D5E7261}" name="CHINNI EXPENSES" totalsRowLabel="Subtotal"/>
    <tableColumn id="2" xr3:uid="{6916D19F-63AC-445B-956A-504386DE77B1}" name="Projected Cost" totalsRowFunction="sum" dataDxfId="223" totalsRowDxfId="222"/>
    <tableColumn id="3" xr3:uid="{22BA7225-A3BA-4907-B78D-E32A4F83B4E4}" name="Actual Cost" totalsRowFunction="sum" dataDxfId="221" totalsRowDxfId="220"/>
    <tableColumn id="4" xr3:uid="{E4CEF923-1D5D-4970-8F2B-B5C2DD071FF8}" name="Difference" totalsRowFunction="sum" dataDxfId="219" totalsRowDxfId="218">
      <calculatedColumnFormula>Legal354759[[#This Row],[Projected Cost]]-Legal354759[[#This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Legal Costs in this table. Difference is auto calculated"/>
    </ext>
  </extLst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A45C3D42-5587-4E1C-8451-D54E1C1BEDF3}" name="PersonalCare364860" displayName="PersonalCare364860" ref="B56:E64" totalsRowCount="1">
  <autoFilter ref="B56:E63" xr:uid="{00000000-0009-0000-0100-00000C000000}">
    <filterColumn colId="0" hiddenButton="1"/>
    <filterColumn colId="1" hiddenButton="1"/>
    <filterColumn colId="2" hiddenButton="1"/>
    <filterColumn colId="3" hiddenButton="1"/>
  </autoFilter>
  <tableColumns count="4">
    <tableColumn id="1" xr3:uid="{9829185B-DFC2-4561-8049-43544EC6CD81}" name="PERSONAL CARE" totalsRowLabel="Subtotal" totalsRowDxfId="217"/>
    <tableColumn id="2" xr3:uid="{624E31C3-5019-4B3D-8F48-F4A210B25D34}" name="z" totalsRowDxfId="216"/>
    <tableColumn id="3" xr3:uid="{3018986F-CBB1-4D57-98E3-2E3DD1ACA264}" name="Actual Cost" totalsRowDxfId="215"/>
    <tableColumn id="4" xr3:uid="{E9272944-0FF2-4FE7-A608-E63E6618050A}" name="Difference" totalsRowFunction="sum" totalsRowDxfId="214">
      <calculatedColumnFormula>PersonalCare364860[[#This Row],[z]]-PersonalCare364860[[#This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Personal Care Costs in this table. Difference is auto calculated"/>
    </ext>
  </extLst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9CF98525-057A-49E2-AE78-8879A5A04BA5}" name="Housing2537" displayName="Housing2537" ref="B12:E23" totalsRowCount="1">
  <autoFilter ref="B12:E22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1" xr3:uid="{73926651-4977-4F72-A9E7-1945AB4CEED9}" name="HOUSING" totalsRowLabel="Subtotal" totalsRowDxfId="211"/>
    <tableColumn id="2" xr3:uid="{DA15B9E5-FD67-4A0F-B1E6-E553FA86939F}" name="Projected Cost" totalsRowFunction="sum" totalsRowDxfId="210"/>
    <tableColumn id="3" xr3:uid="{DBF5AC0D-3B4A-4D09-A9C5-C352D96C9127}" name="Actual Cost" totalsRowFunction="sum" totalsRowDxfId="209"/>
    <tableColumn id="4" xr3:uid="{94E1C3B4-86A7-48D4-88F9-8E39578D3CDB}" name="Difference" totalsRowFunction="sum" totalsRowDxfId="208">
      <calculatedColumnFormula>Housing2537[[#This Row],[Projected Cost]]-Housing2537[[#This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Housing Costs in this table. Difference is auto calculated"/>
    </ext>
  </extLst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7AAF5FE2-0F13-4B0E-8CB6-C05F60995E98}" name="Entertainment2638" displayName="Entertainment2638" ref="G12:J22" totalsRowCount="1" headerRowCellStyle="Normal">
  <autoFilter ref="G12:J21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31A325B6-CD84-4DFB-AB6C-B119433C4872}" name="ENTERTAINMENT" totalsRowLabel="Subtotal"/>
    <tableColumn id="2" xr3:uid="{55F4BD36-467A-4740-ADB1-8872DE7FBB94}" name="Projected Cost" dataDxfId="207" totalsRowDxfId="206"/>
    <tableColumn id="3" xr3:uid="{BD392903-53FD-4487-9AFC-7297999DC056}" name="Actual Cost" dataDxfId="205" totalsRowDxfId="204"/>
    <tableColumn id="4" xr3:uid="{EF05FD50-F95D-4827-A1A9-6623F7611B85}" name="Difference" totalsRowFunction="sum" dataDxfId="203" totalsRowDxfId="202">
      <calculatedColumnFormula>Entertainment2638[[#This Row],[Projected Cost]]-Entertainment2638[[#This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Entertainment Costs in this table. Difference is auto calculated"/>
    </ext>
  </extLst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7C11D567-C684-417E-B87B-9A1874D84C7D}" name="Loans2739" displayName="Loans2739" ref="G24:J33" totalsRowCount="1">
  <autoFilter ref="G24:J32" xr:uid="{00000000-0009-0000-0100-000003000000}">
    <filterColumn colId="0" hiddenButton="1"/>
    <filterColumn colId="1" hiddenButton="1"/>
    <filterColumn colId="2" hiddenButton="1"/>
    <filterColumn colId="3" hiddenButton="1"/>
  </autoFilter>
  <tableColumns count="4">
    <tableColumn id="1" xr3:uid="{6CFE3189-C881-44D5-AE55-966C80A4E902}" name="LOANS" totalsRowLabel="Subtotal"/>
    <tableColumn id="2" xr3:uid="{9AF68F0B-527C-402F-8019-F98B6748C6D9}" name="Projected Cost" totalsRowFunction="sum" dataDxfId="201" totalsRowDxfId="200"/>
    <tableColumn id="3" xr3:uid="{1DE12809-AC0E-43DD-B1E4-CFD0F6742057}" name="Actual Cost" totalsRowFunction="sum" dataDxfId="199" totalsRowDxfId="198"/>
    <tableColumn id="4" xr3:uid="{98169E64-63BC-4029-A816-FB17D70AFDE4}" name="Difference" totalsRowFunction="sum" dataDxfId="197" totalsRowDxfId="196">
      <calculatedColumnFormula>Loans2739[[#This Row],[Projected Cost]]-Loans2739[[#This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Loan Costs in this table. Difference is auto calculated"/>
    </ext>
  </extLst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9CFACB01-BC56-4167-BA99-243DCE5831BB}" name="Transportation2840" displayName="Transportation2840" ref="B25:E33" totalsRowCount="1" headerRowCellStyle="Normal">
  <autoFilter ref="B25:E32" xr:uid="{00000000-0009-0000-0100-000004000000}">
    <filterColumn colId="0" hiddenButton="1"/>
    <filterColumn colId="1" hiddenButton="1"/>
    <filterColumn colId="2" hiddenButton="1"/>
    <filterColumn colId="3" hiddenButton="1"/>
  </autoFilter>
  <tableColumns count="4">
    <tableColumn id="1" xr3:uid="{66808204-4FB0-4982-A475-2B9B57AE2B4D}" name="TRANSPORTATION" totalsRowLabel="Subtotal"/>
    <tableColumn id="2" xr3:uid="{8CE495CD-2A91-4EB6-8892-529C6CAB8A5A}" name="Projected Cost" totalsRowFunction="sum" dataDxfId="195" totalsRowDxfId="194"/>
    <tableColumn id="3" xr3:uid="{A1A7404B-8BB4-4B60-B418-6B0980A4BB88}" name="Actual Cost" totalsRowFunction="sum" dataDxfId="193" totalsRowDxfId="192"/>
    <tableColumn id="4" xr3:uid="{8C666E1B-2F94-4CBF-9AD8-A58B7511D9E3}" name="Difference" totalsRowFunction="sum" dataDxfId="191" totalsRowDxfId="190">
      <calculatedColumnFormula>Transportation2840[[#This Row],[Projected Cost]]-Transportation2840[[#This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Transportation Costs in this table. Difference is auto calculated"/>
    </ext>
  </extLst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8E84AA0C-6585-4BC8-A13E-5021F71C479E}" name="Insurance2941" displayName="Insurance2941" ref="B35:E40" totalsRowCount="1" headerRowCellStyle="Normal">
  <autoFilter ref="B35:E39" xr:uid="{00000000-0009-0000-0100-000005000000}">
    <filterColumn colId="0" hiddenButton="1"/>
    <filterColumn colId="1" hiddenButton="1"/>
    <filterColumn colId="2" hiddenButton="1"/>
    <filterColumn colId="3" hiddenButton="1"/>
  </autoFilter>
  <tableColumns count="4">
    <tableColumn id="1" xr3:uid="{02F13920-3119-4709-B04A-33556E27D90C}" name="INSURANCE" totalsRowLabel="Subtotal"/>
    <tableColumn id="2" xr3:uid="{5699E1C4-C4F7-4FFD-93B5-EA87AA23D597}" name="Projected Cost" totalsRowFunction="sum" dataDxfId="189" totalsRowDxfId="1"/>
    <tableColumn id="3" xr3:uid="{142E5580-FF9E-4CA1-85C4-591FB20FCF0C}" name="Actual Cost" totalsRowFunction="sum" dataDxfId="188" totalsRowDxfId="0"/>
    <tableColumn id="4" xr3:uid="{B3E3C303-8352-42F7-B0AB-6DA3D570126B}" name="Difference" totalsRowFunction="sum" dataDxfId="187" totalsRowDxfId="186">
      <calculatedColumnFormula>Insurance2941[[#This Row],[Projected Cost]]-Insurance2941[[#This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Insurance Costs in this table. Difference is auto calculated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51BCA470-A2E4-47D8-BC4A-79C7E6642056}" name="Gifts33455769812294" displayName="Gifts33455769812294" ref="G52:J56" totalsRowCount="1" headerRowCellStyle="Normal">
  <autoFilter ref="G52:J55" xr:uid="{00000000-0009-0000-0100-000009000000}">
    <filterColumn colId="0" hiddenButton="1"/>
    <filterColumn colId="1" hiddenButton="1"/>
    <filterColumn colId="2" hiddenButton="1"/>
    <filterColumn colId="3" hiddenButton="1"/>
  </autoFilter>
  <tableColumns count="4">
    <tableColumn id="1" xr3:uid="{41C6BCC4-5223-479D-B584-DB07A84C7889}" name="GIFTS AND DONATIONS" totalsRowLabel="Subtotal"/>
    <tableColumn id="2" xr3:uid="{7A74E2E2-6DA8-4CE3-AA66-6118C4220E00}" name="Projected Cost" dataDxfId="655" totalsRowDxfId="654"/>
    <tableColumn id="3" xr3:uid="{3C696C3C-32DA-40AA-A1F2-4C1C68775650}" name="Actual Cost" dataDxfId="653" totalsRowDxfId="652"/>
    <tableColumn id="4" xr3:uid="{2EECEEC2-3430-4E78-8CA6-3E2282E725F7}" name="Difference" totalsRowFunction="sum" dataDxfId="651" totalsRowDxfId="650">
      <calculatedColumnFormula>Gifts33455769812294[[#This Row],[Projected Cost]]-Gifts33455769812294[[#This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Costs for Gifts and Donations in this table. Difference is auto calculated"/>
    </ext>
  </extLst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9EC88B08-CF14-42AE-A8F9-93D56293A932}" name="Taxes3042" displayName="Taxes3042" ref="G35:J40" totalsRowCount="1" headerRowCellStyle="Normal">
  <autoFilter ref="G35:J39" xr:uid="{00000000-0009-0000-0100-000006000000}">
    <filterColumn colId="0" hiddenButton="1"/>
    <filterColumn colId="1" hiddenButton="1"/>
    <filterColumn colId="2" hiddenButton="1"/>
    <filterColumn colId="3" hiddenButton="1"/>
  </autoFilter>
  <tableColumns count="4">
    <tableColumn id="1" xr3:uid="{1C13F876-31D4-4272-A610-B6D4A8CE1238}" name="TAXES" totalsRowLabel="Subtotal"/>
    <tableColumn id="2" xr3:uid="{79D16382-BBC3-4BB7-8861-A0898867EFF9}" name="Projected Cost" dataDxfId="185" totalsRowDxfId="184"/>
    <tableColumn id="3" xr3:uid="{F5345CB5-4466-4D28-88ED-EA803E5D7D89}" name="Actual Cost" dataDxfId="183" totalsRowDxfId="182"/>
    <tableColumn id="4" xr3:uid="{399ADC5A-D13B-42E1-A34B-83E502910868}" name="Difference" totalsRowFunction="sum" dataDxfId="181" totalsRowDxfId="180">
      <calculatedColumnFormula>Taxes3042[[#This Row],[Projected Cost]]-Taxes3042[[#This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Taxes Costs in this table. Difference is auto calculated"/>
    </ext>
  </extLst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AB95A821-2BC0-4AD5-8BBD-0E4443B6E35F}" name="Savings3143" displayName="Savings3143" ref="G42:J46" totalsRowCount="1" headerRowCellStyle="Normal">
  <autoFilter ref="G42:J45" xr:uid="{00000000-0009-0000-0100-000007000000}">
    <filterColumn colId="0" hiddenButton="1"/>
    <filterColumn colId="1" hiddenButton="1"/>
    <filterColumn colId="2" hiddenButton="1"/>
    <filterColumn colId="3" hiddenButton="1"/>
  </autoFilter>
  <tableColumns count="4">
    <tableColumn id="1" xr3:uid="{AE0F11EE-A19A-4B4E-B46B-A08CA23C50DD}" name="SAVINGS OR INVESTMENTS" totalsRowLabel="Subtotal"/>
    <tableColumn id="2" xr3:uid="{90DC4176-7BE8-4467-A7EF-6322D757F4F6}" name="Projected Cost" totalsRowFunction="sum" dataDxfId="179" totalsRowDxfId="178"/>
    <tableColumn id="3" xr3:uid="{F84A3BDB-ACE8-4395-A3E0-66FFD1DF4597}" name="Actual Cost" totalsRowFunction="sum" dataDxfId="177" totalsRowDxfId="176"/>
    <tableColumn id="4" xr3:uid="{46CF78E4-CBA5-468C-9D98-75798E6ADFC6}" name="Difference" totalsRowFunction="sum" dataDxfId="175" totalsRowDxfId="174">
      <calculatedColumnFormula>Savings3143[[#This Row],[Projected Cost]]-Savings3143[[#This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Costs for Savings or Investments in this table. Difference is auto calculated"/>
    </ext>
  </extLst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3DF3092F-49D8-4BE2-972C-64CD7F8FE73A}" name="Food3244" displayName="Food3244" ref="B42:E46" totalsRowCount="1" headerRowCellStyle="Normal">
  <autoFilter ref="B42:E45" xr:uid="{00000000-0009-0000-0100-000008000000}">
    <filterColumn colId="0" hiddenButton="1"/>
    <filterColumn colId="1" hiddenButton="1"/>
    <filterColumn colId="2" hiddenButton="1"/>
    <filterColumn colId="3" hiddenButton="1"/>
  </autoFilter>
  <tableColumns count="4">
    <tableColumn id="1" xr3:uid="{6D9E513E-9CDC-4F5F-995E-D91E1750515E}" name="FOOD" totalsRowLabel="Subtotal"/>
    <tableColumn id="2" xr3:uid="{398E1FED-9C24-41A1-8B52-FA9B7A55020D}" name="Projected Cost" totalsRowFunction="sum" dataDxfId="173" totalsRowDxfId="172"/>
    <tableColumn id="3" xr3:uid="{F338D4DA-4DE1-4704-A273-2968ABFB93BB}" name="Actual Cost" totalsRowFunction="sum" dataDxfId="171" totalsRowDxfId="170"/>
    <tableColumn id="4" xr3:uid="{2189FDFE-E5A2-462B-A1E5-21CD248E5F04}" name="Difference" totalsRowFunction="sum" dataDxfId="169" totalsRowDxfId="168">
      <calculatedColumnFormula>Food3244[[#This Row],[Projected Cost]]-Food3244[[#This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Food Costs in this table. Difference is auto calculated"/>
    </ext>
  </extLst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56D46B95-AC90-4017-A88E-F5D9B3F30D41}" name="Gifts3345" displayName="Gifts3345" ref="G48:J52" totalsRowCount="1" headerRowCellStyle="Normal">
  <autoFilter ref="G48:J51" xr:uid="{00000000-0009-0000-0100-000009000000}">
    <filterColumn colId="0" hiddenButton="1"/>
    <filterColumn colId="1" hiddenButton="1"/>
    <filterColumn colId="2" hiddenButton="1"/>
    <filterColumn colId="3" hiddenButton="1"/>
  </autoFilter>
  <tableColumns count="4">
    <tableColumn id="1" xr3:uid="{C3E69BA6-C46E-4591-8B98-3EDE379000EA}" name="GIFTS AND DONATIONS" totalsRowLabel="Subtotal"/>
    <tableColumn id="2" xr3:uid="{BE6857EF-981E-4D38-BCD9-66BFA7121D35}" name="Projected Cost" dataDxfId="167" totalsRowDxfId="166"/>
    <tableColumn id="3" xr3:uid="{9B06CDA7-47F0-4AA3-8D66-6A6C1FB0E330}" name="Actual Cost" dataDxfId="165" totalsRowDxfId="164"/>
    <tableColumn id="4" xr3:uid="{8D46E360-5D97-4D43-9AE9-5FC5C00B0B94}" name="Difference" totalsRowFunction="sum" dataDxfId="163" totalsRowDxfId="162">
      <calculatedColumnFormula>Gifts3345[[#This Row],[Projected Cost]]-Gifts3345[[#This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Costs for Gifts and Donations in this table. Difference is auto calculated"/>
    </ext>
  </extLst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A84C26C7-9519-4B4C-ACF9-B12981DA60AC}" name="Pets3446" displayName="Pets3446" ref="B48:E54" totalsRowCount="1">
  <autoFilter ref="B48:E53" xr:uid="{00000000-0009-0000-0100-00000A000000}">
    <filterColumn colId="0" hiddenButton="1"/>
    <filterColumn colId="1" hiddenButton="1"/>
    <filterColumn colId="2" hiddenButton="1"/>
    <filterColumn colId="3" hiddenButton="1"/>
  </autoFilter>
  <tableColumns count="4">
    <tableColumn id="1" xr3:uid="{57F619FA-B6B7-4D3F-B5B7-A8373D29C839}" name="PETS" totalsRowLabel="Subtotal"/>
    <tableColumn id="2" xr3:uid="{51A89945-E68B-4503-AFF8-A5A129449057}" name="Projected Cost" dataDxfId="161" totalsRowDxfId="160"/>
    <tableColumn id="3" xr3:uid="{5876B5EA-A668-47FF-9380-36DAE7D341C1}" name="Actual Cost" dataDxfId="159" totalsRowDxfId="158"/>
    <tableColumn id="4" xr3:uid="{79D220B7-0EDF-4FF3-A38A-32CCFD72DB91}" name="Difference" totalsRowFunction="sum" dataDxfId="157" totalsRowDxfId="156">
      <calculatedColumnFormula>Pets3446[[#This Row],[Projected Cost]]-Pets3446[[#This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Pets Costs in this table. Difference is auto calculated"/>
    </ext>
  </extLst>
</table>
</file>

<file path=xl/tables/table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3B25F653-848C-40C1-9468-96B53E59416E}" name="Legal3547" displayName="Legal3547" ref="G54:K60" totalsRowCount="1" headerRowCellStyle="Normal">
  <autoFilter ref="G54:K59" xr:uid="{00000000-0009-0000-0100-00000B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64AAEF5-68FE-4D85-9BC6-0815367E9942}" name="CHINNI EXPENSES" totalsRowLabel="Subtotal"/>
    <tableColumn id="2" xr3:uid="{675EDFE5-4957-4710-ADEC-58B973418A24}" name="Projected Cost" totalsRowFunction="sum" dataDxfId="155" totalsRowDxfId="154"/>
    <tableColumn id="3" xr3:uid="{AAAEE48F-5BE9-458A-8D68-C88813D57599}" name="Actual Cost" totalsRowFunction="sum" dataDxfId="153" totalsRowDxfId="152"/>
    <tableColumn id="4" xr3:uid="{162FB9B4-D1FE-4D8D-A00D-2174766F25FB}" name="Difference" totalsRowFunction="sum" dataDxfId="151" totalsRowDxfId="150">
      <calculatedColumnFormula>Legal3547[[#This Row],[Projected Cost]]-Legal3547[[#This Row],[Actual Cost]]</calculatedColumnFormula>
    </tableColumn>
    <tableColumn id="5" xr3:uid="{54BE2CAA-F64B-4459-BA5A-CFD225F1F636}" name="Column1" dataDxfId="149"/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Legal Costs in this table. Difference is auto calculated"/>
    </ext>
  </extLst>
</table>
</file>

<file path=xl/tables/table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743F4842-6934-4646-A550-AABF72DF2A4E}" name="PersonalCare3648" displayName="PersonalCare3648" ref="B56:E64" totalsRowCount="1">
  <autoFilter ref="B56:E63" xr:uid="{00000000-0009-0000-0100-00000C000000}">
    <filterColumn colId="0" hiddenButton="1"/>
    <filterColumn colId="1" hiddenButton="1"/>
    <filterColumn colId="2" hiddenButton="1"/>
    <filterColumn colId="3" hiddenButton="1"/>
  </autoFilter>
  <tableColumns count="4">
    <tableColumn id="1" xr3:uid="{F9C305C6-5A89-46F4-BEA1-2D5515BB05C2}" name="PERSONAL CARE" totalsRowLabel="Subtotal" totalsRowDxfId="148"/>
    <tableColumn id="2" xr3:uid="{40A00240-29A3-4E6F-BEEB-9BAEFF258862}" name="z" totalsRowDxfId="147"/>
    <tableColumn id="3" xr3:uid="{FC57B0F0-FCBE-49DF-A41F-DCE7C994409A}" name="Actual Cost" totalsRowDxfId="146"/>
    <tableColumn id="4" xr3:uid="{0E3EDFE6-76B3-45A5-ACDA-DF27FDA0EBFC}" name="Difference" totalsRowFunction="sum" totalsRowDxfId="145">
      <calculatedColumnFormula>PersonalCare3648[[#This Row],[z]]-PersonalCare3648[[#This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Personal Care Costs in this table. Difference is auto calculated"/>
    </ext>
  </extLst>
</table>
</file>

<file path=xl/tables/table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905655-6D58-44DD-A7A1-FDDDED48AB20}" name="Housing25" displayName="Housing25" ref="B12:E23" totalsRowCount="1">
  <autoFilter ref="B12:E22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1" xr3:uid="{759E437C-4FE5-42C3-A000-F0143B08F6E3}" name="HOUSING" totalsRowLabel="Subtotal" totalsRowDxfId="142"/>
    <tableColumn id="2" xr3:uid="{F9134C17-A4E3-4527-B112-DBB9989BC6D0}" name="Projected Cost" totalsRowFunction="sum" totalsRowDxfId="141"/>
    <tableColumn id="3" xr3:uid="{4A320BD3-FFCA-4E7C-B77A-FBF640D6C7CA}" name="Actual Cost" totalsRowFunction="sum" totalsRowDxfId="140"/>
    <tableColumn id="4" xr3:uid="{5371FF91-7EBB-4E33-9A8B-B37F23C905B1}" name="Difference" totalsRowFunction="sum" totalsRowDxfId="139">
      <calculatedColumnFormula>Housing25[[#This Row],[Projected Cost]]-Housing25[[#This Row],[Actual Cost]]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Housing Costs in this table. Difference is auto calculated"/>
    </ext>
  </extLst>
</table>
</file>

<file path=xl/tables/table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E7AAB33-B7F6-42E5-B9CE-101475724C8A}" name="Entertainment26" displayName="Entertainment26" ref="G12:K22" totalsRowCount="1" headerRowCellStyle="Normal">
  <autoFilter ref="G12:K21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711CEC1D-57EC-439A-A736-8957B75B9606}" name="ENTERTAINMENT" totalsRowLabel="Subtotal"/>
    <tableColumn id="2" xr3:uid="{5F767C0C-1C15-4502-9BF5-DF43455427B7}" name="Projected Cost" dataDxfId="138" totalsRowDxfId="137"/>
    <tableColumn id="3" xr3:uid="{188F3554-D044-4A26-B417-925983591D15}" name="Actual Cost" dataDxfId="136" totalsRowDxfId="135"/>
    <tableColumn id="4" xr3:uid="{51C5AC64-709C-4DA8-B268-68C0A3ABA3FB}" name="Difference" totalsRowFunction="sum" dataDxfId="134" totalsRowDxfId="133">
      <calculatedColumnFormula>Entertainment26[[#This Row],[Projected Cost]]-Entertainment26[[#This Row],[Actual Cost]]</calculatedColumnFormula>
    </tableColumn>
    <tableColumn id="5" xr3:uid="{84C4E995-B6E0-4446-8518-B931EC26F93E}" name="Column1" dataDxfId="132"/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Entertainment Costs in this table. Difference is auto calculated"/>
    </ext>
  </extLst>
</table>
</file>

<file path=xl/tables/table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AD99AB8-5128-4A50-8A11-BA873904B28B}" name="Loans27" displayName="Loans27" ref="G24:K33" totalsRowCount="1">
  <autoFilter ref="G24:K32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78D37832-FCD7-4FD8-8148-AEE1C4D875EE}" name="LOANS" totalsRowLabel="Subtotal"/>
    <tableColumn id="2" xr3:uid="{47F461AF-D657-413C-8B00-688111B381B7}" name="Projected Cost" totalsRowFunction="sum" dataDxfId="131" totalsRowDxfId="130"/>
    <tableColumn id="3" xr3:uid="{84A5E4C3-BD96-4265-A4CA-4855985A42E3}" name="Actual Cost" totalsRowFunction="sum" dataDxfId="129" totalsRowDxfId="128"/>
    <tableColumn id="4" xr3:uid="{1C15BEF6-46F2-4820-AE8C-9D3FFF59324E}" name="Difference" totalsRowFunction="sum" dataDxfId="127" totalsRowDxfId="126">
      <calculatedColumnFormula>Loans27[[#This Row],[Projected Cost]]-Loans27[[#This Row],[Actual Cost]]</calculatedColumnFormula>
    </tableColumn>
    <tableColumn id="5" xr3:uid="{0D675CB0-2810-4B6F-94FF-2E43BE3022EB}" name="Column1" dataDxfId="125">
      <calculatedColumnFormula>(8800-2089)-693</calculatedColumnFormula>
    </tableColumn>
  </tableColumns>
  <tableStyleInfo name="Personal monthly budget" showFirstColumn="1" showLastColumn="1" showRowStripes="0" showColumnStripes="0"/>
  <extLst>
    <ext xmlns:x14="http://schemas.microsoft.com/office/spreadsheetml/2009/9/main" uri="{504A1905-F514-4f6f-8877-14C23A59335A}">
      <x14:table altTextSummary="Enter Projected and Actual Loan Costs in this table. Difference is auto calculated"/>
    </ext>
  </extLst>
</table>
</file>

<file path=xl/theme/theme1.xml><?xml version="1.0" encoding="utf-8"?>
<a:theme xmlns:a="http://schemas.openxmlformats.org/drawingml/2006/main" name="WeightLossTracker">
  <a:themeElements>
    <a:clrScheme name="WeightLossTracker_color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7B0B8"/>
      </a:accent1>
      <a:accent2>
        <a:srgbClr val="FF6B6B"/>
      </a:accent2>
      <a:accent3>
        <a:srgbClr val="556270"/>
      </a:accent3>
      <a:accent4>
        <a:srgbClr val="81B63C"/>
      </a:accent4>
      <a:accent5>
        <a:srgbClr val="ED932C"/>
      </a:accent5>
      <a:accent6>
        <a:srgbClr val="A0729D"/>
      </a:accent6>
      <a:hlink>
        <a:srgbClr val="39ADDC"/>
      </a:hlink>
      <a:folHlink>
        <a:srgbClr val="895EA7"/>
      </a:folHlink>
    </a:clrScheme>
    <a:fontScheme name="Finance charge">
      <a:majorFont>
        <a:latin typeface="Century Gothic"/>
        <a:ea typeface=""/>
        <a:cs typeface=""/>
      </a:majorFont>
      <a:minorFont>
        <a:latin typeface="Calibri"/>
        <a:ea typeface=""/>
        <a:cs typeface=""/>
      </a:minorFont>
    </a:fontScheme>
    <a:fmtScheme name="Spring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lumMod val="110000"/>
              </a:schemeClr>
            </a:gs>
            <a:gs pos="100000">
              <a:schemeClr val="phClr">
                <a:tint val="100000"/>
                <a:shade val="85000"/>
                <a:lumMod val="8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7000"/>
                <a:satMod val="100000"/>
                <a:lumMod val="110000"/>
              </a:schemeClr>
            </a:gs>
            <a:gs pos="100000">
              <a:schemeClr val="phClr">
                <a:shade val="85000"/>
                <a:lumMod val="80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88900" dist="38100" dir="5400000" algn="ctr" rotWithShape="0">
              <a:srgbClr val="000000">
                <a:alpha val="65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5400000"/>
            </a:lightRig>
          </a:scene3d>
          <a:sp3d>
            <a:bevelT w="25400" h="381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hade val="100000"/>
                <a:hueMod val="100000"/>
                <a:satMod val="106000"/>
                <a:lumMod val="100000"/>
              </a:schemeClr>
            </a:gs>
            <a:gs pos="88000">
              <a:schemeClr val="phClr">
                <a:tint val="90000"/>
                <a:shade val="68000"/>
                <a:hueMod val="100000"/>
                <a:satMod val="114000"/>
                <a:lumMod val="74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4000"/>
                <a:shade val="100000"/>
                <a:hueMod val="100000"/>
                <a:satMod val="118000"/>
                <a:lumMod val="100000"/>
              </a:schemeClr>
            </a:gs>
            <a:gs pos="100000">
              <a:schemeClr val="phClr">
                <a:tint val="98000"/>
                <a:shade val="68000"/>
                <a:hueMod val="100000"/>
                <a:satMod val="118000"/>
                <a:lumMod val="82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1.xml"/><Relationship Id="rId13" Type="http://schemas.openxmlformats.org/officeDocument/2006/relationships/table" Target="../tables/table96.xml"/><Relationship Id="rId3" Type="http://schemas.openxmlformats.org/officeDocument/2006/relationships/table" Target="../tables/table86.xml"/><Relationship Id="rId7" Type="http://schemas.openxmlformats.org/officeDocument/2006/relationships/table" Target="../tables/table90.xml"/><Relationship Id="rId12" Type="http://schemas.openxmlformats.org/officeDocument/2006/relationships/table" Target="../tables/table95.xml"/><Relationship Id="rId2" Type="http://schemas.openxmlformats.org/officeDocument/2006/relationships/table" Target="../tables/table85.xml"/><Relationship Id="rId1" Type="http://schemas.openxmlformats.org/officeDocument/2006/relationships/printerSettings" Target="../printerSettings/printerSettings10.bin"/><Relationship Id="rId6" Type="http://schemas.openxmlformats.org/officeDocument/2006/relationships/table" Target="../tables/table89.xml"/><Relationship Id="rId11" Type="http://schemas.openxmlformats.org/officeDocument/2006/relationships/table" Target="../tables/table94.xml"/><Relationship Id="rId5" Type="http://schemas.openxmlformats.org/officeDocument/2006/relationships/table" Target="../tables/table88.xml"/><Relationship Id="rId10" Type="http://schemas.openxmlformats.org/officeDocument/2006/relationships/table" Target="../tables/table93.xml"/><Relationship Id="rId4" Type="http://schemas.openxmlformats.org/officeDocument/2006/relationships/table" Target="../tables/table87.xml"/><Relationship Id="rId9" Type="http://schemas.openxmlformats.org/officeDocument/2006/relationships/table" Target="../tables/table92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3.xml"/><Relationship Id="rId13" Type="http://schemas.openxmlformats.org/officeDocument/2006/relationships/table" Target="../tables/table108.xml"/><Relationship Id="rId3" Type="http://schemas.openxmlformats.org/officeDocument/2006/relationships/table" Target="../tables/table98.xml"/><Relationship Id="rId7" Type="http://schemas.openxmlformats.org/officeDocument/2006/relationships/table" Target="../tables/table102.xml"/><Relationship Id="rId12" Type="http://schemas.openxmlformats.org/officeDocument/2006/relationships/table" Target="../tables/table107.xml"/><Relationship Id="rId2" Type="http://schemas.openxmlformats.org/officeDocument/2006/relationships/table" Target="../tables/table97.xml"/><Relationship Id="rId1" Type="http://schemas.openxmlformats.org/officeDocument/2006/relationships/printerSettings" Target="../printerSettings/printerSettings11.bin"/><Relationship Id="rId6" Type="http://schemas.openxmlformats.org/officeDocument/2006/relationships/table" Target="../tables/table101.xml"/><Relationship Id="rId11" Type="http://schemas.openxmlformats.org/officeDocument/2006/relationships/table" Target="../tables/table106.xml"/><Relationship Id="rId5" Type="http://schemas.openxmlformats.org/officeDocument/2006/relationships/table" Target="../tables/table100.xml"/><Relationship Id="rId10" Type="http://schemas.openxmlformats.org/officeDocument/2006/relationships/table" Target="../tables/table105.xml"/><Relationship Id="rId4" Type="http://schemas.openxmlformats.org/officeDocument/2006/relationships/table" Target="../tables/table99.xml"/><Relationship Id="rId9" Type="http://schemas.openxmlformats.org/officeDocument/2006/relationships/table" Target="../tables/table104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4.xml"/><Relationship Id="rId13" Type="http://schemas.openxmlformats.org/officeDocument/2006/relationships/table" Target="../tables/table119.xml"/><Relationship Id="rId3" Type="http://schemas.openxmlformats.org/officeDocument/2006/relationships/table" Target="../tables/table109.xml"/><Relationship Id="rId7" Type="http://schemas.openxmlformats.org/officeDocument/2006/relationships/table" Target="../tables/table113.xml"/><Relationship Id="rId12" Type="http://schemas.openxmlformats.org/officeDocument/2006/relationships/table" Target="../tables/table118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Relationship Id="rId6" Type="http://schemas.openxmlformats.org/officeDocument/2006/relationships/table" Target="../tables/table112.xml"/><Relationship Id="rId11" Type="http://schemas.openxmlformats.org/officeDocument/2006/relationships/table" Target="../tables/table117.xml"/><Relationship Id="rId5" Type="http://schemas.openxmlformats.org/officeDocument/2006/relationships/table" Target="../tables/table111.xml"/><Relationship Id="rId10" Type="http://schemas.openxmlformats.org/officeDocument/2006/relationships/table" Target="../tables/table116.xml"/><Relationship Id="rId4" Type="http://schemas.openxmlformats.org/officeDocument/2006/relationships/table" Target="../tables/table110.xml"/><Relationship Id="rId9" Type="http://schemas.openxmlformats.org/officeDocument/2006/relationships/table" Target="../tables/table115.xml"/><Relationship Id="rId14" Type="http://schemas.openxmlformats.org/officeDocument/2006/relationships/table" Target="../tables/table120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13" Type="http://schemas.openxmlformats.org/officeDocument/2006/relationships/table" Target="../tables/table24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12" Type="http://schemas.openxmlformats.org/officeDocument/2006/relationships/table" Target="../tables/table23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7.xml"/><Relationship Id="rId11" Type="http://schemas.openxmlformats.org/officeDocument/2006/relationships/table" Target="../tables/table22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1.xml"/><Relationship Id="rId13" Type="http://schemas.openxmlformats.org/officeDocument/2006/relationships/table" Target="../tables/table36.xml"/><Relationship Id="rId3" Type="http://schemas.openxmlformats.org/officeDocument/2006/relationships/table" Target="../tables/table26.xml"/><Relationship Id="rId7" Type="http://schemas.openxmlformats.org/officeDocument/2006/relationships/table" Target="../tables/table30.xml"/><Relationship Id="rId12" Type="http://schemas.openxmlformats.org/officeDocument/2006/relationships/table" Target="../tables/table35.xml"/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29.xml"/><Relationship Id="rId11" Type="http://schemas.openxmlformats.org/officeDocument/2006/relationships/table" Target="../tables/table34.xml"/><Relationship Id="rId5" Type="http://schemas.openxmlformats.org/officeDocument/2006/relationships/table" Target="../tables/table28.xml"/><Relationship Id="rId10" Type="http://schemas.openxmlformats.org/officeDocument/2006/relationships/table" Target="../tables/table33.xml"/><Relationship Id="rId4" Type="http://schemas.openxmlformats.org/officeDocument/2006/relationships/table" Target="../tables/table27.xml"/><Relationship Id="rId9" Type="http://schemas.openxmlformats.org/officeDocument/2006/relationships/table" Target="../tables/table3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3.xml"/><Relationship Id="rId13" Type="http://schemas.openxmlformats.org/officeDocument/2006/relationships/table" Target="../tables/table48.xml"/><Relationship Id="rId3" Type="http://schemas.openxmlformats.org/officeDocument/2006/relationships/table" Target="../tables/table38.xml"/><Relationship Id="rId7" Type="http://schemas.openxmlformats.org/officeDocument/2006/relationships/table" Target="../tables/table42.xml"/><Relationship Id="rId12" Type="http://schemas.openxmlformats.org/officeDocument/2006/relationships/table" Target="../tables/table47.xml"/><Relationship Id="rId2" Type="http://schemas.openxmlformats.org/officeDocument/2006/relationships/table" Target="../tables/table3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41.xml"/><Relationship Id="rId11" Type="http://schemas.openxmlformats.org/officeDocument/2006/relationships/table" Target="../tables/table46.xml"/><Relationship Id="rId5" Type="http://schemas.openxmlformats.org/officeDocument/2006/relationships/table" Target="../tables/table40.xml"/><Relationship Id="rId10" Type="http://schemas.openxmlformats.org/officeDocument/2006/relationships/table" Target="../tables/table45.xml"/><Relationship Id="rId4" Type="http://schemas.openxmlformats.org/officeDocument/2006/relationships/table" Target="../tables/table39.xml"/><Relationship Id="rId9" Type="http://schemas.openxmlformats.org/officeDocument/2006/relationships/table" Target="../tables/table44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5.xml"/><Relationship Id="rId13" Type="http://schemas.openxmlformats.org/officeDocument/2006/relationships/table" Target="../tables/table60.xml"/><Relationship Id="rId3" Type="http://schemas.openxmlformats.org/officeDocument/2006/relationships/table" Target="../tables/table50.xml"/><Relationship Id="rId7" Type="http://schemas.openxmlformats.org/officeDocument/2006/relationships/table" Target="../tables/table54.xml"/><Relationship Id="rId12" Type="http://schemas.openxmlformats.org/officeDocument/2006/relationships/table" Target="../tables/table59.xml"/><Relationship Id="rId2" Type="http://schemas.openxmlformats.org/officeDocument/2006/relationships/table" Target="../tables/table49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53.xml"/><Relationship Id="rId11" Type="http://schemas.openxmlformats.org/officeDocument/2006/relationships/table" Target="../tables/table58.xml"/><Relationship Id="rId5" Type="http://schemas.openxmlformats.org/officeDocument/2006/relationships/table" Target="../tables/table52.xml"/><Relationship Id="rId10" Type="http://schemas.openxmlformats.org/officeDocument/2006/relationships/table" Target="../tables/table57.xml"/><Relationship Id="rId4" Type="http://schemas.openxmlformats.org/officeDocument/2006/relationships/table" Target="../tables/table51.xml"/><Relationship Id="rId9" Type="http://schemas.openxmlformats.org/officeDocument/2006/relationships/table" Target="../tables/table56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7.xml"/><Relationship Id="rId13" Type="http://schemas.openxmlformats.org/officeDocument/2006/relationships/table" Target="../tables/table72.xml"/><Relationship Id="rId3" Type="http://schemas.openxmlformats.org/officeDocument/2006/relationships/table" Target="../tables/table62.xml"/><Relationship Id="rId7" Type="http://schemas.openxmlformats.org/officeDocument/2006/relationships/table" Target="../tables/table66.xml"/><Relationship Id="rId12" Type="http://schemas.openxmlformats.org/officeDocument/2006/relationships/table" Target="../tables/table71.xml"/><Relationship Id="rId2" Type="http://schemas.openxmlformats.org/officeDocument/2006/relationships/table" Target="../tables/table61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65.xml"/><Relationship Id="rId11" Type="http://schemas.openxmlformats.org/officeDocument/2006/relationships/table" Target="../tables/table70.xml"/><Relationship Id="rId5" Type="http://schemas.openxmlformats.org/officeDocument/2006/relationships/table" Target="../tables/table64.xml"/><Relationship Id="rId10" Type="http://schemas.openxmlformats.org/officeDocument/2006/relationships/table" Target="../tables/table69.xml"/><Relationship Id="rId4" Type="http://schemas.openxmlformats.org/officeDocument/2006/relationships/table" Target="../tables/table63.xml"/><Relationship Id="rId9" Type="http://schemas.openxmlformats.org/officeDocument/2006/relationships/table" Target="../tables/table6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9.xml"/><Relationship Id="rId13" Type="http://schemas.openxmlformats.org/officeDocument/2006/relationships/table" Target="../tables/table84.xml"/><Relationship Id="rId3" Type="http://schemas.openxmlformats.org/officeDocument/2006/relationships/table" Target="../tables/table74.xml"/><Relationship Id="rId7" Type="http://schemas.openxmlformats.org/officeDocument/2006/relationships/table" Target="../tables/table78.xml"/><Relationship Id="rId12" Type="http://schemas.openxmlformats.org/officeDocument/2006/relationships/table" Target="../tables/table83.xml"/><Relationship Id="rId2" Type="http://schemas.openxmlformats.org/officeDocument/2006/relationships/table" Target="../tables/table7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77.xml"/><Relationship Id="rId11" Type="http://schemas.openxmlformats.org/officeDocument/2006/relationships/table" Target="../tables/table82.xml"/><Relationship Id="rId5" Type="http://schemas.openxmlformats.org/officeDocument/2006/relationships/table" Target="../tables/table76.xml"/><Relationship Id="rId10" Type="http://schemas.openxmlformats.org/officeDocument/2006/relationships/table" Target="../tables/table81.xml"/><Relationship Id="rId4" Type="http://schemas.openxmlformats.org/officeDocument/2006/relationships/table" Target="../tables/table75.xml"/><Relationship Id="rId9" Type="http://schemas.openxmlformats.org/officeDocument/2006/relationships/table" Target="../tables/table8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CF256-A10A-4A5C-8FB4-95F27AB5BFA3}">
  <sheetPr>
    <tabColor theme="9" tint="-0.499984740745262"/>
  </sheetPr>
  <dimension ref="B1:B7"/>
  <sheetViews>
    <sheetView showGridLines="0" workbookViewId="0"/>
  </sheetViews>
  <sheetFormatPr defaultRowHeight="13" x14ac:dyDescent="0.3"/>
  <cols>
    <col min="1" max="1" width="2.69921875" customWidth="1"/>
    <col min="2" max="2" width="80.69921875" customWidth="1"/>
    <col min="3" max="3" width="2.69921875" customWidth="1"/>
  </cols>
  <sheetData>
    <row r="1" spans="2:2" s="15" customFormat="1" ht="30" customHeight="1" x14ac:dyDescent="0.3">
      <c r="B1" s="14" t="s">
        <v>73</v>
      </c>
    </row>
    <row r="2" spans="2:2" ht="30" customHeight="1" x14ac:dyDescent="0.3">
      <c r="B2" s="10" t="s">
        <v>68</v>
      </c>
    </row>
    <row r="3" spans="2:2" ht="30" customHeight="1" x14ac:dyDescent="0.3">
      <c r="B3" s="10" t="s">
        <v>69</v>
      </c>
    </row>
    <row r="4" spans="2:2" ht="30" customHeight="1" x14ac:dyDescent="0.3">
      <c r="B4" s="10" t="s">
        <v>76</v>
      </c>
    </row>
    <row r="5" spans="2:2" ht="30" customHeight="1" x14ac:dyDescent="0.3">
      <c r="B5" s="11" t="s">
        <v>70</v>
      </c>
    </row>
    <row r="6" spans="2:2" ht="45.75" customHeight="1" x14ac:dyDescent="0.3">
      <c r="B6" s="10" t="s">
        <v>71</v>
      </c>
    </row>
    <row r="7" spans="2:2" ht="36.75" customHeight="1" x14ac:dyDescent="0.3">
      <c r="B7" s="10" t="s">
        <v>72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5F154-CAAE-49D6-A544-D0217EE26B9E}">
  <sheetPr>
    <tabColor theme="4"/>
    <pageSetUpPr autoPageBreaks="0" fitToPage="1"/>
  </sheetPr>
  <dimension ref="A1:K67"/>
  <sheetViews>
    <sheetView showGridLines="0" zoomScale="70" zoomScaleNormal="70" workbookViewId="0">
      <selection activeCell="J4" sqref="J4:J5"/>
    </sheetView>
  </sheetViews>
  <sheetFormatPr defaultRowHeight="13" x14ac:dyDescent="0.3"/>
  <cols>
    <col min="1" max="1" width="2.69921875" style="13" customWidth="1"/>
    <col min="2" max="2" width="64.69921875" bestFit="1" customWidth="1"/>
    <col min="3" max="3" width="16" customWidth="1"/>
    <col min="4" max="4" width="13" customWidth="1"/>
    <col min="5" max="5" width="13.5" bestFit="1" customWidth="1"/>
    <col min="6" max="6" width="2.69921875" customWidth="1"/>
    <col min="7" max="7" width="27.09765625" customWidth="1"/>
    <col min="8" max="8" width="16" customWidth="1"/>
    <col min="9" max="9" width="13" customWidth="1"/>
    <col min="10" max="10" width="14.296875" bestFit="1" customWidth="1"/>
    <col min="11" max="11" width="8.5" bestFit="1" customWidth="1"/>
  </cols>
  <sheetData>
    <row r="1" spans="1:10" s="2" customFormat="1" ht="14.5" x14ac:dyDescent="0.35">
      <c r="A1" s="12" t="s">
        <v>74</v>
      </c>
    </row>
    <row r="2" spans="1:10" s="2" customFormat="1" ht="30.5" thickBot="1" x14ac:dyDescent="0.7">
      <c r="A2" s="12" t="s">
        <v>75</v>
      </c>
      <c r="B2" s="1" t="s">
        <v>115</v>
      </c>
      <c r="C2" s="1"/>
      <c r="D2" s="1"/>
      <c r="E2" s="1"/>
      <c r="F2" s="1"/>
      <c r="G2" s="1"/>
      <c r="H2" s="1"/>
      <c r="I2" s="1"/>
      <c r="J2" s="1"/>
    </row>
    <row r="4" spans="1:10" x14ac:dyDescent="0.3">
      <c r="A4" s="13" t="s">
        <v>77</v>
      </c>
      <c r="B4" s="33" t="s">
        <v>0</v>
      </c>
      <c r="C4" s="36" t="s">
        <v>1</v>
      </c>
      <c r="D4" s="37"/>
      <c r="E4" s="5">
        <f>50000+10000</f>
        <v>60000</v>
      </c>
      <c r="G4" s="38" t="s">
        <v>97</v>
      </c>
      <c r="H4" s="39"/>
      <c r="I4" s="39"/>
      <c r="J4" s="40">
        <f>E6-J64</f>
        <v>30325</v>
      </c>
    </row>
    <row r="5" spans="1:10" x14ac:dyDescent="0.3">
      <c r="B5" s="34"/>
      <c r="C5" s="36" t="s">
        <v>111</v>
      </c>
      <c r="D5" s="37"/>
      <c r="E5" s="6">
        <v>0</v>
      </c>
      <c r="G5" s="39"/>
      <c r="H5" s="39"/>
      <c r="I5" s="39"/>
      <c r="J5" s="40"/>
    </row>
    <row r="6" spans="1:10" x14ac:dyDescent="0.3">
      <c r="A6" s="13" t="s">
        <v>78</v>
      </c>
      <c r="B6" s="35"/>
      <c r="C6" s="36" t="s">
        <v>3</v>
      </c>
      <c r="D6" s="37"/>
      <c r="E6" s="7">
        <f>SUM(E4:E5)</f>
        <v>60000</v>
      </c>
      <c r="G6" s="38" t="s">
        <v>96</v>
      </c>
      <c r="H6" s="39"/>
      <c r="I6" s="39"/>
      <c r="J6" s="40">
        <f>E10-J64</f>
        <v>-29675</v>
      </c>
    </row>
    <row r="7" spans="1:10" x14ac:dyDescent="0.3">
      <c r="B7" s="4"/>
      <c r="C7" s="4"/>
      <c r="D7" s="4"/>
      <c r="E7" s="4"/>
      <c r="G7" s="39"/>
      <c r="H7" s="39"/>
      <c r="I7" s="39"/>
      <c r="J7" s="40"/>
    </row>
    <row r="8" spans="1:10" x14ac:dyDescent="0.3">
      <c r="A8" s="13" t="s">
        <v>79</v>
      </c>
      <c r="B8" s="33" t="s">
        <v>4</v>
      </c>
      <c r="C8" s="36" t="s">
        <v>1</v>
      </c>
      <c r="D8" s="37"/>
      <c r="E8" s="5">
        <v>0</v>
      </c>
      <c r="G8" s="38" t="s">
        <v>67</v>
      </c>
      <c r="H8" s="39"/>
      <c r="I8" s="39"/>
      <c r="J8" s="40">
        <f>J6-J4</f>
        <v>-60000</v>
      </c>
    </row>
    <row r="9" spans="1:10" x14ac:dyDescent="0.3">
      <c r="B9" s="34"/>
      <c r="C9" s="36" t="s">
        <v>2</v>
      </c>
      <c r="D9" s="37"/>
      <c r="E9" s="6">
        <v>0</v>
      </c>
      <c r="G9" s="39"/>
      <c r="H9" s="39"/>
      <c r="I9" s="39"/>
      <c r="J9" s="40"/>
    </row>
    <row r="10" spans="1:10" x14ac:dyDescent="0.3">
      <c r="B10" s="35"/>
      <c r="C10" s="36" t="s">
        <v>3</v>
      </c>
      <c r="D10" s="37"/>
      <c r="E10" s="7">
        <f>SUM(E8:E9)</f>
        <v>0</v>
      </c>
    </row>
    <row r="12" spans="1:10" x14ac:dyDescent="0.3">
      <c r="A12" s="13" t="s">
        <v>80</v>
      </c>
      <c r="B12" s="8" t="s">
        <v>5</v>
      </c>
      <c r="C12" s="8" t="s">
        <v>6</v>
      </c>
      <c r="D12" s="8" t="s">
        <v>7</v>
      </c>
      <c r="E12" s="8" t="s">
        <v>8</v>
      </c>
      <c r="G12" t="s">
        <v>9</v>
      </c>
      <c r="H12" t="s">
        <v>6</v>
      </c>
      <c r="I12" t="s">
        <v>7</v>
      </c>
      <c r="J12" t="s">
        <v>8</v>
      </c>
    </row>
    <row r="13" spans="1:10" x14ac:dyDescent="0.3">
      <c r="B13" s="8" t="s">
        <v>10</v>
      </c>
      <c r="C13" s="9">
        <v>0</v>
      </c>
      <c r="D13" s="9">
        <v>0</v>
      </c>
      <c r="E13" s="9">
        <f>Housing2537[[#This Row],[Projected Cost]]-Housing2537[[#This Row],[Actual Cost]]</f>
        <v>0</v>
      </c>
      <c r="G13" t="s">
        <v>11</v>
      </c>
      <c r="H13" s="3"/>
      <c r="I13" s="3"/>
      <c r="J13" s="3">
        <f>Entertainment2638[[#This Row],[Projected Cost]]-Entertainment2638[[#This Row],[Actual Cost]]</f>
        <v>0</v>
      </c>
    </row>
    <row r="14" spans="1:10" x14ac:dyDescent="0.3">
      <c r="B14" s="8" t="s">
        <v>157</v>
      </c>
      <c r="C14" s="9">
        <v>250</v>
      </c>
      <c r="D14" s="9">
        <v>250</v>
      </c>
      <c r="E14" s="9">
        <f>Housing2537[[#This Row],[Projected Cost]]-Housing2537[[#This Row],[Actual Cost]]</f>
        <v>0</v>
      </c>
      <c r="G14" t="s">
        <v>13</v>
      </c>
      <c r="H14" s="3"/>
      <c r="I14" s="3"/>
      <c r="J14" s="3">
        <f>Entertainment2638[[#This Row],[Projected Cost]]-Entertainment2638[[#This Row],[Actual Cost]]</f>
        <v>0</v>
      </c>
    </row>
    <row r="15" spans="1:10" x14ac:dyDescent="0.3">
      <c r="B15" s="8" t="s">
        <v>14</v>
      </c>
      <c r="C15" s="9">
        <v>1000</v>
      </c>
      <c r="D15" s="9">
        <v>1000</v>
      </c>
      <c r="E15" s="9">
        <f>Housing2537[[#This Row],[Projected Cost]]-Housing2537[[#This Row],[Actual Cost]]</f>
        <v>0</v>
      </c>
      <c r="G15" t="s">
        <v>15</v>
      </c>
      <c r="H15" s="3"/>
      <c r="I15" s="3"/>
      <c r="J15" s="3">
        <f>Entertainment2638[[#This Row],[Projected Cost]]-Entertainment2638[[#This Row],[Actual Cost]]</f>
        <v>0</v>
      </c>
    </row>
    <row r="16" spans="1:10" x14ac:dyDescent="0.3">
      <c r="B16" s="8" t="s">
        <v>16</v>
      </c>
      <c r="C16" s="9">
        <v>1000</v>
      </c>
      <c r="D16" s="9">
        <v>1000</v>
      </c>
      <c r="E16" s="9">
        <f>Housing2537[[#This Row],[Projected Cost]]-Housing2537[[#This Row],[Actual Cost]]</f>
        <v>0</v>
      </c>
      <c r="G16" t="s">
        <v>17</v>
      </c>
      <c r="H16" s="3"/>
      <c r="I16" s="3"/>
      <c r="J16" s="3">
        <f>Entertainment2638[[#This Row],[Projected Cost]]-Entertainment2638[[#This Row],[Actual Cost]]</f>
        <v>0</v>
      </c>
    </row>
    <row r="17" spans="1:10" x14ac:dyDescent="0.3">
      <c r="B17" s="8" t="s">
        <v>145</v>
      </c>
      <c r="C17" s="9">
        <v>1700</v>
      </c>
      <c r="D17" s="9">
        <v>1700</v>
      </c>
      <c r="E17" s="9">
        <f>Housing2537[[#This Row],[Projected Cost]]-Housing2537[[#This Row],[Actual Cost]]</f>
        <v>0</v>
      </c>
      <c r="G17" t="s">
        <v>19</v>
      </c>
      <c r="H17" s="3"/>
      <c r="I17" s="3"/>
      <c r="J17" s="3">
        <f>Entertainment2638[[#This Row],[Projected Cost]]-Entertainment2638[[#This Row],[Actual Cost]]</f>
        <v>0</v>
      </c>
    </row>
    <row r="18" spans="1:10" x14ac:dyDescent="0.3">
      <c r="B18" s="8" t="s">
        <v>20</v>
      </c>
      <c r="C18" s="9">
        <v>0</v>
      </c>
      <c r="D18" s="9">
        <v>0</v>
      </c>
      <c r="E18" s="9">
        <f>Housing2537[[#This Row],[Projected Cost]]-Housing2537[[#This Row],[Actual Cost]]</f>
        <v>0</v>
      </c>
      <c r="G18" t="s">
        <v>21</v>
      </c>
      <c r="H18" s="3"/>
      <c r="I18" s="3"/>
      <c r="J18" s="3">
        <f>Entertainment2638[[#This Row],[Projected Cost]]-Entertainment2638[[#This Row],[Actual Cost]]</f>
        <v>0</v>
      </c>
    </row>
    <row r="19" spans="1:10" x14ac:dyDescent="0.3">
      <c r="B19" s="8" t="s">
        <v>22</v>
      </c>
      <c r="C19" s="9">
        <v>0</v>
      </c>
      <c r="D19" s="9">
        <v>0</v>
      </c>
      <c r="E19" s="9">
        <f>Housing2537[[#This Row],[Projected Cost]]-Housing2537[[#This Row],[Actual Cost]]</f>
        <v>0</v>
      </c>
      <c r="G19" t="s">
        <v>23</v>
      </c>
      <c r="H19" s="3"/>
      <c r="I19" s="3"/>
      <c r="J19" s="3">
        <f>Entertainment2638[[#This Row],[Projected Cost]]-Entertainment2638[[#This Row],[Actual Cost]]</f>
        <v>0</v>
      </c>
    </row>
    <row r="20" spans="1:10" x14ac:dyDescent="0.3">
      <c r="B20" s="8" t="s">
        <v>24</v>
      </c>
      <c r="C20" s="9">
        <v>0</v>
      </c>
      <c r="D20" s="9">
        <v>0</v>
      </c>
      <c r="E20" s="9">
        <f>Housing2537[[#This Row],[Projected Cost]]-Housing2537[[#This Row],[Actual Cost]]</f>
        <v>0</v>
      </c>
      <c r="G20" t="s">
        <v>23</v>
      </c>
      <c r="H20" s="3"/>
      <c r="I20" s="3"/>
      <c r="J20" s="3">
        <f>Entertainment2638[[#This Row],[Projected Cost]]-Entertainment2638[[#This Row],[Actual Cost]]</f>
        <v>0</v>
      </c>
    </row>
    <row r="21" spans="1:10" x14ac:dyDescent="0.3">
      <c r="B21" s="8" t="s">
        <v>25</v>
      </c>
      <c r="C21" s="9">
        <v>0</v>
      </c>
      <c r="D21" s="9">
        <v>0</v>
      </c>
      <c r="E21" s="9">
        <f>Housing2537[[#This Row],[Projected Cost]]-Housing2537[[#This Row],[Actual Cost]]</f>
        <v>0</v>
      </c>
      <c r="G21" t="s">
        <v>23</v>
      </c>
      <c r="H21" s="3"/>
      <c r="I21" s="3"/>
      <c r="J21" s="3">
        <f>Entertainment2638[[#This Row],[Projected Cost]]-Entertainment2638[[#This Row],[Actual Cost]]</f>
        <v>0</v>
      </c>
    </row>
    <row r="22" spans="1:10" x14ac:dyDescent="0.3">
      <c r="B22" s="8" t="s">
        <v>23</v>
      </c>
      <c r="C22" s="9">
        <v>0</v>
      </c>
      <c r="D22" s="9">
        <v>0</v>
      </c>
      <c r="E22" s="9">
        <f>Housing2537[[#This Row],[Projected Cost]]-Housing2537[[#This Row],[Actual Cost]]</f>
        <v>0</v>
      </c>
      <c r="G22" t="s">
        <v>66</v>
      </c>
      <c r="H22" s="3"/>
      <c r="I22" s="3"/>
      <c r="J22" s="3">
        <f>SUBTOTAL(109,Entertainment2638[Difference])</f>
        <v>0</v>
      </c>
    </row>
    <row r="23" spans="1:10" x14ac:dyDescent="0.3">
      <c r="B23" s="8" t="s">
        <v>66</v>
      </c>
      <c r="C23" s="9">
        <f>SUBTOTAL(109,Housing2537[Projected Cost])</f>
        <v>3950</v>
      </c>
      <c r="D23" s="9">
        <f>SUBTOTAL(109,Housing2537[Actual Cost])</f>
        <v>3950</v>
      </c>
      <c r="E23" s="9">
        <f>SUBTOTAL(109,Housing2537[Difference])</f>
        <v>0</v>
      </c>
      <c r="G23" s="41"/>
      <c r="H23" s="41"/>
      <c r="I23" s="41"/>
      <c r="J23" s="41"/>
    </row>
    <row r="24" spans="1:10" x14ac:dyDescent="0.3">
      <c r="B24" s="41"/>
      <c r="C24" s="41"/>
      <c r="D24" s="41"/>
      <c r="E24" s="41"/>
      <c r="G24" t="s">
        <v>26</v>
      </c>
      <c r="H24" t="s">
        <v>6</v>
      </c>
      <c r="I24" t="s">
        <v>7</v>
      </c>
      <c r="J24" t="s">
        <v>8</v>
      </c>
    </row>
    <row r="25" spans="1:10" x14ac:dyDescent="0.3">
      <c r="A25" s="13" t="s">
        <v>81</v>
      </c>
      <c r="B25" t="s">
        <v>27</v>
      </c>
      <c r="C25" t="s">
        <v>6</v>
      </c>
      <c r="D25" t="s">
        <v>7</v>
      </c>
      <c r="E25" t="s">
        <v>8</v>
      </c>
      <c r="G25" t="s">
        <v>117</v>
      </c>
      <c r="H25" s="3"/>
      <c r="I25" s="3"/>
      <c r="J25" s="3">
        <f>Loans2739[[#This Row],[Projected Cost]]-Loans2739[[#This Row],[Actual Cost]]</f>
        <v>0</v>
      </c>
    </row>
    <row r="26" spans="1:10" x14ac:dyDescent="0.3">
      <c r="B26" t="s">
        <v>29</v>
      </c>
      <c r="C26" s="3">
        <v>3800</v>
      </c>
      <c r="D26" s="3">
        <v>3800</v>
      </c>
      <c r="E26" s="3">
        <f>Transportation2840[[#This Row],[Projected Cost]]-Transportation2840[[#This Row],[Actual Cost]]</f>
        <v>0</v>
      </c>
      <c r="G26" t="s">
        <v>174</v>
      </c>
      <c r="H26" s="3">
        <v>0</v>
      </c>
      <c r="I26" s="3">
        <v>0</v>
      </c>
      <c r="J26" s="3">
        <f>Loans2739[[#This Row],[Projected Cost]]-Loans2739[[#This Row],[Actual Cost]]</f>
        <v>0</v>
      </c>
    </row>
    <row r="27" spans="1:10" x14ac:dyDescent="0.3">
      <c r="B27" t="s">
        <v>30</v>
      </c>
      <c r="C27" s="3">
        <v>0</v>
      </c>
      <c r="D27" s="3">
        <v>0</v>
      </c>
      <c r="E27" s="3">
        <v>0</v>
      </c>
      <c r="G27" t="s">
        <v>88</v>
      </c>
      <c r="H27" s="3">
        <v>0</v>
      </c>
      <c r="I27" s="3">
        <v>0</v>
      </c>
      <c r="J27" s="3">
        <f>Loans2739[[#This Row],[Projected Cost]]-Loans2739[[#This Row],[Actual Cost]]</f>
        <v>0</v>
      </c>
    </row>
    <row r="28" spans="1:10" x14ac:dyDescent="0.3">
      <c r="B28" t="s">
        <v>31</v>
      </c>
      <c r="C28" s="3">
        <v>0</v>
      </c>
      <c r="D28" s="3">
        <v>0</v>
      </c>
      <c r="E28" s="3">
        <f>Transportation2840[[#This Row],[Projected Cost]]-Transportation2840[[#This Row],[Actual Cost]]</f>
        <v>0</v>
      </c>
      <c r="G28" t="s">
        <v>173</v>
      </c>
      <c r="H28" s="3">
        <v>0</v>
      </c>
      <c r="I28" s="3">
        <v>0</v>
      </c>
      <c r="J28" s="3">
        <f>Loans2739[[#This Row],[Projected Cost]]-Loans2739[[#This Row],[Actual Cost]]</f>
        <v>0</v>
      </c>
    </row>
    <row r="29" spans="1:10" x14ac:dyDescent="0.3">
      <c r="B29" t="s">
        <v>32</v>
      </c>
      <c r="C29" s="3">
        <v>0</v>
      </c>
      <c r="D29" s="3">
        <v>0</v>
      </c>
      <c r="E29" s="3">
        <f>Transportation2840[[#This Row],[Projected Cost]]-Transportation2840[[#This Row],[Actual Cost]]</f>
        <v>0</v>
      </c>
      <c r="G29" t="s">
        <v>87</v>
      </c>
      <c r="H29" s="3">
        <v>5375</v>
      </c>
      <c r="I29" s="3">
        <v>5375</v>
      </c>
      <c r="J29" s="3">
        <f>Loans2739[[#This Row],[Projected Cost]]-Loans2739[[#This Row],[Actual Cost]]</f>
        <v>0</v>
      </c>
    </row>
    <row r="30" spans="1:10" x14ac:dyDescent="0.3">
      <c r="B30" t="s">
        <v>33</v>
      </c>
      <c r="C30" s="3">
        <v>1500</v>
      </c>
      <c r="D30" s="3">
        <v>1500</v>
      </c>
      <c r="E30" s="3">
        <f>Transportation2840[[#This Row],[Projected Cost]]-Transportation2840[[#This Row],[Actual Cost]]</f>
        <v>0</v>
      </c>
      <c r="G30" t="s">
        <v>123</v>
      </c>
      <c r="H30" s="3">
        <v>0</v>
      </c>
      <c r="I30" s="3">
        <v>0</v>
      </c>
      <c r="J30" s="3">
        <f>Loans2739[[#This Row],[Projected Cost]]-Loans2739[[#This Row],[Actual Cost]]</f>
        <v>0</v>
      </c>
    </row>
    <row r="31" spans="1:10" x14ac:dyDescent="0.3">
      <c r="B31" t="s">
        <v>34</v>
      </c>
      <c r="C31" s="3">
        <v>0</v>
      </c>
      <c r="D31" s="3">
        <v>0</v>
      </c>
      <c r="E31" s="3">
        <f>Transportation2840[[#This Row],[Projected Cost]]-Transportation2840[[#This Row],[Actual Cost]]</f>
        <v>0</v>
      </c>
      <c r="G31" t="s">
        <v>104</v>
      </c>
      <c r="H31" s="3">
        <v>0</v>
      </c>
      <c r="I31" s="3">
        <v>0</v>
      </c>
      <c r="J31" s="3">
        <f>Loans2739[[#This Row],[Projected Cost]]-Loans2739[[#This Row],[Actual Cost]]</f>
        <v>0</v>
      </c>
    </row>
    <row r="32" spans="1:10" x14ac:dyDescent="0.3">
      <c r="B32" t="s">
        <v>23</v>
      </c>
      <c r="C32" s="3">
        <v>0</v>
      </c>
      <c r="D32" s="3">
        <v>0</v>
      </c>
      <c r="E32" s="3">
        <f>Transportation2840[[#This Row],[Projected Cost]]-Transportation2840[[#This Row],[Actual Cost]]</f>
        <v>0</v>
      </c>
      <c r="G32" t="s">
        <v>100</v>
      </c>
      <c r="H32" s="3">
        <v>0</v>
      </c>
      <c r="I32" s="3">
        <v>0</v>
      </c>
      <c r="J32" s="3">
        <f>Loans2739[[#This Row],[Projected Cost]]-Loans2739[[#This Row],[Actual Cost]]</f>
        <v>0</v>
      </c>
    </row>
    <row r="33" spans="1:10" x14ac:dyDescent="0.3">
      <c r="B33" t="s">
        <v>66</v>
      </c>
      <c r="C33" s="3">
        <f>SUBTOTAL(109,Transportation2840[Projected Cost])</f>
        <v>5300</v>
      </c>
      <c r="D33" s="3">
        <f>SUBTOTAL(109,Transportation2840[Actual Cost])</f>
        <v>5300</v>
      </c>
      <c r="E33" s="3">
        <f>SUBTOTAL(109,Transportation2840[Difference])</f>
        <v>0</v>
      </c>
      <c r="G33" t="s">
        <v>66</v>
      </c>
      <c r="H33" s="3">
        <f>SUBTOTAL(109,Loans2739[Projected Cost])</f>
        <v>5375</v>
      </c>
      <c r="I33" s="3">
        <f>SUBTOTAL(109,Loans2739[Actual Cost])</f>
        <v>5375</v>
      </c>
      <c r="J33" s="3">
        <f>SUBTOTAL(109,Loans2739[Difference])</f>
        <v>0</v>
      </c>
    </row>
    <row r="34" spans="1:10" x14ac:dyDescent="0.3">
      <c r="B34" s="41"/>
      <c r="C34" s="41"/>
      <c r="D34" s="41"/>
      <c r="E34" s="41"/>
      <c r="G34" s="41"/>
      <c r="H34" s="41"/>
      <c r="I34" s="41"/>
      <c r="J34" s="41"/>
    </row>
    <row r="35" spans="1:10" x14ac:dyDescent="0.3">
      <c r="A35" s="13" t="s">
        <v>82</v>
      </c>
      <c r="B35" t="s">
        <v>37</v>
      </c>
      <c r="C35" t="s">
        <v>6</v>
      </c>
      <c r="D35" t="s">
        <v>7</v>
      </c>
      <c r="E35" t="s">
        <v>8</v>
      </c>
      <c r="G35" t="s">
        <v>35</v>
      </c>
      <c r="H35" t="s">
        <v>6</v>
      </c>
      <c r="I35" t="s">
        <v>7</v>
      </c>
      <c r="J35" t="s">
        <v>8</v>
      </c>
    </row>
    <row r="36" spans="1:10" x14ac:dyDescent="0.3">
      <c r="B36" t="s">
        <v>39</v>
      </c>
      <c r="C36" s="3"/>
      <c r="D36" s="3"/>
      <c r="E36" s="3">
        <f>Insurance2941[[#This Row],[Projected Cost]]-Insurance2941[[#This Row],[Actual Cost]]</f>
        <v>0</v>
      </c>
      <c r="G36" t="s">
        <v>36</v>
      </c>
      <c r="H36" s="3"/>
      <c r="I36" s="3"/>
      <c r="J36" s="3">
        <f>Taxes3042[[#This Row],[Projected Cost]]-Taxes3042[[#This Row],[Actual Cost]]</f>
        <v>0</v>
      </c>
    </row>
    <row r="37" spans="1:10" x14ac:dyDescent="0.3">
      <c r="B37" t="s">
        <v>41</v>
      </c>
      <c r="C37" s="3"/>
      <c r="D37" s="3"/>
      <c r="E37" s="3">
        <f>Insurance2941[[#This Row],[Projected Cost]]-Insurance2941[[#This Row],[Actual Cost]]</f>
        <v>0</v>
      </c>
      <c r="G37" t="s">
        <v>38</v>
      </c>
      <c r="H37" s="3"/>
      <c r="I37" s="3"/>
      <c r="J37" s="3">
        <f>Taxes3042[[#This Row],[Projected Cost]]-Taxes3042[[#This Row],[Actual Cost]]</f>
        <v>0</v>
      </c>
    </row>
    <row r="38" spans="1:10" x14ac:dyDescent="0.3">
      <c r="B38" t="s">
        <v>42</v>
      </c>
      <c r="C38" s="3">
        <v>2050</v>
      </c>
      <c r="D38" s="3">
        <v>2050</v>
      </c>
      <c r="E38" s="3">
        <f>Insurance2941[[#This Row],[Projected Cost]]-Insurance2941[[#This Row],[Actual Cost]]</f>
        <v>0</v>
      </c>
      <c r="G38" t="s">
        <v>40</v>
      </c>
      <c r="H38" s="3"/>
      <c r="I38" s="3"/>
      <c r="J38" s="3">
        <f>Taxes3042[[#This Row],[Projected Cost]]-Taxes3042[[#This Row],[Actual Cost]]</f>
        <v>0</v>
      </c>
    </row>
    <row r="39" spans="1:10" x14ac:dyDescent="0.3">
      <c r="B39" t="s">
        <v>176</v>
      </c>
      <c r="C39" s="3">
        <v>3000</v>
      </c>
      <c r="D39" s="3">
        <v>3000</v>
      </c>
      <c r="E39" s="3">
        <f>Insurance2941[[#This Row],[Projected Cost]]-Insurance2941[[#This Row],[Actual Cost]]</f>
        <v>0</v>
      </c>
      <c r="G39" t="s">
        <v>23</v>
      </c>
      <c r="H39" s="3"/>
      <c r="I39" s="3"/>
      <c r="J39" s="3">
        <f>Taxes3042[[#This Row],[Projected Cost]]-Taxes3042[[#This Row],[Actual Cost]]</f>
        <v>0</v>
      </c>
    </row>
    <row r="40" spans="1:10" x14ac:dyDescent="0.3">
      <c r="B40" t="s">
        <v>66</v>
      </c>
      <c r="C40" s="3">
        <f>SUBTOTAL(109,Insurance2941[Projected Cost])</f>
        <v>5050</v>
      </c>
      <c r="D40" s="3">
        <f>SUBTOTAL(109,Insurance2941[Actual Cost])</f>
        <v>5050</v>
      </c>
      <c r="E40" s="3">
        <f>SUBTOTAL(109,Insurance2941[Difference])</f>
        <v>0</v>
      </c>
      <c r="G40" t="s">
        <v>66</v>
      </c>
      <c r="H40" s="3"/>
      <c r="I40" s="3"/>
      <c r="J40" s="3">
        <f>SUBTOTAL(109,Taxes3042[Difference])</f>
        <v>0</v>
      </c>
    </row>
    <row r="41" spans="1:10" x14ac:dyDescent="0.3">
      <c r="B41" s="41"/>
      <c r="C41" s="41"/>
      <c r="D41" s="41"/>
      <c r="E41" s="41"/>
      <c r="G41" s="41"/>
      <c r="H41" s="41"/>
      <c r="I41" s="41"/>
      <c r="J41" s="41"/>
    </row>
    <row r="42" spans="1:10" x14ac:dyDescent="0.3">
      <c r="A42" s="13" t="s">
        <v>83</v>
      </c>
      <c r="B42" t="s">
        <v>45</v>
      </c>
      <c r="C42" t="s">
        <v>6</v>
      </c>
      <c r="D42" t="s">
        <v>7</v>
      </c>
      <c r="E42" t="s">
        <v>8</v>
      </c>
      <c r="G42" t="s">
        <v>43</v>
      </c>
      <c r="H42" t="s">
        <v>6</v>
      </c>
      <c r="I42" t="s">
        <v>7</v>
      </c>
      <c r="J42" t="s">
        <v>8</v>
      </c>
    </row>
    <row r="43" spans="1:10" x14ac:dyDescent="0.3">
      <c r="B43" t="s">
        <v>47</v>
      </c>
      <c r="C43" s="3">
        <v>1300</v>
      </c>
      <c r="D43" s="3">
        <v>1300</v>
      </c>
      <c r="E43" s="3">
        <f>Food3244[[#This Row],[Projected Cost]]-Food3244[[#This Row],[Actual Cost]]</f>
        <v>0</v>
      </c>
      <c r="G43" t="s">
        <v>44</v>
      </c>
      <c r="H43" s="3"/>
      <c r="I43" s="3"/>
      <c r="J43" s="3">
        <f>Savings3143[[#This Row],[Projected Cost]]-Savings3143[[#This Row],[Actual Cost]]</f>
        <v>0</v>
      </c>
    </row>
    <row r="44" spans="1:10" x14ac:dyDescent="0.3">
      <c r="B44" t="s">
        <v>94</v>
      </c>
      <c r="C44" s="3">
        <v>700</v>
      </c>
      <c r="D44" s="3">
        <v>700</v>
      </c>
      <c r="E44" s="3">
        <f>Food3244[[#This Row],[Projected Cost]]-Food3244[[#This Row],[Actual Cost]]</f>
        <v>0</v>
      </c>
      <c r="G44" t="s">
        <v>46</v>
      </c>
      <c r="H44" s="3"/>
      <c r="I44" s="3"/>
      <c r="J44" s="3">
        <f>Savings3143[[#This Row],[Projected Cost]]-Savings3143[[#This Row],[Actual Cost]]</f>
        <v>0</v>
      </c>
    </row>
    <row r="45" spans="1:10" x14ac:dyDescent="0.3">
      <c r="B45" t="s">
        <v>98</v>
      </c>
      <c r="C45" s="3">
        <v>2000</v>
      </c>
      <c r="D45" s="3">
        <v>2000</v>
      </c>
      <c r="E45" s="3">
        <f>Food3244[[#This Row],[Projected Cost]]-Food3244[[#This Row],[Actual Cost]]</f>
        <v>0</v>
      </c>
      <c r="G45" t="s">
        <v>91</v>
      </c>
      <c r="H45" s="3">
        <v>6000</v>
      </c>
      <c r="I45" s="3">
        <v>6000</v>
      </c>
      <c r="J45" s="3">
        <f>Savings3143[[#This Row],[Projected Cost]]-Savings3143[[#This Row],[Actual Cost]]</f>
        <v>0</v>
      </c>
    </row>
    <row r="46" spans="1:10" x14ac:dyDescent="0.3">
      <c r="B46" t="s">
        <v>66</v>
      </c>
      <c r="C46" s="3">
        <f>SUBTOTAL(109,Food3244[Projected Cost])</f>
        <v>4000</v>
      </c>
      <c r="D46" s="3">
        <f>SUBTOTAL(109,Food3244[Actual Cost])</f>
        <v>4000</v>
      </c>
      <c r="E46" s="3">
        <f>SUBTOTAL(109,Food3244[Difference])</f>
        <v>0</v>
      </c>
      <c r="G46" t="s">
        <v>66</v>
      </c>
      <c r="H46" s="3">
        <f>SUBTOTAL(109,Savings3143[Projected Cost])</f>
        <v>6000</v>
      </c>
      <c r="I46" s="3">
        <f>SUBTOTAL(109,Savings3143[Actual Cost])</f>
        <v>6000</v>
      </c>
      <c r="J46" s="3">
        <f>SUBTOTAL(109,Savings3143[Difference])</f>
        <v>0</v>
      </c>
    </row>
    <row r="47" spans="1:10" x14ac:dyDescent="0.3">
      <c r="B47" s="41"/>
      <c r="C47" s="41"/>
      <c r="D47" s="41"/>
      <c r="E47" s="41"/>
      <c r="G47" s="41"/>
      <c r="H47" s="41"/>
      <c r="I47" s="41"/>
      <c r="J47" s="41"/>
    </row>
    <row r="48" spans="1:10" x14ac:dyDescent="0.3">
      <c r="A48" s="13" t="s">
        <v>84</v>
      </c>
      <c r="B48" t="s">
        <v>50</v>
      </c>
      <c r="C48" t="s">
        <v>6</v>
      </c>
      <c r="D48" t="s">
        <v>7</v>
      </c>
      <c r="E48" t="s">
        <v>8</v>
      </c>
      <c r="G48" t="s">
        <v>48</v>
      </c>
      <c r="H48" t="s">
        <v>6</v>
      </c>
      <c r="I48" t="s">
        <v>7</v>
      </c>
      <c r="J48" t="s">
        <v>8</v>
      </c>
    </row>
    <row r="49" spans="1:11" x14ac:dyDescent="0.3">
      <c r="B49" t="s">
        <v>52</v>
      </c>
      <c r="C49" s="3"/>
      <c r="D49" s="3"/>
      <c r="E49" s="3">
        <f>Pets3446[[#This Row],[Projected Cost]]-Pets3446[[#This Row],[Actual Cost]]</f>
        <v>0</v>
      </c>
      <c r="G49" t="s">
        <v>49</v>
      </c>
      <c r="H49" s="3"/>
      <c r="I49" s="3"/>
      <c r="J49" s="3">
        <f>Gifts3345[[#This Row],[Projected Cost]]-Gifts3345[[#This Row],[Actual Cost]]</f>
        <v>0</v>
      </c>
    </row>
    <row r="50" spans="1:11" x14ac:dyDescent="0.3">
      <c r="B50" t="s">
        <v>54</v>
      </c>
      <c r="C50" s="3"/>
      <c r="D50" s="3"/>
      <c r="E50" s="3">
        <f>Pets3446[[#This Row],[Projected Cost]]-Pets3446[[#This Row],[Actual Cost]]</f>
        <v>0</v>
      </c>
      <c r="G50" t="s">
        <v>51</v>
      </c>
      <c r="H50" s="3"/>
      <c r="I50" s="3"/>
      <c r="J50" s="3">
        <f>Gifts3345[[#This Row],[Projected Cost]]-Gifts3345[[#This Row],[Actual Cost]]</f>
        <v>0</v>
      </c>
    </row>
    <row r="51" spans="1:11" x14ac:dyDescent="0.3">
      <c r="B51" t="s">
        <v>55</v>
      </c>
      <c r="C51" s="3"/>
      <c r="D51" s="3"/>
      <c r="E51" s="3">
        <f>Pets3446[[#This Row],[Projected Cost]]-Pets3446[[#This Row],[Actual Cost]]</f>
        <v>0</v>
      </c>
      <c r="G51" t="s">
        <v>53</v>
      </c>
      <c r="H51" s="3"/>
      <c r="I51" s="3"/>
      <c r="J51" s="3">
        <f>Gifts3345[[#This Row],[Projected Cost]]-Gifts3345[[#This Row],[Actual Cost]]</f>
        <v>0</v>
      </c>
    </row>
    <row r="52" spans="1:11" x14ac:dyDescent="0.3">
      <c r="B52" t="s">
        <v>56</v>
      </c>
      <c r="C52" s="3"/>
      <c r="D52" s="3"/>
      <c r="E52" s="3">
        <f>Pets3446[[#This Row],[Projected Cost]]-Pets3446[[#This Row],[Actual Cost]]</f>
        <v>0</v>
      </c>
      <c r="G52" t="s">
        <v>66</v>
      </c>
      <c r="H52" s="3"/>
      <c r="I52" s="3"/>
      <c r="J52" s="3">
        <f>SUBTOTAL(109,Gifts3345[Difference])</f>
        <v>0</v>
      </c>
    </row>
    <row r="53" spans="1:11" x14ac:dyDescent="0.3">
      <c r="B53" t="s">
        <v>23</v>
      </c>
      <c r="C53" s="3"/>
      <c r="D53" s="3"/>
      <c r="E53" s="3">
        <f>Pets3446[[#This Row],[Projected Cost]]-Pets3446[[#This Row],[Actual Cost]]</f>
        <v>0</v>
      </c>
      <c r="G53" s="41"/>
      <c r="H53" s="41"/>
      <c r="I53" s="41"/>
      <c r="J53" s="41"/>
    </row>
    <row r="54" spans="1:11" x14ac:dyDescent="0.3">
      <c r="B54" t="s">
        <v>66</v>
      </c>
      <c r="C54" s="3"/>
      <c r="D54" s="3"/>
      <c r="E54" s="3">
        <f>SUBTOTAL(109,Pets3446[Difference])</f>
        <v>0</v>
      </c>
      <c r="G54" t="s">
        <v>106</v>
      </c>
      <c r="H54" t="s">
        <v>6</v>
      </c>
      <c r="I54" t="s">
        <v>7</v>
      </c>
      <c r="J54" t="s">
        <v>8</v>
      </c>
      <c r="K54" s="24" t="s">
        <v>130</v>
      </c>
    </row>
    <row r="55" spans="1:11" x14ac:dyDescent="0.3">
      <c r="B55" s="41"/>
      <c r="C55" s="41"/>
      <c r="D55" s="41"/>
      <c r="E55" s="41"/>
      <c r="G55" t="s">
        <v>129</v>
      </c>
      <c r="H55" s="3">
        <v>0</v>
      </c>
      <c r="I55" s="3">
        <v>0</v>
      </c>
      <c r="J55" s="3">
        <f>Legal3547[[#This Row],[Projected Cost]]-Legal3547[[#This Row],[Actual Cost]]</f>
        <v>0</v>
      </c>
      <c r="K55" s="3" t="s">
        <v>148</v>
      </c>
    </row>
    <row r="56" spans="1:11" x14ac:dyDescent="0.3">
      <c r="A56" s="13" t="s">
        <v>85</v>
      </c>
      <c r="B56" s="8" t="s">
        <v>57</v>
      </c>
      <c r="C56" s="8" t="s">
        <v>114</v>
      </c>
      <c r="D56" s="8" t="s">
        <v>7</v>
      </c>
      <c r="E56" s="8" t="s">
        <v>8</v>
      </c>
      <c r="G56" t="s">
        <v>108</v>
      </c>
      <c r="H56" s="3">
        <v>0</v>
      </c>
      <c r="I56" s="3">
        <v>0</v>
      </c>
      <c r="J56" s="3">
        <f>Legal3547[[#This Row],[Projected Cost]]-Legal3547[[#This Row],[Actual Cost]]</f>
        <v>0</v>
      </c>
      <c r="K56" s="3" t="s">
        <v>148</v>
      </c>
    </row>
    <row r="57" spans="1:11" x14ac:dyDescent="0.3">
      <c r="B57" s="8" t="s">
        <v>54</v>
      </c>
      <c r="C57" s="9"/>
      <c r="D57" s="9"/>
      <c r="E57" s="9">
        <f>PersonalCare3648[[#This Row],[z]]-PersonalCare3648[[#This Row],[Actual Cost]]</f>
        <v>0</v>
      </c>
      <c r="G57" t="s">
        <v>109</v>
      </c>
      <c r="H57" s="3">
        <v>0</v>
      </c>
      <c r="I57" s="3">
        <v>0</v>
      </c>
      <c r="J57" s="3">
        <f>Legal3547[[#This Row],[Projected Cost]]-Legal3547[[#This Row],[Actual Cost]]</f>
        <v>0</v>
      </c>
      <c r="K57" s="3" t="s">
        <v>150</v>
      </c>
    </row>
    <row r="58" spans="1:11" x14ac:dyDescent="0.3">
      <c r="B58" s="8" t="s">
        <v>58</v>
      </c>
      <c r="C58" s="9"/>
      <c r="D58" s="9"/>
      <c r="E58" s="9">
        <f>PersonalCare3648[[#This Row],[z]]-PersonalCare3648[[#This Row],[Actual Cost]]</f>
        <v>0</v>
      </c>
      <c r="G58" t="s">
        <v>126</v>
      </c>
      <c r="H58" s="3">
        <v>0</v>
      </c>
      <c r="I58" s="3">
        <v>0</v>
      </c>
      <c r="J58" s="3">
        <f>Legal3547[[#This Row],[Projected Cost]]-Legal3547[[#This Row],[Actual Cost]]</f>
        <v>0</v>
      </c>
      <c r="K58" s="3"/>
    </row>
    <row r="59" spans="1:11" x14ac:dyDescent="0.3">
      <c r="A59" s="13" t="s">
        <v>86</v>
      </c>
      <c r="B59" s="8" t="s">
        <v>59</v>
      </c>
      <c r="C59" s="9"/>
      <c r="D59" s="9"/>
      <c r="E59" s="9">
        <f>PersonalCare3648[[#This Row],[z]]-PersonalCare3648[[#This Row],[Actual Cost]]</f>
        <v>0</v>
      </c>
      <c r="G59" t="s">
        <v>124</v>
      </c>
      <c r="H59" s="3">
        <v>0</v>
      </c>
      <c r="I59" s="3">
        <v>0</v>
      </c>
      <c r="J59" s="3">
        <f>Legal3547[[#This Row],[Projected Cost]]-Legal3547[[#This Row],[Actual Cost]]</f>
        <v>0</v>
      </c>
      <c r="K59" s="3" t="s">
        <v>149</v>
      </c>
    </row>
    <row r="60" spans="1:11" x14ac:dyDescent="0.3">
      <c r="B60" s="8" t="s">
        <v>61</v>
      </c>
      <c r="C60" s="9"/>
      <c r="D60" s="9"/>
      <c r="E60" s="9">
        <f>PersonalCare3648[[#This Row],[z]]-PersonalCare3648[[#This Row],[Actual Cost]]</f>
        <v>0</v>
      </c>
      <c r="G60" t="s">
        <v>66</v>
      </c>
      <c r="H60" s="3">
        <f>SUBTOTAL(109,Legal3547[Projected Cost])</f>
        <v>0</v>
      </c>
      <c r="I60" s="3">
        <f>SUBTOTAL(109,Legal3547[Actual Cost])</f>
        <v>0</v>
      </c>
      <c r="J60" s="3">
        <f>SUBTOTAL(109,Legal3547[Difference])</f>
        <v>0</v>
      </c>
    </row>
    <row r="61" spans="1:11" x14ac:dyDescent="0.3">
      <c r="B61" s="8" t="s">
        <v>62</v>
      </c>
      <c r="C61" s="9"/>
      <c r="D61" s="9"/>
      <c r="E61" s="9">
        <f>PersonalCare3648[[#This Row],[z]]-PersonalCare3648[[#This Row],[Actual Cost]]</f>
        <v>0</v>
      </c>
      <c r="G61" s="41"/>
      <c r="H61" s="41"/>
      <c r="I61" s="41"/>
      <c r="J61" s="41"/>
    </row>
    <row r="62" spans="1:11" x14ac:dyDescent="0.3">
      <c r="B62" s="8" t="s">
        <v>64</v>
      </c>
      <c r="C62" s="9"/>
      <c r="D62" s="9"/>
      <c r="E62" s="9">
        <f>PersonalCare3648[[#This Row],[z]]-PersonalCare3648[[#This Row],[Actual Cost]]</f>
        <v>0</v>
      </c>
      <c r="G62" s="42" t="s">
        <v>60</v>
      </c>
      <c r="H62" s="42"/>
      <c r="I62" s="42"/>
      <c r="J62" s="40">
        <f>SUBTOTAL(109,Housing2537[Projected Cost],Transportation2840[Projected Cost],Insurance2941[Projected Cost],Food3244[Projected Cost],Pets3446[Projected Cost],PersonalCare3648[z],Entertainment2638[Projected Cost],Loans2739[Projected Cost],Taxes3042[Projected Cost],Savings3143[Projected Cost],Gifts3345[Projected Cost],Legal3547[Projected Cost])</f>
        <v>29675</v>
      </c>
    </row>
    <row r="63" spans="1:11" x14ac:dyDescent="0.3">
      <c r="B63" s="8" t="s">
        <v>23</v>
      </c>
      <c r="C63" s="9"/>
      <c r="D63" s="9"/>
      <c r="E63" s="9">
        <f>PersonalCare3648[[#This Row],[z]]-PersonalCare3648[[#This Row],[Actual Cost]]</f>
        <v>0</v>
      </c>
      <c r="G63" s="42"/>
      <c r="H63" s="42"/>
      <c r="I63" s="42"/>
      <c r="J63" s="40"/>
    </row>
    <row r="64" spans="1:11" x14ac:dyDescent="0.3">
      <c r="B64" s="8" t="s">
        <v>66</v>
      </c>
      <c r="C64" s="9"/>
      <c r="D64" s="9"/>
      <c r="E64" s="9">
        <f>SUBTOTAL(109,PersonalCare3648[Difference])</f>
        <v>0</v>
      </c>
      <c r="G64" s="42" t="s">
        <v>63</v>
      </c>
      <c r="H64" s="42"/>
      <c r="I64" s="42"/>
      <c r="J64" s="40">
        <f>SUBTOTAL(109,Housing2537[Actual Cost],Transportation2840[Actual Cost],Insurance2941[Actual Cost],Food3244[Actual Cost],Pets3446[Actual Cost],PersonalCare3648[Actual Cost],Entertainment2638[Actual Cost],Loans2739[Actual Cost],Taxes3042[Actual Cost],Savings3143[Actual Cost],Gifts3345[Actual Cost],Legal3547[Actual Cost])</f>
        <v>29675</v>
      </c>
    </row>
    <row r="65" spans="2:10" x14ac:dyDescent="0.3">
      <c r="B65" s="41"/>
      <c r="C65" s="41"/>
      <c r="D65" s="41"/>
      <c r="E65" s="41"/>
      <c r="G65" s="42"/>
      <c r="H65" s="42"/>
      <c r="I65" s="42"/>
      <c r="J65" s="40"/>
    </row>
    <row r="66" spans="2:10" x14ac:dyDescent="0.3">
      <c r="G66" s="42" t="s">
        <v>65</v>
      </c>
      <c r="H66" s="42"/>
      <c r="I66" s="42"/>
      <c r="J66" s="40">
        <f>J62-J64</f>
        <v>0</v>
      </c>
    </row>
    <row r="67" spans="2:10" x14ac:dyDescent="0.3">
      <c r="G67" s="42"/>
      <c r="H67" s="42"/>
      <c r="I67" s="42"/>
      <c r="J67" s="40"/>
    </row>
  </sheetData>
  <mergeCells count="32">
    <mergeCell ref="B65:E65"/>
    <mergeCell ref="G64:I65"/>
    <mergeCell ref="J64:J65"/>
    <mergeCell ref="G66:I67"/>
    <mergeCell ref="J66:J67"/>
    <mergeCell ref="G62:I63"/>
    <mergeCell ref="J62:J63"/>
    <mergeCell ref="G23:J23"/>
    <mergeCell ref="B24:E24"/>
    <mergeCell ref="B34:E34"/>
    <mergeCell ref="G34:J34"/>
    <mergeCell ref="B41:E41"/>
    <mergeCell ref="G41:J41"/>
    <mergeCell ref="B47:E47"/>
    <mergeCell ref="G47:J47"/>
    <mergeCell ref="G53:J53"/>
    <mergeCell ref="B55:E55"/>
    <mergeCell ref="G61:J61"/>
    <mergeCell ref="B8:B10"/>
    <mergeCell ref="C8:D8"/>
    <mergeCell ref="G8:I9"/>
    <mergeCell ref="J8:J9"/>
    <mergeCell ref="C9:D9"/>
    <mergeCell ref="C10:D10"/>
    <mergeCell ref="B4:B6"/>
    <mergeCell ref="C4:D4"/>
    <mergeCell ref="G4:I5"/>
    <mergeCell ref="J4:J5"/>
    <mergeCell ref="C5:D5"/>
    <mergeCell ref="C6:D6"/>
    <mergeCell ref="G6:I7"/>
    <mergeCell ref="J6:J7"/>
  </mergeCells>
  <phoneticPr fontId="10" type="noConversion"/>
  <conditionalFormatting sqref="J8:J9">
    <cfRule type="cellIs" dxfId="213" priority="2" operator="lessThan">
      <formula>0</formula>
    </cfRule>
  </conditionalFormatting>
  <conditionalFormatting sqref="J66:J67">
    <cfRule type="cellIs" dxfId="212" priority="1" operator="lessThan">
      <formula>0</formula>
    </cfRule>
  </conditionalFormatting>
  <printOptions horizontalCentered="1"/>
  <pageMargins left="0.4" right="0.4" top="0.4" bottom="0.4" header="0.3" footer="0.3"/>
  <pageSetup scale="81" fitToHeight="0" orientation="portrait" r:id="rId1"/>
  <headerFooter differentFirst="1">
    <oddFooter>Page &amp;P of &amp;N</oddFooter>
  </headerFooter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7829F-5D23-44BD-A8F4-FF0168BF948F}">
  <sheetPr>
    <tabColor theme="4"/>
    <pageSetUpPr autoPageBreaks="0" fitToPage="1"/>
  </sheetPr>
  <dimension ref="A1:K68"/>
  <sheetViews>
    <sheetView showGridLines="0" topLeftCell="A37" zoomScale="70" zoomScaleNormal="70" workbookViewId="0">
      <selection activeCell="K56" sqref="K56"/>
    </sheetView>
  </sheetViews>
  <sheetFormatPr defaultRowHeight="13" x14ac:dyDescent="0.3"/>
  <cols>
    <col min="1" max="1" width="2.69921875" style="13" customWidth="1"/>
    <col min="2" max="2" width="102.19921875" bestFit="1" customWidth="1"/>
    <col min="3" max="3" width="16" customWidth="1"/>
    <col min="4" max="4" width="25.19921875" bestFit="1" customWidth="1"/>
    <col min="5" max="5" width="19.3984375" bestFit="1" customWidth="1"/>
    <col min="6" max="6" width="2.69921875" customWidth="1"/>
    <col min="7" max="7" width="27.09765625" customWidth="1"/>
    <col min="8" max="8" width="16" customWidth="1"/>
    <col min="9" max="9" width="13" customWidth="1"/>
    <col min="10" max="10" width="16.09765625" bestFit="1" customWidth="1"/>
    <col min="11" max="11" width="14.796875" bestFit="1" customWidth="1"/>
  </cols>
  <sheetData>
    <row r="1" spans="1:11" s="2" customFormat="1" ht="14.5" x14ac:dyDescent="0.35">
      <c r="A1" s="12" t="s">
        <v>74</v>
      </c>
    </row>
    <row r="2" spans="1:11" s="2" customFormat="1" ht="30.5" thickBot="1" x14ac:dyDescent="0.7">
      <c r="A2" s="12" t="s">
        <v>75</v>
      </c>
      <c r="B2" s="1" t="s">
        <v>92</v>
      </c>
      <c r="C2" s="1"/>
      <c r="D2" s="1" t="s">
        <v>154</v>
      </c>
      <c r="E2" s="21">
        <f>E6-82126</f>
        <v>50874</v>
      </c>
      <c r="F2" s="1"/>
      <c r="G2" s="1"/>
      <c r="H2" s="1"/>
      <c r="I2" s="1"/>
      <c r="J2" s="1"/>
    </row>
    <row r="4" spans="1:11" x14ac:dyDescent="0.3">
      <c r="A4" s="13" t="s">
        <v>77</v>
      </c>
      <c r="B4" s="33" t="s">
        <v>0</v>
      </c>
      <c r="C4" s="36" t="s">
        <v>1</v>
      </c>
      <c r="D4" s="43"/>
      <c r="E4" s="20">
        <f>85000+30000</f>
        <v>115000</v>
      </c>
      <c r="G4" s="38" t="s">
        <v>97</v>
      </c>
      <c r="H4" s="39"/>
      <c r="I4" s="39"/>
      <c r="J4" s="40">
        <f>E6-J65</f>
        <v>2734</v>
      </c>
    </row>
    <row r="5" spans="1:11" x14ac:dyDescent="0.3">
      <c r="B5" s="34"/>
      <c r="C5" s="36" t="s">
        <v>111</v>
      </c>
      <c r="D5" s="43"/>
      <c r="E5" s="20">
        <f>13000+3500+1500</f>
        <v>18000</v>
      </c>
      <c r="G5" s="39"/>
      <c r="H5" s="39"/>
      <c r="I5" s="39"/>
      <c r="J5" s="40"/>
    </row>
    <row r="6" spans="1:11" x14ac:dyDescent="0.3">
      <c r="A6" s="13" t="s">
        <v>78</v>
      </c>
      <c r="B6" s="35"/>
      <c r="C6" s="36" t="s">
        <v>3</v>
      </c>
      <c r="D6" s="37"/>
      <c r="E6" s="7">
        <f>SUM(E4:E5)</f>
        <v>133000</v>
      </c>
      <c r="G6" s="38" t="s">
        <v>96</v>
      </c>
      <c r="H6" s="39"/>
      <c r="I6" s="39"/>
      <c r="J6" s="40">
        <f>E10-J65</f>
        <v>-130266</v>
      </c>
    </row>
    <row r="7" spans="1:11" x14ac:dyDescent="0.3">
      <c r="B7" s="4"/>
      <c r="C7" s="4"/>
      <c r="D7" s="4"/>
      <c r="E7" s="4"/>
      <c r="G7" s="39"/>
      <c r="H7" s="39"/>
      <c r="I7" s="39"/>
      <c r="J7" s="40"/>
    </row>
    <row r="8" spans="1:11" x14ac:dyDescent="0.3">
      <c r="A8" s="13" t="s">
        <v>79</v>
      </c>
      <c r="B8" s="33" t="s">
        <v>4</v>
      </c>
      <c r="C8" s="36" t="s">
        <v>1</v>
      </c>
      <c r="D8" s="37"/>
      <c r="E8" s="5">
        <v>0</v>
      </c>
      <c r="G8" s="38" t="s">
        <v>67</v>
      </c>
      <c r="H8" s="39"/>
      <c r="I8" s="39"/>
      <c r="J8" s="40">
        <f>J6-J4</f>
        <v>-133000</v>
      </c>
    </row>
    <row r="9" spans="1:11" x14ac:dyDescent="0.3">
      <c r="B9" s="34"/>
      <c r="C9" s="36" t="s">
        <v>2</v>
      </c>
      <c r="D9" s="37"/>
      <c r="E9" s="6">
        <v>0</v>
      </c>
      <c r="G9" s="39"/>
      <c r="H9" s="39"/>
      <c r="I9" s="39"/>
      <c r="J9" s="40"/>
    </row>
    <row r="10" spans="1:11" x14ac:dyDescent="0.3">
      <c r="B10" s="35"/>
      <c r="C10" s="36" t="s">
        <v>3</v>
      </c>
      <c r="D10" s="37"/>
      <c r="E10" s="7">
        <f>SUM(E8:E9)</f>
        <v>0</v>
      </c>
    </row>
    <row r="12" spans="1:11" x14ac:dyDescent="0.3">
      <c r="A12" s="13" t="s">
        <v>80</v>
      </c>
      <c r="B12" s="8" t="s">
        <v>5</v>
      </c>
      <c r="C12" s="8" t="s">
        <v>6</v>
      </c>
      <c r="D12" s="8" t="s">
        <v>7</v>
      </c>
      <c r="E12" s="8" t="s">
        <v>8</v>
      </c>
      <c r="G12" t="s">
        <v>9</v>
      </c>
      <c r="H12" t="s">
        <v>6</v>
      </c>
      <c r="I12" t="s">
        <v>7</v>
      </c>
      <c r="J12" t="s">
        <v>8</v>
      </c>
      <c r="K12" s="24" t="s">
        <v>130</v>
      </c>
    </row>
    <row r="13" spans="1:11" x14ac:dyDescent="0.3">
      <c r="B13" s="25" t="s">
        <v>139</v>
      </c>
      <c r="C13" s="26">
        <f xml:space="preserve"> 4000 + 8000</f>
        <v>12000</v>
      </c>
      <c r="D13" s="26">
        <f xml:space="preserve"> 4000 + 8000</f>
        <v>12000</v>
      </c>
      <c r="E13" s="26">
        <f>Housing25[[#This Row],[Projected Cost]]-Housing25[[#This Row],[Actual Cost]]</f>
        <v>0</v>
      </c>
      <c r="G13" s="27" t="s">
        <v>153</v>
      </c>
      <c r="H13" s="28">
        <v>500</v>
      </c>
      <c r="I13" s="28">
        <v>500</v>
      </c>
      <c r="J13" s="28">
        <f>Entertainment26[[#This Row],[Projected Cost]]-Entertainment26[[#This Row],[Actual Cost]]</f>
        <v>0</v>
      </c>
      <c r="K13" s="28"/>
    </row>
    <row r="14" spans="1:11" x14ac:dyDescent="0.3">
      <c r="B14" s="27" t="s">
        <v>12</v>
      </c>
      <c r="C14" s="28">
        <v>500</v>
      </c>
      <c r="D14" s="28">
        <v>500</v>
      </c>
      <c r="E14" s="28">
        <f>Housing25[[#This Row],[Projected Cost]]-Housing25[[#This Row],[Actual Cost]]</f>
        <v>0</v>
      </c>
      <c r="G14" t="s">
        <v>13</v>
      </c>
      <c r="H14" s="3"/>
      <c r="I14" s="3"/>
      <c r="J14" s="3">
        <f>Entertainment26[[#This Row],[Projected Cost]]-Entertainment26[[#This Row],[Actual Cost]]</f>
        <v>0</v>
      </c>
      <c r="K14" s="3"/>
    </row>
    <row r="15" spans="1:11" x14ac:dyDescent="0.3">
      <c r="B15" s="29" t="s">
        <v>14</v>
      </c>
      <c r="C15" s="30">
        <v>1022</v>
      </c>
      <c r="D15" s="30">
        <v>1022</v>
      </c>
      <c r="E15" s="30">
        <f>Housing25[[#This Row],[Projected Cost]]-Housing25[[#This Row],[Actual Cost]]</f>
        <v>0</v>
      </c>
      <c r="G15" t="s">
        <v>15</v>
      </c>
      <c r="H15" s="3"/>
      <c r="I15" s="3"/>
      <c r="J15" s="3">
        <f>Entertainment26[[#This Row],[Projected Cost]]-Entertainment26[[#This Row],[Actual Cost]]</f>
        <v>0</v>
      </c>
      <c r="K15" s="3"/>
    </row>
    <row r="16" spans="1:11" x14ac:dyDescent="0.3">
      <c r="B16" s="8" t="s">
        <v>16</v>
      </c>
      <c r="C16" s="9">
        <v>0</v>
      </c>
      <c r="D16" s="9">
        <v>0</v>
      </c>
      <c r="E16" s="9">
        <f>Housing25[[#This Row],[Projected Cost]]-Housing25[[#This Row],[Actual Cost]]</f>
        <v>0</v>
      </c>
      <c r="G16" t="s">
        <v>17</v>
      </c>
      <c r="H16" s="3"/>
      <c r="I16" s="3"/>
      <c r="J16" s="3">
        <f>Entertainment26[[#This Row],[Projected Cost]]-Entertainment26[[#This Row],[Actual Cost]]</f>
        <v>0</v>
      </c>
      <c r="K16" s="3"/>
    </row>
    <row r="17" spans="1:11" x14ac:dyDescent="0.3">
      <c r="B17" s="29" t="s">
        <v>138</v>
      </c>
      <c r="C17" s="30">
        <v>1200</v>
      </c>
      <c r="D17" s="30">
        <v>1200</v>
      </c>
      <c r="E17" s="30">
        <f>Housing25[[#This Row],[Projected Cost]]-Housing25[[#This Row],[Actual Cost]]</f>
        <v>0</v>
      </c>
      <c r="G17" s="27" t="s">
        <v>137</v>
      </c>
      <c r="H17" s="28">
        <v>3400</v>
      </c>
      <c r="I17" s="28">
        <v>3400</v>
      </c>
      <c r="J17" s="28">
        <f>Entertainment26[[#This Row],[Projected Cost]]-Entertainment26[[#This Row],[Actual Cost]]</f>
        <v>0</v>
      </c>
      <c r="K17" s="28"/>
    </row>
    <row r="18" spans="1:11" x14ac:dyDescent="0.3">
      <c r="B18" s="8" t="s">
        <v>20</v>
      </c>
      <c r="C18" s="9">
        <v>0</v>
      </c>
      <c r="D18" s="9">
        <v>0</v>
      </c>
      <c r="E18" s="9">
        <f>Housing25[[#This Row],[Projected Cost]]-Housing25[[#This Row],[Actual Cost]]</f>
        <v>0</v>
      </c>
      <c r="G18" s="27" t="s">
        <v>142</v>
      </c>
      <c r="H18" s="28">
        <v>1450</v>
      </c>
      <c r="I18" s="28">
        <v>1450</v>
      </c>
      <c r="J18" s="28">
        <f>Entertainment26[[#This Row],[Projected Cost]]-Entertainment26[[#This Row],[Actual Cost]]</f>
        <v>0</v>
      </c>
      <c r="K18" s="28"/>
    </row>
    <row r="19" spans="1:11" x14ac:dyDescent="0.3">
      <c r="B19" s="8" t="s">
        <v>22</v>
      </c>
      <c r="C19" s="9">
        <v>0</v>
      </c>
      <c r="D19" s="9">
        <v>0</v>
      </c>
      <c r="E19" s="9">
        <f>Housing25[[#This Row],[Projected Cost]]-Housing25[[#This Row],[Actual Cost]]</f>
        <v>0</v>
      </c>
      <c r="G19" s="22" t="s">
        <v>141</v>
      </c>
      <c r="H19" s="23">
        <v>20000</v>
      </c>
      <c r="I19" s="23">
        <v>20000</v>
      </c>
      <c r="J19" s="23">
        <f>Entertainment26[[#This Row],[Projected Cost]]-Entertainment26[[#This Row],[Actual Cost]]</f>
        <v>0</v>
      </c>
      <c r="K19" s="3" t="s">
        <v>143</v>
      </c>
    </row>
    <row r="20" spans="1:11" x14ac:dyDescent="0.3">
      <c r="B20" s="8" t="s">
        <v>24</v>
      </c>
      <c r="C20" s="9">
        <v>0</v>
      </c>
      <c r="D20" s="9">
        <v>0</v>
      </c>
      <c r="E20" s="9">
        <f>Housing25[[#This Row],[Projected Cost]]-Housing25[[#This Row],[Actual Cost]]</f>
        <v>0</v>
      </c>
      <c r="G20" t="s">
        <v>23</v>
      </c>
      <c r="H20" s="3"/>
      <c r="I20" s="3"/>
      <c r="J20" s="3">
        <f>Entertainment26[[#This Row],[Projected Cost]]-Entertainment26[[#This Row],[Actual Cost]]</f>
        <v>0</v>
      </c>
      <c r="K20" s="3"/>
    </row>
    <row r="21" spans="1:11" x14ac:dyDescent="0.3">
      <c r="B21" s="29" t="s">
        <v>140</v>
      </c>
      <c r="C21" s="30">
        <v>100</v>
      </c>
      <c r="D21" s="30">
        <v>100</v>
      </c>
      <c r="E21" s="30">
        <f>Housing25[[#This Row],[Projected Cost]]-Housing25[[#This Row],[Actual Cost]]</f>
        <v>0</v>
      </c>
      <c r="G21" t="s">
        <v>23</v>
      </c>
      <c r="H21" s="3"/>
      <c r="I21" s="3"/>
      <c r="J21" s="3">
        <f>Entertainment26[[#This Row],[Projected Cost]]-Entertainment26[[#This Row],[Actual Cost]]</f>
        <v>0</v>
      </c>
      <c r="K21" s="3"/>
    </row>
    <row r="22" spans="1:11" x14ac:dyDescent="0.3">
      <c r="B22" s="29" t="s">
        <v>144</v>
      </c>
      <c r="C22" s="30">
        <v>630</v>
      </c>
      <c r="D22" s="30">
        <v>630</v>
      </c>
      <c r="E22" s="30">
        <f>Housing25[[#This Row],[Projected Cost]]-Housing25[[#This Row],[Actual Cost]]</f>
        <v>0</v>
      </c>
      <c r="G22" t="s">
        <v>66</v>
      </c>
      <c r="H22" s="3"/>
      <c r="I22" s="3"/>
      <c r="J22" s="3">
        <f>SUBTOTAL(109,Entertainment26[Difference])</f>
        <v>0</v>
      </c>
    </row>
    <row r="23" spans="1:11" x14ac:dyDescent="0.3">
      <c r="B23" s="8" t="s">
        <v>66</v>
      </c>
      <c r="C23" s="9">
        <f>SUBTOTAL(109,Housing25[Projected Cost])</f>
        <v>15452</v>
      </c>
      <c r="D23" s="9">
        <f>SUBTOTAL(109,Housing25[Actual Cost])</f>
        <v>15452</v>
      </c>
      <c r="E23" s="9">
        <f>SUBTOTAL(109,Housing25[Difference])</f>
        <v>0</v>
      </c>
      <c r="G23" s="41"/>
      <c r="H23" s="41"/>
      <c r="I23" s="41"/>
      <c r="J23" s="41"/>
    </row>
    <row r="24" spans="1:11" x14ac:dyDescent="0.3">
      <c r="B24" s="41"/>
      <c r="C24" s="41"/>
      <c r="D24" s="41"/>
      <c r="E24" s="41"/>
      <c r="G24" t="s">
        <v>26</v>
      </c>
      <c r="H24" t="s">
        <v>6</v>
      </c>
      <c r="I24" t="s">
        <v>7</v>
      </c>
      <c r="J24" t="s">
        <v>8</v>
      </c>
      <c r="K24" t="s">
        <v>130</v>
      </c>
    </row>
    <row r="25" spans="1:11" x14ac:dyDescent="0.3">
      <c r="A25" s="13" t="s">
        <v>81</v>
      </c>
      <c r="B25" t="s">
        <v>27</v>
      </c>
      <c r="C25" t="s">
        <v>6</v>
      </c>
      <c r="D25" t="s">
        <v>7</v>
      </c>
      <c r="E25" t="s">
        <v>8</v>
      </c>
      <c r="G25" s="27" t="s">
        <v>117</v>
      </c>
      <c r="H25" s="28">
        <v>12280</v>
      </c>
      <c r="I25" s="28">
        <v>12280</v>
      </c>
      <c r="J25" s="28">
        <f>Loans27[[#This Row],[Projected Cost]]-Loans27[[#This Row],[Actual Cost]]</f>
        <v>0</v>
      </c>
      <c r="K25" s="28">
        <v>0</v>
      </c>
    </row>
    <row r="26" spans="1:11" x14ac:dyDescent="0.3">
      <c r="B26" t="s">
        <v>29</v>
      </c>
      <c r="C26" s="3">
        <v>0</v>
      </c>
      <c r="D26" s="3">
        <v>0</v>
      </c>
      <c r="E26" s="3">
        <f>Transportation28[[#This Row],[Projected Cost]]-Transportation28[[#This Row],[Actual Cost]]</f>
        <v>0</v>
      </c>
      <c r="G26" s="27" t="s">
        <v>95</v>
      </c>
      <c r="H26" s="28">
        <v>20020</v>
      </c>
      <c r="I26" s="28">
        <v>20020</v>
      </c>
      <c r="J26" s="28">
        <f>Loans27[[#This Row],[Projected Cost]]-Loans27[[#This Row],[Actual Cost]]</f>
        <v>0</v>
      </c>
      <c r="K26" s="28">
        <v>0</v>
      </c>
    </row>
    <row r="27" spans="1:11" x14ac:dyDescent="0.3">
      <c r="B27" s="27" t="s">
        <v>136</v>
      </c>
      <c r="C27" s="28">
        <v>620</v>
      </c>
      <c r="D27" s="28">
        <v>620</v>
      </c>
      <c r="E27" s="28">
        <v>0</v>
      </c>
      <c r="G27" s="27" t="s">
        <v>88</v>
      </c>
      <c r="H27" s="28">
        <v>692</v>
      </c>
      <c r="I27" s="28">
        <v>692</v>
      </c>
      <c r="J27" s="28">
        <f>Loans27[[#This Row],[Projected Cost]]-Loans27[[#This Row],[Actual Cost]]</f>
        <v>0</v>
      </c>
      <c r="K27" s="28">
        <v>0</v>
      </c>
    </row>
    <row r="28" spans="1:11" x14ac:dyDescent="0.3">
      <c r="B28" s="27" t="s">
        <v>31</v>
      </c>
      <c r="C28" s="28">
        <v>2042</v>
      </c>
      <c r="D28" s="28">
        <v>2042</v>
      </c>
      <c r="E28" s="28">
        <f>Transportation28[[#This Row],[Projected Cost]]-Transportation28[[#This Row],[Actual Cost]]</f>
        <v>0</v>
      </c>
      <c r="G28" s="27" t="s">
        <v>89</v>
      </c>
      <c r="H28" s="28">
        <v>8800</v>
      </c>
      <c r="I28" s="28">
        <v>8800</v>
      </c>
      <c r="J28" s="28">
        <f>Loans27[[#This Row],[Projected Cost]]-Loans27[[#This Row],[Actual Cost]]</f>
        <v>0</v>
      </c>
      <c r="K28" s="28">
        <v>0</v>
      </c>
    </row>
    <row r="29" spans="1:11" x14ac:dyDescent="0.3">
      <c r="B29" t="s">
        <v>32</v>
      </c>
      <c r="C29" s="3">
        <v>0</v>
      </c>
      <c r="D29" s="3">
        <v>0</v>
      </c>
      <c r="E29" s="3">
        <f>Transportation28[[#This Row],[Projected Cost]]-Transportation28[[#This Row],[Actual Cost]]</f>
        <v>0</v>
      </c>
      <c r="G29" s="27" t="s">
        <v>87</v>
      </c>
      <c r="H29" s="28">
        <v>5375</v>
      </c>
      <c r="I29" s="28">
        <v>5375</v>
      </c>
      <c r="J29" s="28">
        <f>Loans27[[#This Row],[Projected Cost]]-Loans27[[#This Row],[Actual Cost]]</f>
        <v>0</v>
      </c>
      <c r="K29" s="28">
        <v>0</v>
      </c>
    </row>
    <row r="30" spans="1:11" x14ac:dyDescent="0.3">
      <c r="B30" s="27" t="s">
        <v>33</v>
      </c>
      <c r="C30" s="28">
        <f>220+200</f>
        <v>420</v>
      </c>
      <c r="D30" s="28">
        <f>220+200</f>
        <v>420</v>
      </c>
      <c r="E30" s="28">
        <f>Transportation28[[#This Row],[Projected Cost]]-Transportation28[[#This Row],[Actual Cost]]</f>
        <v>0</v>
      </c>
      <c r="G30" t="s">
        <v>103</v>
      </c>
      <c r="H30" s="3">
        <v>0</v>
      </c>
      <c r="I30" s="3">
        <v>0</v>
      </c>
      <c r="J30" s="3">
        <f>Loans27[[#This Row],[Projected Cost]]-Loans27[[#This Row],[Actual Cost]]</f>
        <v>0</v>
      </c>
      <c r="K30" s="3">
        <v>0</v>
      </c>
    </row>
    <row r="31" spans="1:11" x14ac:dyDescent="0.3">
      <c r="B31" t="s">
        <v>34</v>
      </c>
      <c r="C31" s="3">
        <v>0</v>
      </c>
      <c r="D31" s="3">
        <v>0</v>
      </c>
      <c r="E31" s="3">
        <f>Transportation28[[#This Row],[Projected Cost]]-Transportation28[[#This Row],[Actual Cost]]</f>
        <v>0</v>
      </c>
      <c r="G31" t="s">
        <v>104</v>
      </c>
      <c r="H31" s="3">
        <v>0</v>
      </c>
      <c r="I31" s="3">
        <v>0</v>
      </c>
      <c r="J31" s="3">
        <f>Loans27[[#This Row],[Projected Cost]]-Loans27[[#This Row],[Actual Cost]]</f>
        <v>0</v>
      </c>
      <c r="K31" s="3">
        <v>0</v>
      </c>
    </row>
    <row r="32" spans="1:11" x14ac:dyDescent="0.3">
      <c r="B32" t="s">
        <v>23</v>
      </c>
      <c r="C32" s="3">
        <v>0</v>
      </c>
      <c r="D32" s="3">
        <v>0</v>
      </c>
      <c r="E32" s="3">
        <f>Transportation28[[#This Row],[Projected Cost]]-Transportation28[[#This Row],[Actual Cost]]</f>
        <v>0</v>
      </c>
      <c r="G32" t="s">
        <v>123</v>
      </c>
      <c r="H32" s="3">
        <v>10000</v>
      </c>
      <c r="I32" s="3">
        <v>10000</v>
      </c>
      <c r="J32" s="3">
        <f>Loans27[[#This Row],[Projected Cost]]-Loans27[[#This Row],[Actual Cost]]</f>
        <v>0</v>
      </c>
      <c r="K32" s="3">
        <v>0</v>
      </c>
    </row>
    <row r="33" spans="1:10" x14ac:dyDescent="0.3">
      <c r="B33" t="s">
        <v>66</v>
      </c>
      <c r="C33" s="3">
        <f>SUBTOTAL(109,Transportation28[Projected Cost])</f>
        <v>3082</v>
      </c>
      <c r="D33" s="3">
        <f>SUBTOTAL(109,Transportation28[Actual Cost])</f>
        <v>3082</v>
      </c>
      <c r="E33" s="3">
        <f>SUBTOTAL(109,Transportation28[Difference])</f>
        <v>0</v>
      </c>
      <c r="G33" t="s">
        <v>66</v>
      </c>
      <c r="H33" s="3">
        <f>SUBTOTAL(109,Loans27[Projected Cost])</f>
        <v>57167</v>
      </c>
      <c r="I33" s="3">
        <f>SUBTOTAL(109,Loans27[Actual Cost])</f>
        <v>57167</v>
      </c>
      <c r="J33" s="3">
        <f>SUBTOTAL(109,Loans27[Difference])</f>
        <v>0</v>
      </c>
    </row>
    <row r="34" spans="1:10" x14ac:dyDescent="0.3">
      <c r="B34" s="41"/>
      <c r="C34" s="41"/>
      <c r="D34" s="41"/>
      <c r="E34" s="41"/>
      <c r="G34" s="41"/>
      <c r="H34" s="41"/>
      <c r="I34" s="41"/>
      <c r="J34" s="41"/>
    </row>
    <row r="35" spans="1:10" x14ac:dyDescent="0.3">
      <c r="A35" s="13" t="s">
        <v>82</v>
      </c>
      <c r="B35" t="s">
        <v>37</v>
      </c>
      <c r="C35" t="s">
        <v>6</v>
      </c>
      <c r="D35" t="s">
        <v>7</v>
      </c>
      <c r="E35" t="s">
        <v>8</v>
      </c>
      <c r="G35" t="s">
        <v>35</v>
      </c>
      <c r="H35" t="s">
        <v>6</v>
      </c>
      <c r="I35" t="s">
        <v>7</v>
      </c>
      <c r="J35" t="s">
        <v>8</v>
      </c>
    </row>
    <row r="36" spans="1:10" x14ac:dyDescent="0.3">
      <c r="B36" t="s">
        <v>39</v>
      </c>
      <c r="C36" s="3"/>
      <c r="D36" s="3"/>
      <c r="E36" s="3">
        <f>Insurance29[[#This Row],[Projected Cost]]-Insurance29[[#This Row],[Actual Cost]]</f>
        <v>0</v>
      </c>
      <c r="G36" t="s">
        <v>36</v>
      </c>
      <c r="H36" s="3"/>
      <c r="I36" s="3"/>
      <c r="J36" s="3">
        <f>Taxes30[[#This Row],[Projected Cost]]-Taxes30[[#This Row],[Actual Cost]]</f>
        <v>0</v>
      </c>
    </row>
    <row r="37" spans="1:10" x14ac:dyDescent="0.3">
      <c r="B37" t="s">
        <v>41</v>
      </c>
      <c r="C37" s="3"/>
      <c r="D37" s="3"/>
      <c r="E37" s="3">
        <f>Insurance29[[#This Row],[Projected Cost]]-Insurance29[[#This Row],[Actual Cost]]</f>
        <v>0</v>
      </c>
      <c r="G37" t="s">
        <v>38</v>
      </c>
      <c r="H37" s="3"/>
      <c r="I37" s="3"/>
      <c r="J37" s="3">
        <f>Taxes30[[#This Row],[Projected Cost]]-Taxes30[[#This Row],[Actual Cost]]</f>
        <v>0</v>
      </c>
    </row>
    <row r="38" spans="1:10" x14ac:dyDescent="0.3">
      <c r="B38" t="s">
        <v>42</v>
      </c>
      <c r="C38" s="3"/>
      <c r="D38" s="3"/>
      <c r="E38" s="3">
        <f>Insurance29[[#This Row],[Projected Cost]]-Insurance29[[#This Row],[Actual Cost]]</f>
        <v>0</v>
      </c>
      <c r="G38" t="s">
        <v>40</v>
      </c>
      <c r="H38" s="3"/>
      <c r="I38" s="3"/>
      <c r="J38" s="3">
        <f>Taxes30[[#This Row],[Projected Cost]]-Taxes30[[#This Row],[Actual Cost]]</f>
        <v>0</v>
      </c>
    </row>
    <row r="39" spans="1:10" x14ac:dyDescent="0.3">
      <c r="B39" t="s">
        <v>23</v>
      </c>
      <c r="C39" s="3"/>
      <c r="D39" s="3"/>
      <c r="E39" s="3">
        <f>Insurance29[[#This Row],[Projected Cost]]-Insurance29[[#This Row],[Actual Cost]]</f>
        <v>0</v>
      </c>
      <c r="G39" t="s">
        <v>23</v>
      </c>
      <c r="H39" s="3"/>
      <c r="I39" s="3"/>
      <c r="J39" s="3">
        <f>Taxes30[[#This Row],[Projected Cost]]-Taxes30[[#This Row],[Actual Cost]]</f>
        <v>0</v>
      </c>
    </row>
    <row r="40" spans="1:10" x14ac:dyDescent="0.3">
      <c r="B40" t="s">
        <v>66</v>
      </c>
      <c r="C40" s="3"/>
      <c r="D40" s="3"/>
      <c r="E40" s="3">
        <f>SUBTOTAL(109,Insurance29[Difference])</f>
        <v>0</v>
      </c>
      <c r="G40" t="s">
        <v>66</v>
      </c>
      <c r="H40" s="3"/>
      <c r="I40" s="3"/>
      <c r="J40" s="3">
        <f>SUBTOTAL(109,Taxes30[Difference])</f>
        <v>0</v>
      </c>
    </row>
    <row r="41" spans="1:10" x14ac:dyDescent="0.3">
      <c r="B41" s="41"/>
      <c r="C41" s="41"/>
      <c r="D41" s="41"/>
      <c r="E41" s="41"/>
      <c r="G41" s="41"/>
      <c r="H41" s="41"/>
      <c r="I41" s="41"/>
      <c r="J41" s="41"/>
    </row>
    <row r="42" spans="1:10" x14ac:dyDescent="0.3">
      <c r="A42" s="13" t="s">
        <v>83</v>
      </c>
      <c r="B42" t="s">
        <v>45</v>
      </c>
      <c r="C42" t="s">
        <v>6</v>
      </c>
      <c r="D42" t="s">
        <v>7</v>
      </c>
      <c r="E42" t="s">
        <v>8</v>
      </c>
      <c r="G42" t="s">
        <v>43</v>
      </c>
      <c r="H42" t="s">
        <v>6</v>
      </c>
      <c r="I42" t="s">
        <v>7</v>
      </c>
      <c r="J42" t="s">
        <v>8</v>
      </c>
    </row>
    <row r="43" spans="1:10" x14ac:dyDescent="0.3">
      <c r="B43" s="27" t="s">
        <v>47</v>
      </c>
      <c r="C43" s="27">
        <f xml:space="preserve"> 508+1160+460</f>
        <v>2128</v>
      </c>
      <c r="D43" s="27">
        <f>508+1160+460</f>
        <v>2128</v>
      </c>
      <c r="E43" s="27">
        <f>Food32[[#This Row],[Projected Cost]]-Food32[[#This Row],[Actual Cost]]</f>
        <v>0</v>
      </c>
      <c r="G43" t="s">
        <v>44</v>
      </c>
      <c r="H43" s="3"/>
      <c r="I43" s="3"/>
      <c r="J43" s="3">
        <f>Savings31[[#This Row],[Projected Cost]]-Savings31[[#This Row],[Actual Cost]]</f>
        <v>0</v>
      </c>
    </row>
    <row r="44" spans="1:10" x14ac:dyDescent="0.3">
      <c r="B44" s="27" t="s">
        <v>94</v>
      </c>
      <c r="C44" s="27">
        <v>165</v>
      </c>
      <c r="D44" s="27">
        <v>165</v>
      </c>
      <c r="E44" s="27">
        <f>Food32[[#This Row],[Projected Cost]]-Food32[[#This Row],[Actual Cost]]</f>
        <v>0</v>
      </c>
      <c r="G44" t="s">
        <v>46</v>
      </c>
      <c r="H44" s="3"/>
      <c r="I44" s="3"/>
      <c r="J44" s="3">
        <f>Savings31[[#This Row],[Projected Cost]]-Savings31[[#This Row],[Actual Cost]]</f>
        <v>0</v>
      </c>
    </row>
    <row r="45" spans="1:10" x14ac:dyDescent="0.3">
      <c r="B45" s="27" t="s">
        <v>98</v>
      </c>
      <c r="C45" s="28">
        <f>1844+245</f>
        <v>2089</v>
      </c>
      <c r="D45" s="28">
        <f>1844+245</f>
        <v>2089</v>
      </c>
      <c r="E45" s="28">
        <f>Food32[[#This Row],[Projected Cost]]-Food32[[#This Row],[Actual Cost]]</f>
        <v>0</v>
      </c>
      <c r="G45" t="s">
        <v>91</v>
      </c>
      <c r="H45" s="3">
        <v>0</v>
      </c>
      <c r="I45" s="3">
        <v>0</v>
      </c>
      <c r="J45" s="3">
        <f>Savings31[[#This Row],[Projected Cost]]-Savings31[[#This Row],[Actual Cost]]</f>
        <v>0</v>
      </c>
    </row>
    <row r="46" spans="1:10" x14ac:dyDescent="0.3">
      <c r="B46" t="s">
        <v>66</v>
      </c>
      <c r="C46" s="3">
        <f>SUBTOTAL(109,Food32[Projected Cost])</f>
        <v>4382</v>
      </c>
      <c r="D46" s="3">
        <f>SUBTOTAL(109,Food32[Actual Cost])</f>
        <v>4382</v>
      </c>
      <c r="E46" s="3">
        <f>SUBTOTAL(109,Food32[Difference])</f>
        <v>0</v>
      </c>
      <c r="G46" t="s">
        <v>66</v>
      </c>
      <c r="H46" s="3">
        <f>SUBTOTAL(109,Savings31[Projected Cost])</f>
        <v>0</v>
      </c>
      <c r="I46" s="3">
        <f>SUBTOTAL(109,Savings31[Actual Cost])</f>
        <v>0</v>
      </c>
      <c r="J46" s="3">
        <f>SUBTOTAL(109,Savings31[Difference])</f>
        <v>0</v>
      </c>
    </row>
    <row r="47" spans="1:10" x14ac:dyDescent="0.3">
      <c r="B47" s="41"/>
      <c r="C47" s="41"/>
      <c r="D47" s="41"/>
      <c r="E47" s="41"/>
      <c r="G47" s="41"/>
      <c r="H47" s="41"/>
      <c r="I47" s="41"/>
      <c r="J47" s="41"/>
    </row>
    <row r="48" spans="1:10" x14ac:dyDescent="0.3">
      <c r="A48" s="13" t="s">
        <v>84</v>
      </c>
      <c r="B48" t="s">
        <v>50</v>
      </c>
      <c r="C48" t="s">
        <v>6</v>
      </c>
      <c r="D48" t="s">
        <v>7</v>
      </c>
      <c r="E48" t="s">
        <v>8</v>
      </c>
      <c r="G48" t="s">
        <v>48</v>
      </c>
      <c r="H48" t="s">
        <v>6</v>
      </c>
      <c r="I48" t="s">
        <v>7</v>
      </c>
      <c r="J48" t="s">
        <v>8</v>
      </c>
    </row>
    <row r="49" spans="1:11" x14ac:dyDescent="0.3">
      <c r="B49" t="s">
        <v>52</v>
      </c>
      <c r="C49" s="3"/>
      <c r="D49" s="3"/>
      <c r="E49" s="3">
        <f>Pets34[[#This Row],[Projected Cost]]-Pets34[[#This Row],[Actual Cost]]</f>
        <v>0</v>
      </c>
      <c r="G49" t="s">
        <v>49</v>
      </c>
      <c r="H49" s="3"/>
      <c r="I49" s="3"/>
      <c r="J49" s="3">
        <f>Gifts33[[#This Row],[Projected Cost]]-Gifts33[[#This Row],[Actual Cost]]</f>
        <v>0</v>
      </c>
    </row>
    <row r="50" spans="1:11" x14ac:dyDescent="0.3">
      <c r="B50" t="s">
        <v>54</v>
      </c>
      <c r="C50" s="3"/>
      <c r="D50" s="3"/>
      <c r="E50" s="3">
        <f>Pets34[[#This Row],[Projected Cost]]-Pets34[[#This Row],[Actual Cost]]</f>
        <v>0</v>
      </c>
      <c r="G50" t="s">
        <v>51</v>
      </c>
      <c r="H50" s="3"/>
      <c r="I50" s="3"/>
      <c r="J50" s="3">
        <f>Gifts33[[#This Row],[Projected Cost]]-Gifts33[[#This Row],[Actual Cost]]</f>
        <v>0</v>
      </c>
    </row>
    <row r="51" spans="1:11" x14ac:dyDescent="0.3">
      <c r="B51" t="s">
        <v>55</v>
      </c>
      <c r="C51" s="3"/>
      <c r="D51" s="3"/>
      <c r="E51" s="3">
        <f>Pets34[[#This Row],[Projected Cost]]-Pets34[[#This Row],[Actual Cost]]</f>
        <v>0</v>
      </c>
      <c r="G51" t="s">
        <v>53</v>
      </c>
      <c r="H51" s="3"/>
      <c r="I51" s="3"/>
      <c r="J51" s="3">
        <f>Gifts33[[#This Row],[Projected Cost]]-Gifts33[[#This Row],[Actual Cost]]</f>
        <v>0</v>
      </c>
    </row>
    <row r="52" spans="1:11" x14ac:dyDescent="0.3">
      <c r="B52" t="s">
        <v>56</v>
      </c>
      <c r="C52" s="3"/>
      <c r="D52" s="3"/>
      <c r="E52" s="3">
        <f>Pets34[[#This Row],[Projected Cost]]-Pets34[[#This Row],[Actual Cost]]</f>
        <v>0</v>
      </c>
      <c r="G52" t="s">
        <v>66</v>
      </c>
      <c r="H52" s="3"/>
      <c r="I52" s="3"/>
      <c r="J52" s="3">
        <f>SUBTOTAL(109,Gifts33[Difference])</f>
        <v>0</v>
      </c>
    </row>
    <row r="53" spans="1:11" x14ac:dyDescent="0.3">
      <c r="B53" t="s">
        <v>23</v>
      </c>
      <c r="C53" s="3"/>
      <c r="D53" s="3"/>
      <c r="E53" s="3">
        <f>Pets34[[#This Row],[Projected Cost]]-Pets34[[#This Row],[Actual Cost]]</f>
        <v>0</v>
      </c>
      <c r="G53" s="41"/>
      <c r="H53" s="41"/>
      <c r="I53" s="41"/>
      <c r="J53" s="41"/>
    </row>
    <row r="54" spans="1:11" x14ac:dyDescent="0.3">
      <c r="B54" t="s">
        <v>66</v>
      </c>
      <c r="C54" s="3"/>
      <c r="D54" s="3"/>
      <c r="E54" s="3">
        <f>SUBTOTAL(109,Pets34[Difference])</f>
        <v>0</v>
      </c>
      <c r="G54" t="s">
        <v>106</v>
      </c>
      <c r="H54" t="s">
        <v>6</v>
      </c>
      <c r="I54" t="s">
        <v>7</v>
      </c>
      <c r="J54" t="s">
        <v>8</v>
      </c>
      <c r="K54" t="s">
        <v>130</v>
      </c>
    </row>
    <row r="55" spans="1:11" x14ac:dyDescent="0.3">
      <c r="B55" s="41"/>
      <c r="C55" s="41"/>
      <c r="D55" s="41"/>
      <c r="E55" s="41"/>
      <c r="G55" s="27" t="s">
        <v>125</v>
      </c>
      <c r="H55" s="28">
        <v>6896</v>
      </c>
      <c r="I55" s="28">
        <v>6896</v>
      </c>
      <c r="J55" s="28">
        <f>Legal35[[#This Row],[Projected Cost]]-Legal35[[#This Row],[Actual Cost]]</f>
        <v>0</v>
      </c>
      <c r="K55" s="28" t="s">
        <v>146</v>
      </c>
    </row>
    <row r="56" spans="1:11" x14ac:dyDescent="0.3">
      <c r="A56" s="13" t="s">
        <v>85</v>
      </c>
      <c r="B56" s="8" t="s">
        <v>57</v>
      </c>
      <c r="C56" s="8" t="s">
        <v>114</v>
      </c>
      <c r="D56" s="8" t="s">
        <v>7</v>
      </c>
      <c r="E56" s="8" t="s">
        <v>8</v>
      </c>
      <c r="G56" s="31" t="s">
        <v>108</v>
      </c>
      <c r="H56" s="32">
        <v>6673</v>
      </c>
      <c r="I56" s="32">
        <v>6673</v>
      </c>
      <c r="J56" s="32">
        <f>Legal35[[#This Row],[Projected Cost]]-Legal35[[#This Row],[Actual Cost]]</f>
        <v>0</v>
      </c>
      <c r="K56" s="32" t="s">
        <v>146</v>
      </c>
    </row>
    <row r="57" spans="1:11" x14ac:dyDescent="0.3">
      <c r="B57" s="8" t="s">
        <v>54</v>
      </c>
      <c r="C57" s="9"/>
      <c r="D57" s="9"/>
      <c r="E57" s="9">
        <f>PersonalCare36[[#This Row],[z]]-PersonalCare36[[#This Row],[Actual Cost]]</f>
        <v>0</v>
      </c>
      <c r="G57" s="27" t="s">
        <v>109</v>
      </c>
      <c r="H57" s="28">
        <v>4007</v>
      </c>
      <c r="I57" s="28">
        <v>4007</v>
      </c>
      <c r="J57" s="28">
        <f>Legal35[[#This Row],[Projected Cost]]-Legal35[[#This Row],[Actual Cost]]</f>
        <v>0</v>
      </c>
      <c r="K57" s="28"/>
    </row>
    <row r="58" spans="1:11" x14ac:dyDescent="0.3">
      <c r="B58" s="8" t="s">
        <v>58</v>
      </c>
      <c r="C58" s="9"/>
      <c r="D58" s="9"/>
      <c r="E58" s="9">
        <f>PersonalCare36[[#This Row],[z]]-PersonalCare36[[#This Row],[Actual Cost]]</f>
        <v>0</v>
      </c>
      <c r="G58" s="27" t="s">
        <v>122</v>
      </c>
      <c r="H58" s="28">
        <v>2790</v>
      </c>
      <c r="I58" s="28">
        <v>2790</v>
      </c>
      <c r="J58" s="28">
        <f>Legal35[[#This Row],[Projected Cost]]-Legal35[[#This Row],[Actual Cost]]</f>
        <v>0</v>
      </c>
      <c r="K58" s="28" t="s">
        <v>147</v>
      </c>
    </row>
    <row r="59" spans="1:11" x14ac:dyDescent="0.3">
      <c r="A59" s="13" t="s">
        <v>86</v>
      </c>
      <c r="B59" s="8" t="s">
        <v>59</v>
      </c>
      <c r="C59" s="9"/>
      <c r="D59" s="9"/>
      <c r="E59" s="9">
        <f>PersonalCare36[[#This Row],[z]]-PersonalCare36[[#This Row],[Actual Cost]]</f>
        <v>0</v>
      </c>
      <c r="G59" t="s">
        <v>113</v>
      </c>
      <c r="H59" s="3">
        <v>0</v>
      </c>
      <c r="I59" s="3">
        <v>0</v>
      </c>
      <c r="J59" s="3">
        <f>Legal35[[#This Row],[Projected Cost]]-Legal35[[#This Row],[Actual Cost]]</f>
        <v>0</v>
      </c>
      <c r="K59" s="3"/>
    </row>
    <row r="60" spans="1:11" x14ac:dyDescent="0.3">
      <c r="B60" s="8" t="s">
        <v>61</v>
      </c>
      <c r="C60" s="9"/>
      <c r="D60" s="9"/>
      <c r="E60" s="9">
        <f>PersonalCare36[[#This Row],[z]]-PersonalCare36[[#This Row],[Actual Cost]]</f>
        <v>0</v>
      </c>
      <c r="G60" t="s">
        <v>126</v>
      </c>
      <c r="H60" s="3">
        <v>4467</v>
      </c>
      <c r="I60" s="3">
        <v>4467</v>
      </c>
      <c r="J60" s="3">
        <f>Legal35[[#This Row],[Projected Cost]]-Legal35[[#This Row],[Actual Cost]]</f>
        <v>0</v>
      </c>
      <c r="K60" s="3"/>
    </row>
    <row r="61" spans="1:11" x14ac:dyDescent="0.3">
      <c r="B61" s="8" t="s">
        <v>62</v>
      </c>
      <c r="C61" s="9"/>
      <c r="D61" s="9"/>
      <c r="E61" s="9">
        <f>PersonalCare36[[#This Row],[z]]-PersonalCare36[[#This Row],[Actual Cost]]</f>
        <v>0</v>
      </c>
      <c r="G61" t="s">
        <v>66</v>
      </c>
      <c r="H61" s="3">
        <f>SUBTOTAL(109,Legal35[Projected Cost])</f>
        <v>24833</v>
      </c>
      <c r="I61" s="3">
        <f>SUBTOTAL(109,Legal35[Actual Cost])</f>
        <v>24833</v>
      </c>
      <c r="J61" s="3">
        <f>SUBTOTAL(109,Legal35[Difference])</f>
        <v>0</v>
      </c>
    </row>
    <row r="62" spans="1:11" x14ac:dyDescent="0.3">
      <c r="B62" s="8" t="s">
        <v>64</v>
      </c>
      <c r="C62" s="9"/>
      <c r="D62" s="9"/>
      <c r="E62" s="9">
        <f>PersonalCare36[[#This Row],[z]]-PersonalCare36[[#This Row],[Actual Cost]]</f>
        <v>0</v>
      </c>
      <c r="G62" s="41"/>
      <c r="H62" s="41"/>
      <c r="I62" s="41"/>
      <c r="J62" s="41"/>
    </row>
    <row r="63" spans="1:11" x14ac:dyDescent="0.3">
      <c r="B63" s="8" t="s">
        <v>23</v>
      </c>
      <c r="C63" s="9"/>
      <c r="D63" s="9"/>
      <c r="E63" s="9">
        <f>PersonalCare36[[#This Row],[z]]-PersonalCare36[[#This Row],[Actual Cost]]</f>
        <v>0</v>
      </c>
      <c r="G63" s="42" t="s">
        <v>60</v>
      </c>
      <c r="H63" s="42"/>
      <c r="I63" s="42"/>
      <c r="J63" s="40">
        <f>SUBTOTAL(109,Housing25[Projected Cost],Transportation28[Projected Cost],Insurance29[Projected Cost],Food32[Projected Cost],Pets34[Projected Cost],PersonalCare36[z],Entertainment26[Projected Cost],Loans27[Projected Cost],Taxes30[Projected Cost],Savings31[Projected Cost],Gifts33[Projected Cost],Legal35[Projected Cost])</f>
        <v>130266</v>
      </c>
    </row>
    <row r="64" spans="1:11" x14ac:dyDescent="0.3">
      <c r="B64" s="8" t="s">
        <v>66</v>
      </c>
      <c r="C64" s="9"/>
      <c r="D64" s="9"/>
      <c r="E64" s="9">
        <f>SUBTOTAL(109,PersonalCare36[Difference])</f>
        <v>0</v>
      </c>
      <c r="G64" s="42"/>
      <c r="H64" s="42"/>
      <c r="I64" s="42"/>
      <c r="J64" s="40"/>
    </row>
    <row r="65" spans="2:10" x14ac:dyDescent="0.3">
      <c r="B65" s="41"/>
      <c r="C65" s="41"/>
      <c r="D65" s="41"/>
      <c r="E65" s="41"/>
      <c r="G65" s="42" t="s">
        <v>63</v>
      </c>
      <c r="H65" s="42"/>
      <c r="I65" s="42"/>
      <c r="J65" s="40">
        <f>SUBTOTAL(109,Housing25[Actual Cost],Transportation28[Actual Cost],Insurance29[Actual Cost],Food32[Actual Cost],Pets34[Actual Cost],PersonalCare36[Actual Cost],Entertainment26[Actual Cost],Loans27[Actual Cost],Taxes30[Actual Cost],Savings31[Actual Cost],Gifts33[Actual Cost],Legal35[Actual Cost])</f>
        <v>130266</v>
      </c>
    </row>
    <row r="66" spans="2:10" x14ac:dyDescent="0.3">
      <c r="G66" s="42"/>
      <c r="H66" s="42"/>
      <c r="I66" s="42"/>
      <c r="J66" s="40"/>
    </row>
    <row r="67" spans="2:10" x14ac:dyDescent="0.3">
      <c r="G67" s="42" t="s">
        <v>65</v>
      </c>
      <c r="H67" s="42"/>
      <c r="I67" s="42"/>
      <c r="J67" s="40">
        <f>J63-J65</f>
        <v>0</v>
      </c>
    </row>
    <row r="68" spans="2:10" x14ac:dyDescent="0.3">
      <c r="G68" s="42"/>
      <c r="H68" s="42"/>
      <c r="I68" s="42"/>
      <c r="J68" s="40"/>
    </row>
  </sheetData>
  <mergeCells count="32">
    <mergeCell ref="B65:E65"/>
    <mergeCell ref="G65:I66"/>
    <mergeCell ref="J65:J66"/>
    <mergeCell ref="G67:I68"/>
    <mergeCell ref="J67:J68"/>
    <mergeCell ref="G63:I64"/>
    <mergeCell ref="J63:J64"/>
    <mergeCell ref="G23:J23"/>
    <mergeCell ref="B24:E24"/>
    <mergeCell ref="B34:E34"/>
    <mergeCell ref="G34:J34"/>
    <mergeCell ref="B41:E41"/>
    <mergeCell ref="G41:J41"/>
    <mergeCell ref="B47:E47"/>
    <mergeCell ref="G47:J47"/>
    <mergeCell ref="G53:J53"/>
    <mergeCell ref="B55:E55"/>
    <mergeCell ref="G62:J62"/>
    <mergeCell ref="B8:B10"/>
    <mergeCell ref="C8:D8"/>
    <mergeCell ref="G8:I9"/>
    <mergeCell ref="J8:J9"/>
    <mergeCell ref="C9:D9"/>
    <mergeCell ref="C10:D10"/>
    <mergeCell ref="B4:B6"/>
    <mergeCell ref="C4:D4"/>
    <mergeCell ref="G4:I5"/>
    <mergeCell ref="J4:J5"/>
    <mergeCell ref="C5:D5"/>
    <mergeCell ref="C6:D6"/>
    <mergeCell ref="G6:I7"/>
    <mergeCell ref="J6:J7"/>
  </mergeCells>
  <conditionalFormatting sqref="J8:J9">
    <cfRule type="cellIs" dxfId="144" priority="2" operator="lessThan">
      <formula>0</formula>
    </cfRule>
  </conditionalFormatting>
  <conditionalFormatting sqref="J67:J68">
    <cfRule type="cellIs" dxfId="143" priority="1" operator="lessThan">
      <formula>0</formula>
    </cfRule>
  </conditionalFormatting>
  <printOptions horizontalCentered="1"/>
  <pageMargins left="0.4" right="0.4" top="0.4" bottom="0.4" header="0.3" footer="0.3"/>
  <pageSetup scale="81" fitToHeight="0" orientation="portrait" r:id="rId1"/>
  <headerFooter differentFirst="1">
    <oddFooter>Page &amp;P of &amp;N</oddFooter>
  </headerFooter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A1:J68"/>
  <sheetViews>
    <sheetView showGridLines="0" zoomScale="85" zoomScaleNormal="85" workbookViewId="0">
      <selection activeCell="B49" sqref="B49"/>
    </sheetView>
  </sheetViews>
  <sheetFormatPr defaultRowHeight="13" x14ac:dyDescent="0.3"/>
  <cols>
    <col min="1" max="1" width="2.69921875" style="13" customWidth="1"/>
    <col min="2" max="2" width="64.69921875" bestFit="1" customWidth="1"/>
    <col min="3" max="3" width="16" customWidth="1"/>
    <col min="4" max="4" width="13" customWidth="1"/>
    <col min="5" max="5" width="13.5" bestFit="1" customWidth="1"/>
    <col min="6" max="6" width="2.69921875" customWidth="1"/>
    <col min="7" max="7" width="27.09765625" customWidth="1"/>
    <col min="8" max="8" width="16" customWidth="1"/>
    <col min="9" max="9" width="13" customWidth="1"/>
    <col min="10" max="10" width="14.296875" bestFit="1" customWidth="1"/>
    <col min="11" max="11" width="2.69921875" customWidth="1"/>
  </cols>
  <sheetData>
    <row r="1" spans="1:10" s="2" customFormat="1" ht="14.5" x14ac:dyDescent="0.35">
      <c r="A1" s="12" t="s">
        <v>74</v>
      </c>
    </row>
    <row r="2" spans="1:10" s="2" customFormat="1" ht="30.5" thickBot="1" x14ac:dyDescent="0.7">
      <c r="A2" s="12" t="s">
        <v>75</v>
      </c>
      <c r="B2" s="1" t="s">
        <v>90</v>
      </c>
      <c r="C2" s="1"/>
      <c r="D2" s="1"/>
      <c r="E2" s="1"/>
      <c r="F2" s="1"/>
      <c r="G2" s="1"/>
      <c r="H2" s="1"/>
      <c r="I2" s="1"/>
      <c r="J2" s="1"/>
    </row>
    <row r="4" spans="1:10" x14ac:dyDescent="0.3">
      <c r="A4" s="13" t="s">
        <v>77</v>
      </c>
      <c r="B4" s="33" t="s">
        <v>0</v>
      </c>
      <c r="C4" s="36" t="s">
        <v>1</v>
      </c>
      <c r="D4" s="37"/>
      <c r="E4" s="5">
        <v>80000</v>
      </c>
      <c r="G4" s="38" t="s">
        <v>97</v>
      </c>
      <c r="H4" s="39"/>
      <c r="I4" s="39"/>
      <c r="J4" s="40">
        <f>E6-J65</f>
        <v>9094</v>
      </c>
    </row>
    <row r="5" spans="1:10" x14ac:dyDescent="0.3">
      <c r="B5" s="34"/>
      <c r="C5" s="36" t="s">
        <v>111</v>
      </c>
      <c r="D5" s="37"/>
      <c r="E5" s="6">
        <v>23000</v>
      </c>
      <c r="G5" s="39"/>
      <c r="H5" s="39"/>
      <c r="I5" s="39"/>
      <c r="J5" s="40"/>
    </row>
    <row r="6" spans="1:10" x14ac:dyDescent="0.3">
      <c r="A6" s="13" t="s">
        <v>78</v>
      </c>
      <c r="B6" s="35"/>
      <c r="C6" s="36" t="s">
        <v>3</v>
      </c>
      <c r="D6" s="37"/>
      <c r="E6" s="7">
        <f>SUM(E4:E5)</f>
        <v>103000</v>
      </c>
      <c r="G6" s="38" t="s">
        <v>96</v>
      </c>
      <c r="H6" s="39"/>
      <c r="I6" s="39"/>
      <c r="J6" s="40">
        <f>E10-J65</f>
        <v>-93906</v>
      </c>
    </row>
    <row r="7" spans="1:10" x14ac:dyDescent="0.3">
      <c r="B7" s="4"/>
      <c r="C7" s="4"/>
      <c r="D7" s="4"/>
      <c r="E7" s="4"/>
      <c r="G7" s="39"/>
      <c r="H7" s="39"/>
      <c r="I7" s="39"/>
      <c r="J7" s="40"/>
    </row>
    <row r="8" spans="1:10" x14ac:dyDescent="0.3">
      <c r="A8" s="13" t="s">
        <v>79</v>
      </c>
      <c r="B8" s="33" t="s">
        <v>4</v>
      </c>
      <c r="C8" s="36" t="s">
        <v>1</v>
      </c>
      <c r="D8" s="37"/>
      <c r="E8" s="5">
        <v>0</v>
      </c>
      <c r="G8" s="38" t="s">
        <v>67</v>
      </c>
      <c r="H8" s="39"/>
      <c r="I8" s="39"/>
      <c r="J8" s="40">
        <f>J6-J4</f>
        <v>-103000</v>
      </c>
    </row>
    <row r="9" spans="1:10" x14ac:dyDescent="0.3">
      <c r="B9" s="34"/>
      <c r="C9" s="36" t="s">
        <v>2</v>
      </c>
      <c r="D9" s="37"/>
      <c r="E9" s="6">
        <v>0</v>
      </c>
      <c r="G9" s="39"/>
      <c r="H9" s="39"/>
      <c r="I9" s="39"/>
      <c r="J9" s="40"/>
    </row>
    <row r="10" spans="1:10" x14ac:dyDescent="0.3">
      <c r="B10" s="35"/>
      <c r="C10" s="36" t="s">
        <v>3</v>
      </c>
      <c r="D10" s="37"/>
      <c r="E10" s="7">
        <f>SUM(E8:E9)</f>
        <v>0</v>
      </c>
    </row>
    <row r="12" spans="1:10" x14ac:dyDescent="0.3">
      <c r="A12" s="13" t="s">
        <v>80</v>
      </c>
      <c r="B12" s="8" t="s">
        <v>5</v>
      </c>
      <c r="C12" s="8" t="s">
        <v>6</v>
      </c>
      <c r="D12" s="8" t="s">
        <v>7</v>
      </c>
      <c r="E12" s="8" t="s">
        <v>8</v>
      </c>
      <c r="G12" t="s">
        <v>9</v>
      </c>
      <c r="H12" t="s">
        <v>6</v>
      </c>
      <c r="I12" t="s">
        <v>7</v>
      </c>
      <c r="J12" t="s">
        <v>8</v>
      </c>
    </row>
    <row r="13" spans="1:10" x14ac:dyDescent="0.3">
      <c r="B13" s="8" t="s">
        <v>10</v>
      </c>
      <c r="C13" s="9">
        <v>13600</v>
      </c>
      <c r="D13" s="9">
        <v>13600</v>
      </c>
      <c r="E13" s="9">
        <f>Housing[[#This Row],[Projected Cost]]-Housing[[#This Row],[Actual Cost]]</f>
        <v>0</v>
      </c>
      <c r="G13" t="s">
        <v>11</v>
      </c>
      <c r="H13" s="3"/>
      <c r="I13" s="3"/>
      <c r="J13" s="3">
        <f>Entertainment[[#This Row],[Projected Cost]]-Entertainment[[#This Row],[Actual Cost]]</f>
        <v>0</v>
      </c>
    </row>
    <row r="14" spans="1:10" x14ac:dyDescent="0.3">
      <c r="B14" s="16" t="s">
        <v>12</v>
      </c>
      <c r="C14" s="9">
        <v>300</v>
      </c>
      <c r="D14" s="9">
        <v>300</v>
      </c>
      <c r="E14" s="9">
        <f>Housing[[#This Row],[Projected Cost]]-Housing[[#This Row],[Actual Cost]]</f>
        <v>0</v>
      </c>
      <c r="G14" t="s">
        <v>13</v>
      </c>
      <c r="H14" s="3"/>
      <c r="I14" s="3"/>
      <c r="J14" s="3">
        <f>Entertainment[[#This Row],[Projected Cost]]-Entertainment[[#This Row],[Actual Cost]]</f>
        <v>0</v>
      </c>
    </row>
    <row r="15" spans="1:10" x14ac:dyDescent="0.3">
      <c r="B15" s="8" t="s">
        <v>14</v>
      </c>
      <c r="C15" s="9">
        <v>707</v>
      </c>
      <c r="D15" s="9">
        <v>707</v>
      </c>
      <c r="E15" s="9">
        <f>Housing[[#This Row],[Projected Cost]]-Housing[[#This Row],[Actual Cost]]</f>
        <v>0</v>
      </c>
      <c r="G15" t="s">
        <v>15</v>
      </c>
      <c r="H15" s="3"/>
      <c r="I15" s="3"/>
      <c r="J15" s="3">
        <f>Entertainment[[#This Row],[Projected Cost]]-Entertainment[[#This Row],[Actual Cost]]</f>
        <v>0</v>
      </c>
    </row>
    <row r="16" spans="1:10" x14ac:dyDescent="0.3">
      <c r="B16" s="8" t="s">
        <v>16</v>
      </c>
      <c r="C16" s="9">
        <v>1061</v>
      </c>
      <c r="D16" s="9">
        <v>1061</v>
      </c>
      <c r="E16" s="9">
        <f>Housing[[#This Row],[Projected Cost]]-Housing[[#This Row],[Actual Cost]]</f>
        <v>0</v>
      </c>
      <c r="G16" t="s">
        <v>17</v>
      </c>
      <c r="H16" s="3"/>
      <c r="I16" s="3"/>
      <c r="J16" s="3">
        <f>Entertainment[[#This Row],[Projected Cost]]-Entertainment[[#This Row],[Actual Cost]]</f>
        <v>0</v>
      </c>
    </row>
    <row r="17" spans="1:10" x14ac:dyDescent="0.3">
      <c r="B17" s="8" t="s">
        <v>18</v>
      </c>
      <c r="C17" s="9">
        <v>0</v>
      </c>
      <c r="D17" s="9">
        <v>0</v>
      </c>
      <c r="E17" s="9">
        <f>Housing[[#This Row],[Projected Cost]]-Housing[[#This Row],[Actual Cost]]</f>
        <v>0</v>
      </c>
      <c r="G17" t="s">
        <v>19</v>
      </c>
      <c r="H17" s="3"/>
      <c r="I17" s="3"/>
      <c r="J17" s="3">
        <f>Entertainment[[#This Row],[Projected Cost]]-Entertainment[[#This Row],[Actual Cost]]</f>
        <v>0</v>
      </c>
    </row>
    <row r="18" spans="1:10" x14ac:dyDescent="0.3">
      <c r="B18" s="16" t="s">
        <v>20</v>
      </c>
      <c r="C18" s="9">
        <v>2410</v>
      </c>
      <c r="D18" s="9">
        <v>2410</v>
      </c>
      <c r="E18" s="9">
        <f>Housing[[#This Row],[Projected Cost]]-Housing[[#This Row],[Actual Cost]]</f>
        <v>0</v>
      </c>
      <c r="G18" t="s">
        <v>21</v>
      </c>
      <c r="H18" s="3"/>
      <c r="I18" s="3"/>
      <c r="J18" s="3">
        <f>Entertainment[[#This Row],[Projected Cost]]-Entertainment[[#This Row],[Actual Cost]]</f>
        <v>0</v>
      </c>
    </row>
    <row r="19" spans="1:10" x14ac:dyDescent="0.3">
      <c r="B19" s="8" t="s">
        <v>22</v>
      </c>
      <c r="C19" s="9">
        <v>0</v>
      </c>
      <c r="D19" s="9">
        <v>0</v>
      </c>
      <c r="E19" s="9">
        <f>Housing[[#This Row],[Projected Cost]]-Housing[[#This Row],[Actual Cost]]</f>
        <v>0</v>
      </c>
      <c r="G19" t="s">
        <v>23</v>
      </c>
      <c r="H19" s="3"/>
      <c r="I19" s="3"/>
      <c r="J19" s="3">
        <f>Entertainment[[#This Row],[Projected Cost]]-Entertainment[[#This Row],[Actual Cost]]</f>
        <v>0</v>
      </c>
    </row>
    <row r="20" spans="1:10" x14ac:dyDescent="0.3">
      <c r="B20" s="8" t="s">
        <v>24</v>
      </c>
      <c r="C20" s="9">
        <v>0</v>
      </c>
      <c r="D20" s="9">
        <v>0</v>
      </c>
      <c r="E20" s="9">
        <f>Housing[[#This Row],[Projected Cost]]-Housing[[#This Row],[Actual Cost]]</f>
        <v>0</v>
      </c>
      <c r="G20" t="s">
        <v>23</v>
      </c>
      <c r="H20" s="3"/>
      <c r="I20" s="3"/>
      <c r="J20" s="3">
        <f>Entertainment[[#This Row],[Projected Cost]]-Entertainment[[#This Row],[Actual Cost]]</f>
        <v>0</v>
      </c>
    </row>
    <row r="21" spans="1:10" x14ac:dyDescent="0.3">
      <c r="B21" s="8" t="s">
        <v>25</v>
      </c>
      <c r="C21" s="9">
        <v>0</v>
      </c>
      <c r="D21" s="9">
        <v>0</v>
      </c>
      <c r="E21" s="9">
        <f>Housing[[#This Row],[Projected Cost]]-Housing[[#This Row],[Actual Cost]]</f>
        <v>0</v>
      </c>
      <c r="G21" t="s">
        <v>23</v>
      </c>
      <c r="H21" s="3"/>
      <c r="I21" s="3"/>
      <c r="J21" s="3">
        <f>Entertainment[[#This Row],[Projected Cost]]-Entertainment[[#This Row],[Actual Cost]]</f>
        <v>0</v>
      </c>
    </row>
    <row r="22" spans="1:10" x14ac:dyDescent="0.3">
      <c r="B22" s="8" t="s">
        <v>23</v>
      </c>
      <c r="C22" s="9">
        <v>0</v>
      </c>
      <c r="D22" s="9">
        <v>0</v>
      </c>
      <c r="E22" s="9">
        <f>Housing[[#This Row],[Projected Cost]]-Housing[[#This Row],[Actual Cost]]</f>
        <v>0</v>
      </c>
      <c r="G22" t="s">
        <v>66</v>
      </c>
      <c r="H22" s="3"/>
      <c r="I22" s="3"/>
      <c r="J22" s="3">
        <f>SUBTOTAL(109,Entertainment[Difference])</f>
        <v>0</v>
      </c>
    </row>
    <row r="23" spans="1:10" x14ac:dyDescent="0.3">
      <c r="B23" s="8" t="s">
        <v>66</v>
      </c>
      <c r="C23" s="9">
        <f>SUBTOTAL(109,Housing[Projected Cost])</f>
        <v>18078</v>
      </c>
      <c r="D23" s="9">
        <f>SUBTOTAL(109,Housing[Actual Cost])</f>
        <v>18078</v>
      </c>
      <c r="E23" s="9">
        <f>SUBTOTAL(109,Housing[Difference])</f>
        <v>0</v>
      </c>
      <c r="G23" s="41"/>
      <c r="H23" s="41"/>
      <c r="I23" s="41"/>
      <c r="J23" s="41"/>
    </row>
    <row r="24" spans="1:10" x14ac:dyDescent="0.3">
      <c r="B24" s="41"/>
      <c r="C24" s="41"/>
      <c r="D24" s="41"/>
      <c r="E24" s="41"/>
      <c r="G24" t="s">
        <v>26</v>
      </c>
      <c r="H24" t="s">
        <v>6</v>
      </c>
      <c r="I24" t="s">
        <v>7</v>
      </c>
      <c r="J24" t="s">
        <v>8</v>
      </c>
    </row>
    <row r="25" spans="1:10" x14ac:dyDescent="0.3">
      <c r="A25" s="13" t="s">
        <v>81</v>
      </c>
      <c r="B25" t="s">
        <v>27</v>
      </c>
      <c r="C25" t="s">
        <v>6</v>
      </c>
      <c r="D25" t="s">
        <v>7</v>
      </c>
      <c r="E25" t="s">
        <v>8</v>
      </c>
      <c r="G25" t="s">
        <v>28</v>
      </c>
      <c r="H25" s="3"/>
      <c r="I25" s="3"/>
      <c r="J25" s="3">
        <f>Loans[[#This Row],[Projected Cost]]-Loans[[#This Row],[Actual Cost]]</f>
        <v>0</v>
      </c>
    </row>
    <row r="26" spans="1:10" x14ac:dyDescent="0.3">
      <c r="B26" s="17" t="s">
        <v>29</v>
      </c>
      <c r="C26" s="3">
        <v>4147</v>
      </c>
      <c r="D26" s="3">
        <v>4147</v>
      </c>
      <c r="E26" s="3">
        <f>Transportation[[#This Row],[Projected Cost]]-Transportation[[#This Row],[Actual Cost]]</f>
        <v>0</v>
      </c>
      <c r="G26" s="18" t="s">
        <v>95</v>
      </c>
      <c r="H26" s="3">
        <v>20020</v>
      </c>
      <c r="I26" s="3">
        <v>20020</v>
      </c>
      <c r="J26" s="3">
        <f>Loans[[#This Row],[Projected Cost]]-Loans[[#This Row],[Actual Cost]]</f>
        <v>0</v>
      </c>
    </row>
    <row r="27" spans="1:10" x14ac:dyDescent="0.3">
      <c r="B27" t="s">
        <v>30</v>
      </c>
      <c r="C27" s="3">
        <v>2561</v>
      </c>
      <c r="D27" s="3">
        <v>2561</v>
      </c>
      <c r="E27" s="3">
        <v>0</v>
      </c>
      <c r="G27" s="19" t="s">
        <v>88</v>
      </c>
      <c r="H27" s="3">
        <v>0</v>
      </c>
      <c r="I27" s="3">
        <v>0</v>
      </c>
      <c r="J27" s="3">
        <f>Loans[[#This Row],[Projected Cost]]-Loans[[#This Row],[Actual Cost]]</f>
        <v>0</v>
      </c>
    </row>
    <row r="28" spans="1:10" x14ac:dyDescent="0.3">
      <c r="B28" t="s">
        <v>31</v>
      </c>
      <c r="C28" s="3">
        <v>0</v>
      </c>
      <c r="D28" s="3">
        <v>0</v>
      </c>
      <c r="E28" s="3">
        <f>Transportation[[#This Row],[Projected Cost]]-Transportation[[#This Row],[Actual Cost]]</f>
        <v>0</v>
      </c>
      <c r="G28" s="19" t="s">
        <v>89</v>
      </c>
      <c r="H28" s="3">
        <v>0</v>
      </c>
      <c r="I28" s="3">
        <v>0</v>
      </c>
      <c r="J28" s="3">
        <f>Loans[[#This Row],[Projected Cost]]-Loans[[#This Row],[Actual Cost]]</f>
        <v>0</v>
      </c>
    </row>
    <row r="29" spans="1:10" x14ac:dyDescent="0.3">
      <c r="B29" t="s">
        <v>32</v>
      </c>
      <c r="C29" s="3">
        <v>0</v>
      </c>
      <c r="D29" s="3">
        <v>0</v>
      </c>
      <c r="E29" s="3">
        <f>Transportation[[#This Row],[Projected Cost]]-Transportation[[#This Row],[Actual Cost]]</f>
        <v>0</v>
      </c>
      <c r="G29" s="18" t="s">
        <v>87</v>
      </c>
      <c r="H29" s="3">
        <v>5375</v>
      </c>
      <c r="I29" s="3">
        <v>5375</v>
      </c>
      <c r="J29" s="3">
        <f>Loans[[#This Row],[Projected Cost]]-Loans[[#This Row],[Actual Cost]]</f>
        <v>0</v>
      </c>
    </row>
    <row r="30" spans="1:10" x14ac:dyDescent="0.3">
      <c r="B30" t="s">
        <v>33</v>
      </c>
      <c r="C30" s="3">
        <v>1000</v>
      </c>
      <c r="D30" s="3">
        <v>1000</v>
      </c>
      <c r="E30" s="3">
        <f>Transportation[[#This Row],[Projected Cost]]-Transportation[[#This Row],[Actual Cost]]</f>
        <v>0</v>
      </c>
      <c r="G30" s="18" t="s">
        <v>93</v>
      </c>
      <c r="H30" s="3">
        <v>3000</v>
      </c>
      <c r="I30" s="3">
        <v>3000</v>
      </c>
      <c r="J30" s="3">
        <f>Loans[[#This Row],[Projected Cost]]-Loans[[#This Row],[Actual Cost]]</f>
        <v>0</v>
      </c>
    </row>
    <row r="31" spans="1:10" x14ac:dyDescent="0.3">
      <c r="B31" t="s">
        <v>34</v>
      </c>
      <c r="C31" s="3">
        <v>0</v>
      </c>
      <c r="D31" s="3">
        <v>0</v>
      </c>
      <c r="E31" s="3">
        <f>Transportation[[#This Row],[Projected Cost]]-Transportation[[#This Row],[Actual Cost]]</f>
        <v>0</v>
      </c>
      <c r="G31" s="18" t="s">
        <v>99</v>
      </c>
      <c r="H31" s="3">
        <v>5000</v>
      </c>
      <c r="I31" s="3">
        <v>5000</v>
      </c>
      <c r="J31" s="3">
        <f>Loans[[#This Row],[Projected Cost]]-Loans[[#This Row],[Actual Cost]]</f>
        <v>0</v>
      </c>
    </row>
    <row r="32" spans="1:10" x14ac:dyDescent="0.3">
      <c r="B32" t="s">
        <v>23</v>
      </c>
      <c r="C32" s="3">
        <v>0</v>
      </c>
      <c r="D32" s="3">
        <v>0</v>
      </c>
      <c r="E32" s="3">
        <f>Transportation[[#This Row],[Projected Cost]]-Transportation[[#This Row],[Actual Cost]]</f>
        <v>0</v>
      </c>
      <c r="G32" s="18" t="s">
        <v>116</v>
      </c>
      <c r="H32" s="3">
        <v>2000</v>
      </c>
      <c r="I32" s="3">
        <v>2000</v>
      </c>
      <c r="J32" s="3">
        <f>Loans[[#This Row],[Projected Cost]]-Loans[[#This Row],[Actual Cost]]</f>
        <v>0</v>
      </c>
    </row>
    <row r="33" spans="1:10" x14ac:dyDescent="0.3">
      <c r="B33" t="s">
        <v>66</v>
      </c>
      <c r="C33" s="3">
        <f>SUBTOTAL(109,Transportation[Projected Cost])</f>
        <v>7708</v>
      </c>
      <c r="D33" s="3">
        <f>SUBTOTAL(109,Transportation[Actual Cost])</f>
        <v>7708</v>
      </c>
      <c r="E33" s="3">
        <f>SUBTOTAL(109,Transportation[Difference])</f>
        <v>0</v>
      </c>
      <c r="G33" t="s">
        <v>66</v>
      </c>
      <c r="H33" s="3">
        <f>SUBTOTAL(109,Loans[Projected Cost])</f>
        <v>35395</v>
      </c>
      <c r="I33" s="3"/>
      <c r="J33" s="3">
        <f>SUBTOTAL(109,Loans[Difference])</f>
        <v>0</v>
      </c>
    </row>
    <row r="34" spans="1:10" x14ac:dyDescent="0.3">
      <c r="B34" s="41"/>
      <c r="C34" s="41"/>
      <c r="D34" s="41"/>
      <c r="E34" s="41"/>
      <c r="G34" s="41"/>
      <c r="H34" s="41"/>
      <c r="I34" s="41"/>
      <c r="J34" s="41"/>
    </row>
    <row r="35" spans="1:10" x14ac:dyDescent="0.3">
      <c r="A35" s="13" t="s">
        <v>82</v>
      </c>
      <c r="B35" t="s">
        <v>37</v>
      </c>
      <c r="C35" t="s">
        <v>6</v>
      </c>
      <c r="D35" t="s">
        <v>7</v>
      </c>
      <c r="E35" t="s">
        <v>8</v>
      </c>
      <c r="G35" t="s">
        <v>35</v>
      </c>
      <c r="H35" t="s">
        <v>6</v>
      </c>
      <c r="I35" t="s">
        <v>7</v>
      </c>
      <c r="J35" t="s">
        <v>8</v>
      </c>
    </row>
    <row r="36" spans="1:10" x14ac:dyDescent="0.3">
      <c r="B36" t="s">
        <v>39</v>
      </c>
      <c r="C36" s="3"/>
      <c r="D36" s="3"/>
      <c r="E36" s="3">
        <f>Insurance[[#This Row],[Projected Cost]]-Insurance[[#This Row],[Actual Cost]]</f>
        <v>0</v>
      </c>
      <c r="G36" t="s">
        <v>36</v>
      </c>
      <c r="H36" s="3"/>
      <c r="I36" s="3"/>
      <c r="J36" s="3">
        <f>Taxes[[#This Row],[Projected Cost]]-Taxes[[#This Row],[Actual Cost]]</f>
        <v>0</v>
      </c>
    </row>
    <row r="37" spans="1:10" x14ac:dyDescent="0.3">
      <c r="B37" t="s">
        <v>41</v>
      </c>
      <c r="C37" s="3"/>
      <c r="D37" s="3"/>
      <c r="E37" s="3">
        <f>Insurance[[#This Row],[Projected Cost]]-Insurance[[#This Row],[Actual Cost]]</f>
        <v>0</v>
      </c>
      <c r="G37" t="s">
        <v>38</v>
      </c>
      <c r="H37" s="3"/>
      <c r="I37" s="3"/>
      <c r="J37" s="3">
        <f>Taxes[[#This Row],[Projected Cost]]-Taxes[[#This Row],[Actual Cost]]</f>
        <v>0</v>
      </c>
    </row>
    <row r="38" spans="1:10" x14ac:dyDescent="0.3">
      <c r="B38" t="s">
        <v>42</v>
      </c>
      <c r="C38" s="3"/>
      <c r="D38" s="3"/>
      <c r="E38" s="3">
        <f>Insurance[[#This Row],[Projected Cost]]-Insurance[[#This Row],[Actual Cost]]</f>
        <v>0</v>
      </c>
      <c r="G38" t="s">
        <v>40</v>
      </c>
      <c r="H38" s="3"/>
      <c r="I38" s="3"/>
      <c r="J38" s="3">
        <f>Taxes[[#This Row],[Projected Cost]]-Taxes[[#This Row],[Actual Cost]]</f>
        <v>0</v>
      </c>
    </row>
    <row r="39" spans="1:10" x14ac:dyDescent="0.3">
      <c r="B39" t="s">
        <v>23</v>
      </c>
      <c r="C39" s="3"/>
      <c r="D39" s="3"/>
      <c r="E39" s="3">
        <f>Insurance[[#This Row],[Projected Cost]]-Insurance[[#This Row],[Actual Cost]]</f>
        <v>0</v>
      </c>
      <c r="G39" t="s">
        <v>23</v>
      </c>
      <c r="H39" s="3"/>
      <c r="I39" s="3"/>
      <c r="J39" s="3">
        <f>Taxes[[#This Row],[Projected Cost]]-Taxes[[#This Row],[Actual Cost]]</f>
        <v>0</v>
      </c>
    </row>
    <row r="40" spans="1:10" x14ac:dyDescent="0.3">
      <c r="B40" t="s">
        <v>66</v>
      </c>
      <c r="C40" s="3"/>
      <c r="D40" s="3"/>
      <c r="E40" s="3">
        <f>SUBTOTAL(109,Insurance[Difference])</f>
        <v>0</v>
      </c>
      <c r="G40" t="s">
        <v>66</v>
      </c>
      <c r="H40" s="3"/>
      <c r="I40" s="3"/>
      <c r="J40" s="3">
        <f>SUBTOTAL(109,Taxes[Difference])</f>
        <v>0</v>
      </c>
    </row>
    <row r="41" spans="1:10" x14ac:dyDescent="0.3">
      <c r="B41" s="41"/>
      <c r="C41" s="41"/>
      <c r="D41" s="41"/>
      <c r="E41" s="41"/>
      <c r="G41" s="41"/>
      <c r="H41" s="41"/>
      <c r="I41" s="41"/>
      <c r="J41" s="41"/>
    </row>
    <row r="42" spans="1:10" x14ac:dyDescent="0.3">
      <c r="A42" s="13" t="s">
        <v>83</v>
      </c>
      <c r="B42" t="s">
        <v>45</v>
      </c>
      <c r="C42" t="s">
        <v>6</v>
      </c>
      <c r="D42" t="s">
        <v>7</v>
      </c>
      <c r="E42" t="s">
        <v>8</v>
      </c>
      <c r="G42" t="s">
        <v>43</v>
      </c>
      <c r="H42" t="s">
        <v>6</v>
      </c>
      <c r="I42" t="s">
        <v>7</v>
      </c>
      <c r="J42" t="s">
        <v>8</v>
      </c>
    </row>
    <row r="43" spans="1:10" x14ac:dyDescent="0.3">
      <c r="B43" s="17" t="s">
        <v>47</v>
      </c>
      <c r="C43" s="3">
        <v>3157</v>
      </c>
      <c r="D43" s="3">
        <v>3157</v>
      </c>
      <c r="E43" s="3">
        <f>Food[[#This Row],[Projected Cost]]-Food[[#This Row],[Actual Cost]]</f>
        <v>0</v>
      </c>
      <c r="G43" t="s">
        <v>44</v>
      </c>
      <c r="H43" s="3"/>
      <c r="I43" s="3"/>
      <c r="J43" s="3">
        <f>Savings[[#This Row],[Projected Cost]]-Savings[[#This Row],[Actual Cost]]</f>
        <v>0</v>
      </c>
    </row>
    <row r="44" spans="1:10" x14ac:dyDescent="0.3">
      <c r="B44" s="17" t="s">
        <v>94</v>
      </c>
      <c r="C44" s="3">
        <v>700</v>
      </c>
      <c r="D44" s="3">
        <v>700</v>
      </c>
      <c r="E44" s="3">
        <f>Food[[#This Row],[Projected Cost]]-Food[[#This Row],[Actual Cost]]</f>
        <v>0</v>
      </c>
      <c r="G44" t="s">
        <v>46</v>
      </c>
      <c r="H44" s="3"/>
      <c r="I44" s="3"/>
      <c r="J44" s="3">
        <f>Savings[[#This Row],[Projected Cost]]-Savings[[#This Row],[Actual Cost]]</f>
        <v>0</v>
      </c>
    </row>
    <row r="45" spans="1:10" x14ac:dyDescent="0.3">
      <c r="B45" t="s">
        <v>98</v>
      </c>
      <c r="C45" s="3">
        <v>2000</v>
      </c>
      <c r="D45" s="3">
        <v>2000</v>
      </c>
      <c r="E45" s="3">
        <f>Food[[#This Row],[Projected Cost]]-Food[[#This Row],[Actual Cost]]</f>
        <v>0</v>
      </c>
      <c r="G45" t="s">
        <v>91</v>
      </c>
      <c r="H45" s="3">
        <v>3000</v>
      </c>
      <c r="I45" s="3">
        <v>3000</v>
      </c>
      <c r="J45" s="3">
        <f>Savings[[#This Row],[Projected Cost]]-Savings[[#This Row],[Actual Cost]]</f>
        <v>0</v>
      </c>
    </row>
    <row r="46" spans="1:10" x14ac:dyDescent="0.3">
      <c r="B46" t="s">
        <v>66</v>
      </c>
      <c r="C46" s="3">
        <f>SUBTOTAL(109,Food[Projected Cost])</f>
        <v>5857</v>
      </c>
      <c r="D46" s="3">
        <f>SUBTOTAL(109,Food[Actual Cost])</f>
        <v>5857</v>
      </c>
      <c r="E46" s="3">
        <f>SUBTOTAL(109,Food[Difference])</f>
        <v>0</v>
      </c>
      <c r="G46" t="s">
        <v>66</v>
      </c>
      <c r="H46" s="3">
        <f>SUBTOTAL(109,Savings[Projected Cost])</f>
        <v>3000</v>
      </c>
      <c r="I46" s="3">
        <f>SUBTOTAL(109,Savings[Actual Cost])</f>
        <v>3000</v>
      </c>
      <c r="J46" s="3">
        <f>SUBTOTAL(109,Savings[Difference])</f>
        <v>0</v>
      </c>
    </row>
    <row r="47" spans="1:10" x14ac:dyDescent="0.3">
      <c r="B47" s="41"/>
      <c r="C47" s="41"/>
      <c r="D47" s="41"/>
      <c r="E47" s="41"/>
      <c r="G47" s="41"/>
      <c r="H47" s="41"/>
      <c r="I47" s="41"/>
      <c r="J47" s="41"/>
    </row>
    <row r="48" spans="1:10" x14ac:dyDescent="0.3">
      <c r="A48" s="13" t="s">
        <v>84</v>
      </c>
      <c r="B48" t="s">
        <v>50</v>
      </c>
      <c r="C48" t="s">
        <v>6</v>
      </c>
      <c r="D48" t="s">
        <v>7</v>
      </c>
      <c r="E48" t="s">
        <v>8</v>
      </c>
      <c r="G48" t="s">
        <v>48</v>
      </c>
      <c r="H48" t="s">
        <v>6</v>
      </c>
      <c r="I48" t="s">
        <v>7</v>
      </c>
      <c r="J48" t="s">
        <v>8</v>
      </c>
    </row>
    <row r="49" spans="1:10" x14ac:dyDescent="0.3">
      <c r="B49" t="s">
        <v>52</v>
      </c>
      <c r="C49" s="3"/>
      <c r="D49" s="3"/>
      <c r="E49" s="3">
        <f>Pets[[#This Row],[Projected Cost]]-Pets[[#This Row],[Actual Cost]]</f>
        <v>0</v>
      </c>
      <c r="G49" t="s">
        <v>49</v>
      </c>
      <c r="H49" s="3"/>
      <c r="I49" s="3"/>
      <c r="J49" s="3">
        <f>Gifts[[#This Row],[Projected Cost]]-Gifts[[#This Row],[Actual Cost]]</f>
        <v>0</v>
      </c>
    </row>
    <row r="50" spans="1:10" x14ac:dyDescent="0.3">
      <c r="B50" t="s">
        <v>54</v>
      </c>
      <c r="C50" s="3"/>
      <c r="D50" s="3"/>
      <c r="E50" s="3">
        <f>Pets[[#This Row],[Projected Cost]]-Pets[[#This Row],[Actual Cost]]</f>
        <v>0</v>
      </c>
      <c r="G50" t="s">
        <v>51</v>
      </c>
      <c r="H50" s="3"/>
      <c r="I50" s="3"/>
      <c r="J50" s="3">
        <f>Gifts[[#This Row],[Projected Cost]]-Gifts[[#This Row],[Actual Cost]]</f>
        <v>0</v>
      </c>
    </row>
    <row r="51" spans="1:10" x14ac:dyDescent="0.3">
      <c r="B51" t="s">
        <v>55</v>
      </c>
      <c r="C51" s="3"/>
      <c r="D51" s="3"/>
      <c r="E51" s="3">
        <f>Pets[[#This Row],[Projected Cost]]-Pets[[#This Row],[Actual Cost]]</f>
        <v>0</v>
      </c>
      <c r="G51" t="s">
        <v>53</v>
      </c>
      <c r="H51" s="3"/>
      <c r="I51" s="3"/>
      <c r="J51" s="3">
        <f>Gifts[[#This Row],[Projected Cost]]-Gifts[[#This Row],[Actual Cost]]</f>
        <v>0</v>
      </c>
    </row>
    <row r="52" spans="1:10" x14ac:dyDescent="0.3">
      <c r="B52" t="s">
        <v>56</v>
      </c>
      <c r="C52" s="3"/>
      <c r="D52" s="3"/>
      <c r="E52" s="3">
        <f>Pets[[#This Row],[Projected Cost]]-Pets[[#This Row],[Actual Cost]]</f>
        <v>0</v>
      </c>
      <c r="G52" t="s">
        <v>66</v>
      </c>
      <c r="H52" s="3"/>
      <c r="I52" s="3"/>
      <c r="J52" s="3">
        <f>SUBTOTAL(109,Gifts[Difference])</f>
        <v>0</v>
      </c>
    </row>
    <row r="53" spans="1:10" x14ac:dyDescent="0.3">
      <c r="B53" t="s">
        <v>23</v>
      </c>
      <c r="C53" s="3"/>
      <c r="D53" s="3"/>
      <c r="E53" s="3">
        <f>Pets[[#This Row],[Projected Cost]]-Pets[[#This Row],[Actual Cost]]</f>
        <v>0</v>
      </c>
      <c r="G53" s="41"/>
      <c r="H53" s="41"/>
      <c r="I53" s="41"/>
      <c r="J53" s="41"/>
    </row>
    <row r="54" spans="1:10" x14ac:dyDescent="0.3">
      <c r="B54" t="s">
        <v>66</v>
      </c>
      <c r="C54" s="3"/>
      <c r="D54" s="3"/>
      <c r="E54" s="3">
        <f>SUBTOTAL(109,Pets[Difference])</f>
        <v>0</v>
      </c>
      <c r="G54" t="s">
        <v>106</v>
      </c>
      <c r="H54" t="s">
        <v>6</v>
      </c>
      <c r="I54" t="s">
        <v>7</v>
      </c>
      <c r="J54" t="s">
        <v>8</v>
      </c>
    </row>
    <row r="55" spans="1:10" x14ac:dyDescent="0.3">
      <c r="B55" s="41"/>
      <c r="C55" s="41"/>
      <c r="D55" s="41"/>
      <c r="E55" s="41"/>
      <c r="G55" t="s">
        <v>107</v>
      </c>
      <c r="H55" s="3">
        <v>8500</v>
      </c>
      <c r="I55" s="3">
        <v>8500</v>
      </c>
      <c r="J55" s="3">
        <f>Legal[[#This Row],[Projected Cost]]-Legal[[#This Row],[Actual Cost]]</f>
        <v>0</v>
      </c>
    </row>
    <row r="56" spans="1:10" x14ac:dyDescent="0.3">
      <c r="A56" s="13" t="s">
        <v>85</v>
      </c>
      <c r="B56" s="8" t="s">
        <v>57</v>
      </c>
      <c r="C56" s="8" t="s">
        <v>114</v>
      </c>
      <c r="D56" s="8" t="s">
        <v>7</v>
      </c>
      <c r="E56" s="8" t="s">
        <v>8</v>
      </c>
      <c r="G56" t="s">
        <v>108</v>
      </c>
      <c r="H56" s="3">
        <v>6673</v>
      </c>
      <c r="I56" s="3">
        <v>6673</v>
      </c>
      <c r="J56" s="3">
        <f>Legal[[#This Row],[Projected Cost]]-Legal[[#This Row],[Actual Cost]]</f>
        <v>0</v>
      </c>
    </row>
    <row r="57" spans="1:10" x14ac:dyDescent="0.3">
      <c r="B57" s="8" t="s">
        <v>54</v>
      </c>
      <c r="C57" s="9"/>
      <c r="D57" s="9"/>
      <c r="E57" s="9">
        <f>PersonalCare[[#This Row],[z]]-PersonalCare[[#This Row],[Actual Cost]]</f>
        <v>0</v>
      </c>
      <c r="G57" t="s">
        <v>109</v>
      </c>
      <c r="H57" s="3">
        <v>4007</v>
      </c>
      <c r="I57" s="3">
        <v>4007</v>
      </c>
      <c r="J57" s="3">
        <f>Legal[[#This Row],[Projected Cost]]-Legal[[#This Row],[Actual Cost]]</f>
        <v>0</v>
      </c>
    </row>
    <row r="58" spans="1:10" x14ac:dyDescent="0.3">
      <c r="B58" s="8" t="s">
        <v>58</v>
      </c>
      <c r="C58" s="9"/>
      <c r="D58" s="9"/>
      <c r="E58" s="9">
        <f>PersonalCare[[#This Row],[z]]-PersonalCare[[#This Row],[Actual Cost]]</f>
        <v>0</v>
      </c>
      <c r="G58" t="s">
        <v>110</v>
      </c>
      <c r="H58" s="3">
        <v>0</v>
      </c>
      <c r="I58" s="3">
        <v>0</v>
      </c>
      <c r="J58" s="3">
        <f>Legal[[#This Row],[Projected Cost]]-Legal[[#This Row],[Actual Cost]]</f>
        <v>0</v>
      </c>
    </row>
    <row r="59" spans="1:10" x14ac:dyDescent="0.3">
      <c r="A59" s="13" t="s">
        <v>86</v>
      </c>
      <c r="B59" s="8" t="s">
        <v>59</v>
      </c>
      <c r="C59" s="9"/>
      <c r="D59" s="9"/>
      <c r="E59" s="9">
        <f>PersonalCare[[#This Row],[z]]-PersonalCare[[#This Row],[Actual Cost]]</f>
        <v>0</v>
      </c>
      <c r="G59" s="17" t="s">
        <v>112</v>
      </c>
      <c r="H59" s="3">
        <v>719</v>
      </c>
      <c r="I59" s="3">
        <v>719</v>
      </c>
      <c r="J59" s="3">
        <f>Legal[[#This Row],[Projected Cost]]-Legal[[#This Row],[Actual Cost]]</f>
        <v>0</v>
      </c>
    </row>
    <row r="60" spans="1:10" x14ac:dyDescent="0.3">
      <c r="B60" s="8" t="s">
        <v>61</v>
      </c>
      <c r="C60" s="9"/>
      <c r="D60" s="9"/>
      <c r="E60" s="9">
        <f>PersonalCare[[#This Row],[z]]-PersonalCare[[#This Row],[Actual Cost]]</f>
        <v>0</v>
      </c>
      <c r="G60" t="s">
        <v>113</v>
      </c>
      <c r="H60" s="3">
        <v>3969</v>
      </c>
      <c r="I60" s="3">
        <v>3969</v>
      </c>
      <c r="J60" s="3">
        <f>Legal[[#This Row],[Projected Cost]]-Legal[[#This Row],[Actual Cost]]</f>
        <v>0</v>
      </c>
    </row>
    <row r="61" spans="1:10" x14ac:dyDescent="0.3">
      <c r="B61" s="8" t="s">
        <v>62</v>
      </c>
      <c r="C61" s="9"/>
      <c r="D61" s="9"/>
      <c r="E61" s="9">
        <f>PersonalCare[[#This Row],[z]]-PersonalCare[[#This Row],[Actual Cost]]</f>
        <v>0</v>
      </c>
      <c r="G61" t="s">
        <v>66</v>
      </c>
      <c r="H61" s="3">
        <f>SUBTOTAL(109,Legal[Projected Cost])</f>
        <v>23868</v>
      </c>
      <c r="I61" s="3">
        <f>SUBTOTAL(109,Legal[Actual Cost])</f>
        <v>23868</v>
      </c>
      <c r="J61" s="3">
        <f>SUBTOTAL(109,Legal[Difference])</f>
        <v>0</v>
      </c>
    </row>
    <row r="62" spans="1:10" x14ac:dyDescent="0.3">
      <c r="B62" s="8" t="s">
        <v>64</v>
      </c>
      <c r="C62" s="9"/>
      <c r="D62" s="9"/>
      <c r="E62" s="9">
        <f>PersonalCare[[#This Row],[z]]-PersonalCare[[#This Row],[Actual Cost]]</f>
        <v>0</v>
      </c>
      <c r="G62" s="41"/>
      <c r="H62" s="41"/>
      <c r="I62" s="41"/>
      <c r="J62" s="41"/>
    </row>
    <row r="63" spans="1:10" x14ac:dyDescent="0.3">
      <c r="B63" s="8" t="s">
        <v>23</v>
      </c>
      <c r="C63" s="9"/>
      <c r="D63" s="9"/>
      <c r="E63" s="9">
        <f>PersonalCare[[#This Row],[z]]-PersonalCare[[#This Row],[Actual Cost]]</f>
        <v>0</v>
      </c>
      <c r="G63" s="42" t="s">
        <v>60</v>
      </c>
      <c r="H63" s="42"/>
      <c r="I63" s="42"/>
      <c r="J63" s="40">
        <f>SUBTOTAL(109,Housing[Projected Cost],Transportation[Projected Cost],Insurance[Projected Cost],Food[Projected Cost],Pets[Projected Cost],PersonalCare[z],Entertainment[Projected Cost],Loans[Projected Cost],Taxes[Projected Cost],Savings[Projected Cost],Gifts[Projected Cost],Legal[Projected Cost])</f>
        <v>93906</v>
      </c>
    </row>
    <row r="64" spans="1:10" x14ac:dyDescent="0.3">
      <c r="B64" s="8" t="s">
        <v>66</v>
      </c>
      <c r="C64" s="9"/>
      <c r="D64" s="9"/>
      <c r="E64" s="9">
        <f>SUBTOTAL(109,PersonalCare[Difference])</f>
        <v>0</v>
      </c>
      <c r="G64" s="42"/>
      <c r="H64" s="42"/>
      <c r="I64" s="42"/>
      <c r="J64" s="40"/>
    </row>
    <row r="65" spans="2:10" x14ac:dyDescent="0.3">
      <c r="B65" s="41"/>
      <c r="C65" s="41"/>
      <c r="D65" s="41"/>
      <c r="E65" s="41"/>
      <c r="G65" s="42" t="s">
        <v>63</v>
      </c>
      <c r="H65" s="42"/>
      <c r="I65" s="42"/>
      <c r="J65" s="40">
        <f>SUBTOTAL(109,Housing[Actual Cost],Transportation[Actual Cost],Insurance[Actual Cost],Food[Actual Cost],Pets[Actual Cost],PersonalCare[Actual Cost],Entertainment[Actual Cost],Loans[Actual Cost],Taxes[Actual Cost],Savings[Actual Cost],Gifts[Actual Cost],Legal[Actual Cost])</f>
        <v>93906</v>
      </c>
    </row>
    <row r="66" spans="2:10" x14ac:dyDescent="0.3">
      <c r="G66" s="42"/>
      <c r="H66" s="42"/>
      <c r="I66" s="42"/>
      <c r="J66" s="40"/>
    </row>
    <row r="67" spans="2:10" x14ac:dyDescent="0.3">
      <c r="G67" s="42" t="s">
        <v>65</v>
      </c>
      <c r="H67" s="42"/>
      <c r="I67" s="42"/>
      <c r="J67" s="40">
        <f>J63-J65</f>
        <v>0</v>
      </c>
    </row>
    <row r="68" spans="2:10" x14ac:dyDescent="0.3">
      <c r="G68" s="42"/>
      <c r="H68" s="42"/>
      <c r="I68" s="42"/>
      <c r="J68" s="40"/>
    </row>
  </sheetData>
  <mergeCells count="32">
    <mergeCell ref="C4:D4"/>
    <mergeCell ref="B8:B10"/>
    <mergeCell ref="B4:B6"/>
    <mergeCell ref="G8:I9"/>
    <mergeCell ref="G6:I7"/>
    <mergeCell ref="G4:I5"/>
    <mergeCell ref="C10:D10"/>
    <mergeCell ref="C9:D9"/>
    <mergeCell ref="C8:D8"/>
    <mergeCell ref="C6:D6"/>
    <mergeCell ref="C5:D5"/>
    <mergeCell ref="G34:J34"/>
    <mergeCell ref="J8:J9"/>
    <mergeCell ref="J6:J7"/>
    <mergeCell ref="J4:J5"/>
    <mergeCell ref="G63:I64"/>
    <mergeCell ref="G23:J23"/>
    <mergeCell ref="B24:E24"/>
    <mergeCell ref="B34:E34"/>
    <mergeCell ref="B41:E41"/>
    <mergeCell ref="B47:E47"/>
    <mergeCell ref="B55:E55"/>
    <mergeCell ref="G67:I68"/>
    <mergeCell ref="J67:J68"/>
    <mergeCell ref="J63:J64"/>
    <mergeCell ref="J65:J66"/>
    <mergeCell ref="G65:I66"/>
    <mergeCell ref="B65:E65"/>
    <mergeCell ref="G62:J62"/>
    <mergeCell ref="G53:J53"/>
    <mergeCell ref="G47:J47"/>
    <mergeCell ref="G41:J41"/>
  </mergeCells>
  <conditionalFormatting sqref="J8:J9">
    <cfRule type="cellIs" dxfId="71" priority="2" operator="lessThan">
      <formula>0</formula>
    </cfRule>
  </conditionalFormatting>
  <conditionalFormatting sqref="J67:J68">
    <cfRule type="cellIs" dxfId="70" priority="1" operator="lessThan">
      <formula>0</formula>
    </cfRule>
  </conditionalFormatting>
  <printOptions horizontalCentered="1"/>
  <pageMargins left="0.4" right="0.4" top="0.4" bottom="0.4" header="0.3" footer="0.3"/>
  <pageSetup scale="81" fitToHeight="0" orientation="portrait" r:id="rId1"/>
  <headerFooter differentFirst="1">
    <oddFooter>Page &amp;P of &amp;N</oddFooter>
  </headerFooter>
  <ignoredErrors>
    <ignoredError sqref="J13:J21 E26 J25:J30 J36:J39 E36:E39 E43:E45 J43:J45 J49:J51 J55:J58 J64 E57:E63 E49:E53 E28:E32 J66" emptyCellReference="1"/>
  </ignoredErrors>
  <legacyDrawing r:id="rId2"/>
  <tableParts count="1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31258-7E96-4AF7-9585-6BE8A42C6484}">
  <sheetPr>
    <tabColor theme="4"/>
    <pageSetUpPr autoPageBreaks="0" fitToPage="1"/>
  </sheetPr>
  <dimension ref="A1:J70"/>
  <sheetViews>
    <sheetView showGridLines="0" topLeftCell="A24" zoomScale="85" zoomScaleNormal="85" workbookViewId="0">
      <selection activeCell="E54" sqref="E54"/>
    </sheetView>
  </sheetViews>
  <sheetFormatPr defaultRowHeight="13" x14ac:dyDescent="0.3"/>
  <cols>
    <col min="1" max="1" width="2.69921875" style="13" customWidth="1"/>
    <col min="2" max="2" width="64.69921875" bestFit="1" customWidth="1"/>
    <col min="3" max="3" width="16" customWidth="1"/>
    <col min="4" max="4" width="13" customWidth="1"/>
    <col min="5" max="5" width="13.5" bestFit="1" customWidth="1"/>
    <col min="6" max="6" width="2.69921875" customWidth="1"/>
    <col min="7" max="7" width="27.09765625" customWidth="1"/>
    <col min="8" max="8" width="16" customWidth="1"/>
    <col min="9" max="9" width="13" customWidth="1"/>
    <col min="10" max="10" width="14.296875" bestFit="1" customWidth="1"/>
    <col min="11" max="11" width="2.69921875" customWidth="1"/>
  </cols>
  <sheetData>
    <row r="1" spans="1:10" s="2" customFormat="1" ht="14.5" x14ac:dyDescent="0.35">
      <c r="A1" s="12" t="s">
        <v>74</v>
      </c>
    </row>
    <row r="2" spans="1:10" s="2" customFormat="1" ht="30.5" thickBot="1" x14ac:dyDescent="0.7">
      <c r="A2" s="12" t="s">
        <v>75</v>
      </c>
      <c r="B2" s="1" t="s">
        <v>105</v>
      </c>
      <c r="C2" s="1"/>
      <c r="D2" s="1"/>
      <c r="E2" s="1"/>
      <c r="F2" s="1"/>
      <c r="G2" s="1"/>
      <c r="H2" s="1"/>
      <c r="I2" s="1"/>
      <c r="J2" s="1"/>
    </row>
    <row r="4" spans="1:10" x14ac:dyDescent="0.3">
      <c r="A4" s="13" t="s">
        <v>77</v>
      </c>
      <c r="B4" s="33" t="s">
        <v>0</v>
      </c>
      <c r="C4" s="36" t="s">
        <v>1</v>
      </c>
      <c r="D4" s="37"/>
      <c r="E4" s="5">
        <v>85000</v>
      </c>
      <c r="G4" s="38" t="s">
        <v>97</v>
      </c>
      <c r="H4" s="39"/>
      <c r="I4" s="39"/>
      <c r="J4" s="40">
        <f>E6-J67</f>
        <v>37225</v>
      </c>
    </row>
    <row r="5" spans="1:10" x14ac:dyDescent="0.3">
      <c r="B5" s="34"/>
      <c r="C5" s="36" t="s">
        <v>111</v>
      </c>
      <c r="D5" s="37"/>
      <c r="E5" s="6">
        <v>23000</v>
      </c>
      <c r="G5" s="39"/>
      <c r="H5" s="39"/>
      <c r="I5" s="39"/>
      <c r="J5" s="40"/>
    </row>
    <row r="6" spans="1:10" x14ac:dyDescent="0.3">
      <c r="A6" s="13" t="s">
        <v>78</v>
      </c>
      <c r="B6" s="35"/>
      <c r="C6" s="36" t="s">
        <v>3</v>
      </c>
      <c r="D6" s="37"/>
      <c r="E6" s="7">
        <f>SUM(E4:E5)</f>
        <v>108000</v>
      </c>
      <c r="G6" s="38" t="s">
        <v>96</v>
      </c>
      <c r="H6" s="39"/>
      <c r="I6" s="39"/>
      <c r="J6" s="40">
        <f>E10-J67</f>
        <v>-70775</v>
      </c>
    </row>
    <row r="7" spans="1:10" x14ac:dyDescent="0.3">
      <c r="B7" s="4"/>
      <c r="C7" s="4"/>
      <c r="D7" s="4"/>
      <c r="E7" s="4"/>
      <c r="G7" s="39"/>
      <c r="H7" s="39"/>
      <c r="I7" s="39"/>
      <c r="J7" s="40"/>
    </row>
    <row r="8" spans="1:10" x14ac:dyDescent="0.3">
      <c r="A8" s="13" t="s">
        <v>79</v>
      </c>
      <c r="B8" s="33" t="s">
        <v>4</v>
      </c>
      <c r="C8" s="36" t="s">
        <v>1</v>
      </c>
      <c r="D8" s="37"/>
      <c r="E8" s="5">
        <v>0</v>
      </c>
      <c r="G8" s="38" t="s">
        <v>67</v>
      </c>
      <c r="H8" s="39"/>
      <c r="I8" s="39"/>
      <c r="J8" s="40">
        <f>J6-J4</f>
        <v>-108000</v>
      </c>
    </row>
    <row r="9" spans="1:10" x14ac:dyDescent="0.3">
      <c r="B9" s="34"/>
      <c r="C9" s="36" t="s">
        <v>2</v>
      </c>
      <c r="D9" s="37"/>
      <c r="E9" s="6">
        <v>0</v>
      </c>
      <c r="G9" s="39"/>
      <c r="H9" s="39"/>
      <c r="I9" s="39"/>
      <c r="J9" s="40"/>
    </row>
    <row r="10" spans="1:10" x14ac:dyDescent="0.3">
      <c r="B10" s="35"/>
      <c r="C10" s="36" t="s">
        <v>3</v>
      </c>
      <c r="D10" s="37"/>
      <c r="E10" s="7">
        <f>SUM(E8:E9)</f>
        <v>0</v>
      </c>
    </row>
    <row r="12" spans="1:10" x14ac:dyDescent="0.3">
      <c r="A12" s="13" t="s">
        <v>80</v>
      </c>
      <c r="B12" s="8" t="s">
        <v>5</v>
      </c>
      <c r="C12" s="8" t="s">
        <v>6</v>
      </c>
      <c r="D12" s="8" t="s">
        <v>7</v>
      </c>
      <c r="E12" s="8" t="s">
        <v>8</v>
      </c>
      <c r="G12" t="s">
        <v>9</v>
      </c>
      <c r="H12" t="s">
        <v>6</v>
      </c>
      <c r="I12" t="s">
        <v>7</v>
      </c>
      <c r="J12" t="s">
        <v>8</v>
      </c>
    </row>
    <row r="13" spans="1:10" x14ac:dyDescent="0.3">
      <c r="B13" s="8" t="s">
        <v>10</v>
      </c>
      <c r="C13" s="9">
        <v>20000</v>
      </c>
      <c r="D13" s="9">
        <v>20000</v>
      </c>
      <c r="E13" s="9">
        <f>Housing25374961731486[[#This Row],[Projected Cost]]-Housing25374961731486[[#This Row],[Actual Cost]]</f>
        <v>0</v>
      </c>
      <c r="G13" t="s">
        <v>11</v>
      </c>
      <c r="H13" s="3"/>
      <c r="I13" s="3"/>
      <c r="J13" s="3">
        <f>Entertainment26385062741587[[#This Row],[Projected Cost]]-Entertainment26385062741587[[#This Row],[Actual Cost]]</f>
        <v>0</v>
      </c>
    </row>
    <row r="14" spans="1:10" x14ac:dyDescent="0.3">
      <c r="B14" s="8" t="s">
        <v>12</v>
      </c>
      <c r="C14" s="9">
        <v>600</v>
      </c>
      <c r="D14" s="9">
        <v>600</v>
      </c>
      <c r="E14" s="9">
        <f>Housing25374961731486[[#This Row],[Projected Cost]]-Housing25374961731486[[#This Row],[Actual Cost]]</f>
        <v>0</v>
      </c>
      <c r="G14" t="s">
        <v>13</v>
      </c>
      <c r="H14" s="3"/>
      <c r="I14" s="3"/>
      <c r="J14" s="3">
        <f>Entertainment26385062741587[[#This Row],[Projected Cost]]-Entertainment26385062741587[[#This Row],[Actual Cost]]</f>
        <v>0</v>
      </c>
    </row>
    <row r="15" spans="1:10" x14ac:dyDescent="0.3">
      <c r="B15" s="8" t="s">
        <v>14</v>
      </c>
      <c r="C15" s="9">
        <v>1200</v>
      </c>
      <c r="D15" s="9">
        <v>1200</v>
      </c>
      <c r="E15" s="9">
        <f>Housing25374961731486[[#This Row],[Projected Cost]]-Housing25374961731486[[#This Row],[Actual Cost]]</f>
        <v>0</v>
      </c>
      <c r="G15" t="s">
        <v>15</v>
      </c>
      <c r="H15" s="3"/>
      <c r="I15" s="3"/>
      <c r="J15" s="3">
        <f>Entertainment26385062741587[[#This Row],[Projected Cost]]-Entertainment26385062741587[[#This Row],[Actual Cost]]</f>
        <v>0</v>
      </c>
    </row>
    <row r="16" spans="1:10" x14ac:dyDescent="0.3">
      <c r="B16" s="8" t="s">
        <v>16</v>
      </c>
      <c r="C16" s="9">
        <v>0</v>
      </c>
      <c r="D16" s="9">
        <v>0</v>
      </c>
      <c r="E16" s="9">
        <f>Housing25374961731486[[#This Row],[Projected Cost]]-Housing25374961731486[[#This Row],[Actual Cost]]</f>
        <v>0</v>
      </c>
      <c r="G16" t="s">
        <v>17</v>
      </c>
      <c r="H16" s="3"/>
      <c r="I16" s="3"/>
      <c r="J16" s="3">
        <f>Entertainment26385062741587[[#This Row],[Projected Cost]]-Entertainment26385062741587[[#This Row],[Actual Cost]]</f>
        <v>0</v>
      </c>
    </row>
    <row r="17" spans="1:10" x14ac:dyDescent="0.3">
      <c r="B17" s="8" t="s">
        <v>145</v>
      </c>
      <c r="C17" s="9">
        <v>1300</v>
      </c>
      <c r="D17" s="9">
        <v>1300</v>
      </c>
      <c r="E17" s="9">
        <f>Housing25374961731486[[#This Row],[Projected Cost]]-Housing25374961731486[[#This Row],[Actual Cost]]</f>
        <v>0</v>
      </c>
      <c r="G17" t="s">
        <v>19</v>
      </c>
      <c r="H17" s="3"/>
      <c r="I17" s="3"/>
      <c r="J17" s="3">
        <f>Entertainment26385062741587[[#This Row],[Projected Cost]]-Entertainment26385062741587[[#This Row],[Actual Cost]]</f>
        <v>0</v>
      </c>
    </row>
    <row r="18" spans="1:10" x14ac:dyDescent="0.3">
      <c r="B18" s="8" t="s">
        <v>20</v>
      </c>
      <c r="C18" s="9">
        <v>1000</v>
      </c>
      <c r="D18" s="9">
        <v>1000</v>
      </c>
      <c r="E18" s="9">
        <f>Housing25374961731486[[#This Row],[Projected Cost]]-Housing25374961731486[[#This Row],[Actual Cost]]</f>
        <v>0</v>
      </c>
      <c r="G18" t="s">
        <v>21</v>
      </c>
      <c r="H18" s="3"/>
      <c r="I18" s="3"/>
      <c r="J18" s="3">
        <f>Entertainment26385062741587[[#This Row],[Projected Cost]]-Entertainment26385062741587[[#This Row],[Actual Cost]]</f>
        <v>0</v>
      </c>
    </row>
    <row r="19" spans="1:10" x14ac:dyDescent="0.3">
      <c r="B19" s="8" t="s">
        <v>22</v>
      </c>
      <c r="C19" s="9">
        <v>0</v>
      </c>
      <c r="D19" s="9">
        <v>0</v>
      </c>
      <c r="E19" s="9">
        <f>Housing25374961731486[[#This Row],[Projected Cost]]-Housing25374961731486[[#This Row],[Actual Cost]]</f>
        <v>0</v>
      </c>
      <c r="G19" t="s">
        <v>23</v>
      </c>
      <c r="H19" s="3"/>
      <c r="I19" s="3"/>
      <c r="J19" s="3">
        <f>Entertainment26385062741587[[#This Row],[Projected Cost]]-Entertainment26385062741587[[#This Row],[Actual Cost]]</f>
        <v>0</v>
      </c>
    </row>
    <row r="20" spans="1:10" x14ac:dyDescent="0.3">
      <c r="B20" s="8" t="s">
        <v>24</v>
      </c>
      <c r="C20" s="9">
        <v>0</v>
      </c>
      <c r="D20" s="9">
        <v>0</v>
      </c>
      <c r="E20" s="9">
        <f>Housing25374961731486[[#This Row],[Projected Cost]]-Housing25374961731486[[#This Row],[Actual Cost]]</f>
        <v>0</v>
      </c>
      <c r="G20" t="s">
        <v>23</v>
      </c>
      <c r="H20" s="3"/>
      <c r="I20" s="3"/>
      <c r="J20" s="3">
        <f>Entertainment26385062741587[[#This Row],[Projected Cost]]-Entertainment26385062741587[[#This Row],[Actual Cost]]</f>
        <v>0</v>
      </c>
    </row>
    <row r="21" spans="1:10" x14ac:dyDescent="0.3">
      <c r="B21" s="8" t="s">
        <v>25</v>
      </c>
      <c r="C21" s="9">
        <v>0</v>
      </c>
      <c r="D21" s="9">
        <v>0</v>
      </c>
      <c r="E21" s="9">
        <f>Housing25374961731486[[#This Row],[Projected Cost]]-Housing25374961731486[[#This Row],[Actual Cost]]</f>
        <v>0</v>
      </c>
      <c r="G21" t="s">
        <v>23</v>
      </c>
      <c r="H21" s="3"/>
      <c r="I21" s="3"/>
      <c r="J21" s="3">
        <f>Entertainment26385062741587[[#This Row],[Projected Cost]]-Entertainment26385062741587[[#This Row],[Actual Cost]]</f>
        <v>0</v>
      </c>
    </row>
    <row r="22" spans="1:10" x14ac:dyDescent="0.3">
      <c r="B22" s="8" t="s">
        <v>23</v>
      </c>
      <c r="C22" s="9">
        <v>0</v>
      </c>
      <c r="D22" s="9">
        <v>0</v>
      </c>
      <c r="E22" s="9">
        <f>Housing25374961731486[[#This Row],[Projected Cost]]-Housing25374961731486[[#This Row],[Actual Cost]]</f>
        <v>0</v>
      </c>
      <c r="G22" t="s">
        <v>66</v>
      </c>
      <c r="H22" s="3"/>
      <c r="I22" s="3"/>
      <c r="J22" s="3">
        <f>SUBTOTAL(109,Entertainment26385062741587[Difference])</f>
        <v>0</v>
      </c>
    </row>
    <row r="23" spans="1:10" x14ac:dyDescent="0.3">
      <c r="B23" s="8" t="s">
        <v>66</v>
      </c>
      <c r="C23" s="9">
        <f>SUBTOTAL(109,Housing25374961731486[Projected Cost])</f>
        <v>24100</v>
      </c>
      <c r="D23" s="9">
        <f>SUBTOTAL(109,Housing25374961731486[Actual Cost])</f>
        <v>24100</v>
      </c>
      <c r="E23" s="9">
        <f>SUBTOTAL(109,Housing25374961731486[Difference])</f>
        <v>0</v>
      </c>
      <c r="G23" s="41"/>
      <c r="H23" s="41"/>
      <c r="I23" s="41"/>
      <c r="J23" s="41"/>
    </row>
    <row r="24" spans="1:10" x14ac:dyDescent="0.3">
      <c r="B24" s="41"/>
      <c r="C24" s="41"/>
      <c r="D24" s="41"/>
      <c r="E24" s="41"/>
      <c r="G24" t="s">
        <v>26</v>
      </c>
      <c r="H24" t="s">
        <v>6</v>
      </c>
      <c r="I24" t="s">
        <v>7</v>
      </c>
      <c r="J24" t="s">
        <v>8</v>
      </c>
    </row>
    <row r="25" spans="1:10" x14ac:dyDescent="0.3">
      <c r="A25" s="13" t="s">
        <v>81</v>
      </c>
      <c r="B25" t="s">
        <v>27</v>
      </c>
      <c r="C25" t="s">
        <v>6</v>
      </c>
      <c r="D25" t="s">
        <v>7</v>
      </c>
      <c r="E25" t="s">
        <v>8</v>
      </c>
      <c r="G25" t="s">
        <v>123</v>
      </c>
      <c r="H25" s="3">
        <v>0</v>
      </c>
      <c r="I25" s="3">
        <v>0</v>
      </c>
      <c r="J25" s="3">
        <f>Loans27395163751688[[#This Row],[Projected Cost]]-Loans27395163751688[[#This Row],[Actual Cost]]</f>
        <v>0</v>
      </c>
    </row>
    <row r="26" spans="1:10" x14ac:dyDescent="0.3">
      <c r="B26" t="s">
        <v>29</v>
      </c>
      <c r="C26" s="3">
        <v>3800</v>
      </c>
      <c r="D26" s="3">
        <v>3800</v>
      </c>
      <c r="E26" s="3">
        <f>Transportation28405264761789[[#This Row],[Projected Cost]]-Transportation28405264761789[[#This Row],[Actual Cost]]</f>
        <v>0</v>
      </c>
      <c r="G26" t="s">
        <v>155</v>
      </c>
      <c r="H26" s="3">
        <v>0</v>
      </c>
      <c r="I26" s="3">
        <v>0</v>
      </c>
      <c r="J26" s="3">
        <f>Loans27395163751688[[#This Row],[Projected Cost]]-Loans27395163751688[[#This Row],[Actual Cost]]</f>
        <v>0</v>
      </c>
    </row>
    <row r="27" spans="1:10" x14ac:dyDescent="0.3">
      <c r="B27" t="s">
        <v>30</v>
      </c>
      <c r="C27" s="3">
        <v>0</v>
      </c>
      <c r="D27" s="3">
        <v>0</v>
      </c>
      <c r="E27" s="3">
        <v>0</v>
      </c>
      <c r="G27" t="s">
        <v>88</v>
      </c>
      <c r="H27" s="3">
        <v>0</v>
      </c>
      <c r="I27" s="3">
        <v>0</v>
      </c>
      <c r="J27" s="3">
        <f>Loans27395163751688[[#This Row],[Projected Cost]]-Loans27395163751688[[#This Row],[Actual Cost]]</f>
        <v>0</v>
      </c>
    </row>
    <row r="28" spans="1:10" x14ac:dyDescent="0.3">
      <c r="B28" t="s">
        <v>31</v>
      </c>
      <c r="C28" s="3">
        <v>0</v>
      </c>
      <c r="D28" s="3">
        <v>0</v>
      </c>
      <c r="E28" s="3">
        <f>Transportation28405264761789[[#This Row],[Projected Cost]]-Transportation28405264761789[[#This Row],[Actual Cost]]</f>
        <v>0</v>
      </c>
      <c r="G28" t="s">
        <v>89</v>
      </c>
      <c r="H28" s="3">
        <v>0</v>
      </c>
      <c r="I28" s="3">
        <v>0</v>
      </c>
      <c r="J28" s="3">
        <f>Loans27395163751688[[#This Row],[Projected Cost]]-Loans27395163751688[[#This Row],[Actual Cost]]</f>
        <v>0</v>
      </c>
    </row>
    <row r="29" spans="1:10" x14ac:dyDescent="0.3">
      <c r="B29" t="s">
        <v>32</v>
      </c>
      <c r="C29" s="3">
        <v>0</v>
      </c>
      <c r="D29" s="3">
        <v>0</v>
      </c>
      <c r="E29" s="3">
        <f>Transportation28405264761789[[#This Row],[Projected Cost]]-Transportation28405264761789[[#This Row],[Actual Cost]]</f>
        <v>0</v>
      </c>
      <c r="G29" t="s">
        <v>118</v>
      </c>
      <c r="H29" s="3">
        <v>0</v>
      </c>
      <c r="I29" s="3">
        <v>0</v>
      </c>
      <c r="J29" s="3">
        <f>Loans27395163751688[[#This Row],[Projected Cost]]-Loans27395163751688[[#This Row],[Actual Cost]]</f>
        <v>0</v>
      </c>
    </row>
    <row r="30" spans="1:10" x14ac:dyDescent="0.3">
      <c r="B30" t="s">
        <v>33</v>
      </c>
      <c r="C30" s="3">
        <v>1500</v>
      </c>
      <c r="D30" s="3">
        <v>1500</v>
      </c>
      <c r="E30" s="3">
        <f>Transportation28405264761789[[#This Row],[Projected Cost]]-Transportation28405264761789[[#This Row],[Actual Cost]]</f>
        <v>0</v>
      </c>
      <c r="G30" t="s">
        <v>119</v>
      </c>
      <c r="H30" s="3">
        <v>0</v>
      </c>
      <c r="I30" s="3">
        <v>0</v>
      </c>
      <c r="J30" s="3">
        <f>Loans27395163751688[[#This Row],[Projected Cost]]-Loans27395163751688[[#This Row],[Actual Cost]]</f>
        <v>0</v>
      </c>
    </row>
    <row r="31" spans="1:10" x14ac:dyDescent="0.3">
      <c r="B31" t="s">
        <v>34</v>
      </c>
      <c r="C31" s="3">
        <v>0</v>
      </c>
      <c r="D31" s="3">
        <v>0</v>
      </c>
      <c r="E31" s="3">
        <f>Transportation28405264761789[[#This Row],[Projected Cost]]-Transportation28405264761789[[#This Row],[Actual Cost]]</f>
        <v>0</v>
      </c>
      <c r="G31" t="s">
        <v>120</v>
      </c>
      <c r="H31" s="3">
        <v>0</v>
      </c>
      <c r="I31" s="3">
        <v>0</v>
      </c>
      <c r="J31" s="3">
        <f>Loans27395163751688[[#This Row],[Projected Cost]]-Loans27395163751688[[#This Row],[Actual Cost]]</f>
        <v>0</v>
      </c>
    </row>
    <row r="32" spans="1:10" x14ac:dyDescent="0.3">
      <c r="B32" t="s">
        <v>23</v>
      </c>
      <c r="C32" s="3">
        <v>0</v>
      </c>
      <c r="D32" s="3">
        <v>0</v>
      </c>
      <c r="E32" s="3">
        <f>Transportation28405264761789[[#This Row],[Projected Cost]]-Transportation28405264761789[[#This Row],[Actual Cost]]</f>
        <v>0</v>
      </c>
      <c r="G32" t="s">
        <v>127</v>
      </c>
      <c r="H32" s="3">
        <v>5375</v>
      </c>
      <c r="I32" s="3">
        <v>5375</v>
      </c>
      <c r="J32" s="3">
        <f>Loans27395163751688[[#This Row],[Projected Cost]]-Loans27395163751688[[#This Row],[Actual Cost]]</f>
        <v>0</v>
      </c>
    </row>
    <row r="33" spans="1:10" x14ac:dyDescent="0.3">
      <c r="B33" t="s">
        <v>66</v>
      </c>
      <c r="C33" s="3">
        <f>SUBTOTAL(109,Transportation28405264761789[Projected Cost])</f>
        <v>5300</v>
      </c>
      <c r="D33" s="3">
        <f>SUBTOTAL(109,Transportation28405264761789[Actual Cost])</f>
        <v>5300</v>
      </c>
      <c r="E33" s="3">
        <f>SUBTOTAL(109,Transportation28405264761789[Difference])</f>
        <v>0</v>
      </c>
      <c r="G33" t="s">
        <v>166</v>
      </c>
      <c r="H33" s="3">
        <v>3000</v>
      </c>
      <c r="I33" s="3">
        <v>3000</v>
      </c>
      <c r="J33" s="3">
        <f>Loans27395163751688[[#This Row],[Projected Cost]]-Loans27395163751688[[#This Row],[Actual Cost]]</f>
        <v>0</v>
      </c>
    </row>
    <row r="34" spans="1:10" x14ac:dyDescent="0.3">
      <c r="B34" s="41"/>
      <c r="C34" s="41"/>
      <c r="D34" s="41"/>
      <c r="E34" s="41"/>
      <c r="G34" t="s">
        <v>121</v>
      </c>
      <c r="H34" s="3">
        <v>30000</v>
      </c>
      <c r="I34" s="3">
        <v>30000</v>
      </c>
      <c r="J34" s="3">
        <f>Loans27395163751688[[#This Row],[Projected Cost]]-Loans27395163751688[[#This Row],[Actual Cost]]</f>
        <v>0</v>
      </c>
    </row>
    <row r="35" spans="1:10" x14ac:dyDescent="0.3">
      <c r="A35" s="13" t="s">
        <v>82</v>
      </c>
      <c r="B35" t="s">
        <v>37</v>
      </c>
      <c r="C35" t="s">
        <v>6</v>
      </c>
      <c r="D35" t="s">
        <v>7</v>
      </c>
      <c r="E35" t="s">
        <v>8</v>
      </c>
      <c r="G35" t="s">
        <v>122</v>
      </c>
      <c r="H35" s="3">
        <v>0</v>
      </c>
      <c r="I35" s="3">
        <v>0</v>
      </c>
      <c r="J35" s="3">
        <f>Loans27395163751688[[#This Row],[Projected Cost]]-Loans27395163751688[[#This Row],[Actual Cost]]</f>
        <v>0</v>
      </c>
    </row>
    <row r="36" spans="1:10" x14ac:dyDescent="0.3">
      <c r="B36" t="s">
        <v>39</v>
      </c>
      <c r="C36" s="3"/>
      <c r="D36" s="3"/>
      <c r="E36" s="3">
        <f>Insurance29415365771890[[#This Row],[Projected Cost]]-Insurance29415365771890[[#This Row],[Actual Cost]]</f>
        <v>0</v>
      </c>
      <c r="G36" t="s">
        <v>110</v>
      </c>
      <c r="H36" s="3">
        <v>0</v>
      </c>
      <c r="I36" s="3">
        <v>0</v>
      </c>
      <c r="J36" s="3">
        <f>Loans27395163751688[[#This Row],[Projected Cost]]-Loans27395163751688[[#This Row],[Actual Cost]]</f>
        <v>0</v>
      </c>
    </row>
    <row r="37" spans="1:10" x14ac:dyDescent="0.3">
      <c r="A37" s="13" t="s">
        <v>156</v>
      </c>
      <c r="B37" t="s">
        <v>41</v>
      </c>
      <c r="C37" s="3"/>
      <c r="D37" s="3"/>
      <c r="E37" s="3">
        <f>Insurance29415365771890[[#This Row],[Projected Cost]]-Insurance29415365771890[[#This Row],[Actual Cost]]</f>
        <v>0</v>
      </c>
      <c r="G37" t="s">
        <v>66</v>
      </c>
      <c r="H37" s="3">
        <f>SUBTOTAL(109,Loans27395163751688[Projected Cost])</f>
        <v>38375</v>
      </c>
      <c r="I37" s="3">
        <f>SUBTOTAL(109,Loans27395163751688[Actual Cost])</f>
        <v>38375</v>
      </c>
      <c r="J37" s="3">
        <f>SUBTOTAL(109,Loans27395163751688[Difference])</f>
        <v>0</v>
      </c>
    </row>
    <row r="38" spans="1:10" x14ac:dyDescent="0.3">
      <c r="B38" t="s">
        <v>42</v>
      </c>
      <c r="C38" s="3"/>
      <c r="D38" s="3"/>
      <c r="E38" s="3">
        <f>Insurance29415365771890[[#This Row],[Projected Cost]]-Insurance29415365771890[[#This Row],[Actual Cost]]</f>
        <v>0</v>
      </c>
      <c r="G38" s="41"/>
      <c r="H38" s="41"/>
      <c r="I38" s="41"/>
      <c r="J38" s="41"/>
    </row>
    <row r="39" spans="1:10" x14ac:dyDescent="0.3">
      <c r="B39" t="s">
        <v>23</v>
      </c>
      <c r="C39" s="3"/>
      <c r="D39" s="3"/>
      <c r="E39" s="3">
        <f>Insurance29415365771890[[#This Row],[Projected Cost]]-Insurance29415365771890[[#This Row],[Actual Cost]]</f>
        <v>0</v>
      </c>
      <c r="G39" t="s">
        <v>35</v>
      </c>
      <c r="H39" t="s">
        <v>6</v>
      </c>
      <c r="I39" t="s">
        <v>7</v>
      </c>
      <c r="J39" t="s">
        <v>8</v>
      </c>
    </row>
    <row r="40" spans="1:10" x14ac:dyDescent="0.3">
      <c r="B40" t="s">
        <v>66</v>
      </c>
      <c r="C40" s="3"/>
      <c r="D40" s="3"/>
      <c r="E40" s="3">
        <f>SUBTOTAL(109,Insurance29415365771890[Difference])</f>
        <v>0</v>
      </c>
      <c r="G40" t="s">
        <v>36</v>
      </c>
      <c r="H40" s="3"/>
      <c r="I40" s="3"/>
      <c r="J40" s="3">
        <f>Taxes30425466781991[[#This Row],[Projected Cost]]-Taxes30425466781991[[#This Row],[Actual Cost]]</f>
        <v>0</v>
      </c>
    </row>
    <row r="41" spans="1:10" x14ac:dyDescent="0.3">
      <c r="B41" s="41"/>
      <c r="C41" s="41"/>
      <c r="D41" s="41"/>
      <c r="E41" s="41"/>
      <c r="G41" t="s">
        <v>38</v>
      </c>
      <c r="H41" s="3"/>
      <c r="I41" s="3"/>
      <c r="J41" s="3">
        <f>Taxes30425466781991[[#This Row],[Projected Cost]]-Taxes30425466781991[[#This Row],[Actual Cost]]</f>
        <v>0</v>
      </c>
    </row>
    <row r="42" spans="1:10" x14ac:dyDescent="0.3">
      <c r="A42" s="13" t="s">
        <v>83</v>
      </c>
      <c r="B42" t="s">
        <v>45</v>
      </c>
      <c r="C42" t="s">
        <v>6</v>
      </c>
      <c r="D42" t="s">
        <v>7</v>
      </c>
      <c r="E42" t="s">
        <v>8</v>
      </c>
      <c r="G42" t="s">
        <v>40</v>
      </c>
      <c r="H42" s="3"/>
      <c r="I42" s="3"/>
      <c r="J42" s="3">
        <f>Taxes30425466781991[[#This Row],[Projected Cost]]-Taxes30425466781991[[#This Row],[Actual Cost]]</f>
        <v>0</v>
      </c>
    </row>
    <row r="43" spans="1:10" x14ac:dyDescent="0.3">
      <c r="B43" t="s">
        <v>47</v>
      </c>
      <c r="C43" s="3">
        <v>300</v>
      </c>
      <c r="D43" s="3">
        <v>300</v>
      </c>
      <c r="E43" s="3">
        <f>Food32445668802193[[#This Row],[Projected Cost]]-Food32445668802193[[#This Row],[Actual Cost]]</f>
        <v>0</v>
      </c>
      <c r="G43" t="s">
        <v>23</v>
      </c>
      <c r="H43" s="3"/>
      <c r="I43" s="3"/>
      <c r="J43" s="3">
        <f>Taxes30425466781991[[#This Row],[Projected Cost]]-Taxes30425466781991[[#This Row],[Actual Cost]]</f>
        <v>0</v>
      </c>
    </row>
    <row r="44" spans="1:10" x14ac:dyDescent="0.3">
      <c r="B44" t="s">
        <v>94</v>
      </c>
      <c r="C44" s="3">
        <v>700</v>
      </c>
      <c r="D44" s="3">
        <v>700</v>
      </c>
      <c r="E44" s="3">
        <f>Food32445668802193[[#This Row],[Projected Cost]]-Food32445668802193[[#This Row],[Actual Cost]]</f>
        <v>0</v>
      </c>
      <c r="G44" t="s">
        <v>66</v>
      </c>
      <c r="H44" s="3"/>
      <c r="I44" s="3"/>
      <c r="J44" s="3">
        <f>SUBTOTAL(109,Taxes30425466781991[Difference])</f>
        <v>0</v>
      </c>
    </row>
    <row r="45" spans="1:10" x14ac:dyDescent="0.3">
      <c r="B45" t="s">
        <v>98</v>
      </c>
      <c r="C45" s="3">
        <v>2000</v>
      </c>
      <c r="D45" s="3">
        <v>2000</v>
      </c>
      <c r="E45" s="3">
        <f>Food32445668802193[[#This Row],[Projected Cost]]-Food32445668802193[[#This Row],[Actual Cost]]</f>
        <v>0</v>
      </c>
      <c r="G45" s="41"/>
      <c r="H45" s="41"/>
      <c r="I45" s="41"/>
      <c r="J45" s="41"/>
    </row>
    <row r="46" spans="1:10" x14ac:dyDescent="0.3">
      <c r="B46" t="s">
        <v>66</v>
      </c>
      <c r="C46" s="3">
        <f>SUBTOTAL(109,Food32445668802193[Projected Cost])</f>
        <v>3000</v>
      </c>
      <c r="D46" s="3">
        <f>SUBTOTAL(109,Food32445668802193[Actual Cost])</f>
        <v>3000</v>
      </c>
      <c r="E46" s="3">
        <f>SUBTOTAL(109,Food32445668802193[Difference])</f>
        <v>0</v>
      </c>
      <c r="G46" t="s">
        <v>43</v>
      </c>
      <c r="H46" t="s">
        <v>6</v>
      </c>
      <c r="I46" t="s">
        <v>7</v>
      </c>
      <c r="J46" t="s">
        <v>8</v>
      </c>
    </row>
    <row r="47" spans="1:10" x14ac:dyDescent="0.3">
      <c r="B47" s="41"/>
      <c r="C47" s="41"/>
      <c r="D47" s="41"/>
      <c r="E47" s="41"/>
      <c r="G47" t="s">
        <v>44</v>
      </c>
      <c r="H47" s="3"/>
      <c r="I47" s="3"/>
      <c r="J47" s="3">
        <f>Savings31435567792092[[#This Row],[Projected Cost]]-Savings31435567792092[[#This Row],[Actual Cost]]</f>
        <v>0</v>
      </c>
    </row>
    <row r="48" spans="1:10" x14ac:dyDescent="0.3">
      <c r="A48" s="13" t="s">
        <v>84</v>
      </c>
      <c r="B48" t="s">
        <v>50</v>
      </c>
      <c r="C48" t="s">
        <v>6</v>
      </c>
      <c r="D48" t="s">
        <v>7</v>
      </c>
      <c r="E48" t="s">
        <v>8</v>
      </c>
      <c r="G48" t="s">
        <v>46</v>
      </c>
      <c r="H48" s="3"/>
      <c r="I48" s="3"/>
      <c r="J48" s="3">
        <f>Savings31435567792092[[#This Row],[Projected Cost]]-Savings31435567792092[[#This Row],[Actual Cost]]</f>
        <v>0</v>
      </c>
    </row>
    <row r="49" spans="1:10" x14ac:dyDescent="0.3">
      <c r="B49" t="s">
        <v>52</v>
      </c>
      <c r="C49" s="3"/>
      <c r="D49" s="3"/>
      <c r="E49" s="3">
        <f>Pets34465870822395[[#This Row],[Projected Cost]]-Pets34465870822395[[#This Row],[Actual Cost]]</f>
        <v>0</v>
      </c>
      <c r="G49" t="s">
        <v>91</v>
      </c>
      <c r="H49" s="3">
        <v>0</v>
      </c>
      <c r="I49" s="3">
        <v>0</v>
      </c>
      <c r="J49" s="3">
        <f>Savings31435567792092[[#This Row],[Projected Cost]]-Savings31435567792092[[#This Row],[Actual Cost]]</f>
        <v>0</v>
      </c>
    </row>
    <row r="50" spans="1:10" x14ac:dyDescent="0.3">
      <c r="B50" t="s">
        <v>54</v>
      </c>
      <c r="C50" s="3"/>
      <c r="D50" s="3"/>
      <c r="E50" s="3">
        <f>Pets34465870822395[[#This Row],[Projected Cost]]-Pets34465870822395[[#This Row],[Actual Cost]]</f>
        <v>0</v>
      </c>
      <c r="G50" t="s">
        <v>66</v>
      </c>
      <c r="H50" s="3">
        <f>SUBTOTAL(109,Savings31435567792092[Projected Cost])</f>
        <v>0</v>
      </c>
      <c r="I50" s="3">
        <f>SUBTOTAL(109,Savings31435567792092[Actual Cost])</f>
        <v>0</v>
      </c>
      <c r="J50" s="3">
        <f>SUBTOTAL(109,Savings31435567792092[Difference])</f>
        <v>0</v>
      </c>
    </row>
    <row r="51" spans="1:10" x14ac:dyDescent="0.3">
      <c r="B51" t="s">
        <v>55</v>
      </c>
      <c r="C51" s="3"/>
      <c r="D51" s="3"/>
      <c r="E51" s="3">
        <f>Pets34465870822395[[#This Row],[Projected Cost]]-Pets34465870822395[[#This Row],[Actual Cost]]</f>
        <v>0</v>
      </c>
      <c r="G51" s="41"/>
      <c r="H51" s="41"/>
      <c r="I51" s="41"/>
      <c r="J51" s="41"/>
    </row>
    <row r="52" spans="1:10" x14ac:dyDescent="0.3">
      <c r="B52" t="s">
        <v>56</v>
      </c>
      <c r="C52" s="3"/>
      <c r="D52" s="3"/>
      <c r="E52" s="3">
        <f>Pets34465870822395[[#This Row],[Projected Cost]]-Pets34465870822395[[#This Row],[Actual Cost]]</f>
        <v>0</v>
      </c>
      <c r="G52" t="s">
        <v>48</v>
      </c>
      <c r="H52" t="s">
        <v>6</v>
      </c>
      <c r="I52" t="s">
        <v>7</v>
      </c>
      <c r="J52" t="s">
        <v>8</v>
      </c>
    </row>
    <row r="53" spans="1:10" x14ac:dyDescent="0.3">
      <c r="B53" t="s">
        <v>23</v>
      </c>
      <c r="C53" s="3"/>
      <c r="D53" s="3"/>
      <c r="E53" s="3">
        <f>Pets34465870822395[[#This Row],[Projected Cost]]-Pets34465870822395[[#This Row],[Actual Cost]]</f>
        <v>0</v>
      </c>
      <c r="G53" t="s">
        <v>49</v>
      </c>
      <c r="H53" s="3"/>
      <c r="I53" s="3"/>
      <c r="J53" s="3">
        <f>Gifts33455769812294[[#This Row],[Projected Cost]]-Gifts33455769812294[[#This Row],[Actual Cost]]</f>
        <v>0</v>
      </c>
    </row>
    <row r="54" spans="1:10" x14ac:dyDescent="0.3">
      <c r="B54" t="s">
        <v>66</v>
      </c>
      <c r="C54" s="3"/>
      <c r="D54" s="3"/>
      <c r="E54" s="3">
        <f>SUBTOTAL(109,Pets34465870822395[Difference])</f>
        <v>0</v>
      </c>
      <c r="G54" t="s">
        <v>51</v>
      </c>
      <c r="H54" s="3"/>
      <c r="I54" s="3"/>
      <c r="J54" s="3">
        <f>Gifts33455769812294[[#This Row],[Projected Cost]]-Gifts33455769812294[[#This Row],[Actual Cost]]</f>
        <v>0</v>
      </c>
    </row>
    <row r="55" spans="1:10" x14ac:dyDescent="0.3">
      <c r="B55" s="41"/>
      <c r="C55" s="41"/>
      <c r="D55" s="41"/>
      <c r="E55" s="41"/>
      <c r="G55" t="s">
        <v>53</v>
      </c>
      <c r="H55" s="3"/>
      <c r="I55" s="3"/>
      <c r="J55" s="3">
        <f>Gifts33455769812294[[#This Row],[Projected Cost]]-Gifts33455769812294[[#This Row],[Actual Cost]]</f>
        <v>0</v>
      </c>
    </row>
    <row r="56" spans="1:10" x14ac:dyDescent="0.3">
      <c r="A56" s="13" t="s">
        <v>85</v>
      </c>
      <c r="B56" s="8" t="s">
        <v>57</v>
      </c>
      <c r="C56" s="8" t="s">
        <v>114</v>
      </c>
      <c r="D56" s="8" t="s">
        <v>7</v>
      </c>
      <c r="E56" s="8" t="s">
        <v>8</v>
      </c>
      <c r="G56" t="s">
        <v>66</v>
      </c>
      <c r="H56" s="3"/>
      <c r="I56" s="3"/>
      <c r="J56" s="3">
        <f>SUBTOTAL(109,Gifts33455769812294[Difference])</f>
        <v>0</v>
      </c>
    </row>
    <row r="57" spans="1:10" x14ac:dyDescent="0.3">
      <c r="B57" s="8" t="s">
        <v>54</v>
      </c>
      <c r="C57" s="9"/>
      <c r="D57" s="9"/>
      <c r="E57" s="9">
        <f>PersonalCare36486072848597[[#This Row],[z]]-PersonalCare36486072848597[[#This Row],[Actual Cost]]</f>
        <v>0</v>
      </c>
      <c r="G57" s="41"/>
      <c r="H57" s="41"/>
      <c r="I57" s="41"/>
      <c r="J57" s="41"/>
    </row>
    <row r="58" spans="1:10" x14ac:dyDescent="0.3">
      <c r="B58" s="8" t="s">
        <v>58</v>
      </c>
      <c r="C58" s="9"/>
      <c r="D58" s="9"/>
      <c r="E58" s="9">
        <f>PersonalCare36486072848597[[#This Row],[z]]-PersonalCare36486072848597[[#This Row],[Actual Cost]]</f>
        <v>0</v>
      </c>
      <c r="G58" t="s">
        <v>106</v>
      </c>
      <c r="H58" t="s">
        <v>6</v>
      </c>
      <c r="I58" t="s">
        <v>7</v>
      </c>
      <c r="J58" t="s">
        <v>8</v>
      </c>
    </row>
    <row r="59" spans="1:10" x14ac:dyDescent="0.3">
      <c r="A59" s="13" t="s">
        <v>86</v>
      </c>
      <c r="B59" s="8" t="s">
        <v>59</v>
      </c>
      <c r="C59" s="9"/>
      <c r="D59" s="9"/>
      <c r="E59" s="9">
        <f>PersonalCare36486072848597[[#This Row],[z]]-PersonalCare36486072848597[[#This Row],[Actual Cost]]</f>
        <v>0</v>
      </c>
      <c r="G59" t="s">
        <v>107</v>
      </c>
      <c r="H59" s="3">
        <v>0</v>
      </c>
      <c r="I59" s="3">
        <v>0</v>
      </c>
      <c r="J59" s="3">
        <f>Legal35475971832496[[#This Row],[Projected Cost]]-Legal35475971832496[[#This Row],[Actual Cost]]</f>
        <v>0</v>
      </c>
    </row>
    <row r="60" spans="1:10" x14ac:dyDescent="0.3">
      <c r="B60" s="8" t="s">
        <v>61</v>
      </c>
      <c r="C60" s="9"/>
      <c r="D60" s="9"/>
      <c r="E60" s="9">
        <f>PersonalCare36486072848597[[#This Row],[z]]-PersonalCare36486072848597[[#This Row],[Actual Cost]]</f>
        <v>0</v>
      </c>
      <c r="H60" s="3"/>
      <c r="I60" s="3"/>
      <c r="J60" s="3">
        <f>Legal35475971832496[[#This Row],[Projected Cost]]-Legal35475971832496[[#This Row],[Actual Cost]]</f>
        <v>0</v>
      </c>
    </row>
    <row r="61" spans="1:10" x14ac:dyDescent="0.3">
      <c r="B61" s="8" t="s">
        <v>62</v>
      </c>
      <c r="C61" s="9"/>
      <c r="D61" s="9"/>
      <c r="E61" s="9">
        <f>PersonalCare36486072848597[[#This Row],[z]]-PersonalCare36486072848597[[#This Row],[Actual Cost]]</f>
        <v>0</v>
      </c>
      <c r="H61" s="3"/>
      <c r="I61" s="3"/>
      <c r="J61" s="3">
        <f>Legal35475971832496[[#This Row],[Projected Cost]]-Legal35475971832496[[#This Row],[Actual Cost]]</f>
        <v>0</v>
      </c>
    </row>
    <row r="62" spans="1:10" x14ac:dyDescent="0.3">
      <c r="B62" s="8" t="s">
        <v>64</v>
      </c>
      <c r="C62" s="9"/>
      <c r="D62" s="9"/>
      <c r="E62" s="9">
        <f>PersonalCare36486072848597[[#This Row],[z]]-PersonalCare36486072848597[[#This Row],[Actual Cost]]</f>
        <v>0</v>
      </c>
      <c r="H62" s="3"/>
      <c r="I62" s="3"/>
      <c r="J62" s="3">
        <f>Legal35475971832496[[#This Row],[Projected Cost]]-Legal35475971832496[[#This Row],[Actual Cost]]</f>
        <v>0</v>
      </c>
    </row>
    <row r="63" spans="1:10" x14ac:dyDescent="0.3">
      <c r="B63" s="8" t="s">
        <v>23</v>
      </c>
      <c r="C63" s="9"/>
      <c r="D63" s="9"/>
      <c r="E63" s="9">
        <f>PersonalCare36486072848597[[#This Row],[z]]-PersonalCare36486072848597[[#This Row],[Actual Cost]]</f>
        <v>0</v>
      </c>
      <c r="G63" t="s">
        <v>66</v>
      </c>
      <c r="H63" s="3">
        <f>SUBTOTAL(109,Legal35475971832496[Projected Cost])</f>
        <v>0</v>
      </c>
      <c r="I63" s="3">
        <f>SUBTOTAL(109,Legal35475971832496[Actual Cost])</f>
        <v>0</v>
      </c>
      <c r="J63" s="3">
        <f>SUBTOTAL(109,Legal35475971832496[Difference])</f>
        <v>0</v>
      </c>
    </row>
    <row r="64" spans="1:10" x14ac:dyDescent="0.3">
      <c r="B64" s="8" t="s">
        <v>66</v>
      </c>
      <c r="C64" s="9"/>
      <c r="D64" s="9"/>
      <c r="E64" s="9">
        <f>SUBTOTAL(109,PersonalCare36486072848597[Difference])</f>
        <v>0</v>
      </c>
      <c r="G64" s="41"/>
      <c r="H64" s="41"/>
      <c r="I64" s="41"/>
      <c r="J64" s="41"/>
    </row>
    <row r="65" spans="2:10" x14ac:dyDescent="0.3">
      <c r="B65" s="41"/>
      <c r="C65" s="41"/>
      <c r="D65" s="41"/>
      <c r="E65" s="41"/>
      <c r="G65" s="42" t="s">
        <v>60</v>
      </c>
      <c r="H65" s="42"/>
      <c r="I65" s="42"/>
      <c r="J65" s="40">
        <f>SUBTOTAL(109,Housing25374961731486[Projected Cost],Transportation28405264761789[Projected Cost],Insurance29415365771890[Projected Cost],Food32445668802193[Projected Cost],Pets34465870822395[Projected Cost],PersonalCare36486072848597[z],Entertainment26385062741587[Projected Cost],Loans27395163751688[Projected Cost],Taxes30425466781991[Projected Cost],Savings31435567792092[Projected Cost],Gifts33455769812294[Projected Cost],Legal35475971832496[Projected Cost])</f>
        <v>70775</v>
      </c>
    </row>
    <row r="66" spans="2:10" x14ac:dyDescent="0.3">
      <c r="G66" s="42"/>
      <c r="H66" s="42"/>
      <c r="I66" s="42"/>
      <c r="J66" s="40"/>
    </row>
    <row r="67" spans="2:10" x14ac:dyDescent="0.3">
      <c r="G67" s="42" t="s">
        <v>63</v>
      </c>
      <c r="H67" s="42"/>
      <c r="I67" s="42"/>
      <c r="J67" s="40">
        <f>SUBTOTAL(109,Housing25374961731486[Actual Cost],Transportation28405264761789[Actual Cost],Insurance29415365771890[Actual Cost],Food32445668802193[Actual Cost],Pets34465870822395[Actual Cost],PersonalCare36486072848597[Actual Cost],Entertainment26385062741587[Actual Cost],Loans27395163751688[Actual Cost],Taxes30425466781991[Actual Cost],Savings31435567792092[Actual Cost],Gifts33455769812294[Actual Cost],Legal35475971832496[Actual Cost])</f>
        <v>70775</v>
      </c>
    </row>
    <row r="68" spans="2:10" x14ac:dyDescent="0.3">
      <c r="G68" s="42"/>
      <c r="H68" s="42"/>
      <c r="I68" s="42"/>
      <c r="J68" s="40"/>
    </row>
    <row r="69" spans="2:10" x14ac:dyDescent="0.3">
      <c r="G69" s="42" t="s">
        <v>65</v>
      </c>
      <c r="H69" s="42"/>
      <c r="I69" s="42"/>
      <c r="J69" s="40">
        <f>J65-J67</f>
        <v>0</v>
      </c>
    </row>
    <row r="70" spans="2:10" x14ac:dyDescent="0.3">
      <c r="G70" s="42"/>
      <c r="H70" s="42"/>
      <c r="I70" s="42"/>
      <c r="J70" s="40"/>
    </row>
  </sheetData>
  <mergeCells count="32">
    <mergeCell ref="G67:I68"/>
    <mergeCell ref="J67:J68"/>
    <mergeCell ref="G69:I70"/>
    <mergeCell ref="J69:J70"/>
    <mergeCell ref="B65:E65"/>
    <mergeCell ref="G65:I66"/>
    <mergeCell ref="J65:J66"/>
    <mergeCell ref="G51:J51"/>
    <mergeCell ref="B47:E47"/>
    <mergeCell ref="G57:J57"/>
    <mergeCell ref="B55:E55"/>
    <mergeCell ref="G64:J64"/>
    <mergeCell ref="G23:J23"/>
    <mergeCell ref="B24:E24"/>
    <mergeCell ref="G38:J38"/>
    <mergeCell ref="B34:E34"/>
    <mergeCell ref="G45:J45"/>
    <mergeCell ref="B41:E41"/>
    <mergeCell ref="B8:B10"/>
    <mergeCell ref="C8:D8"/>
    <mergeCell ref="G8:I9"/>
    <mergeCell ref="J8:J9"/>
    <mergeCell ref="C9:D9"/>
    <mergeCell ref="C10:D10"/>
    <mergeCell ref="B4:B6"/>
    <mergeCell ref="C4:D4"/>
    <mergeCell ref="G4:I5"/>
    <mergeCell ref="J4:J5"/>
    <mergeCell ref="C5:D5"/>
    <mergeCell ref="C6:D6"/>
    <mergeCell ref="G6:I7"/>
    <mergeCell ref="J6:J7"/>
  </mergeCells>
  <conditionalFormatting sqref="J8:J9">
    <cfRule type="cellIs" dxfId="703" priority="2" operator="lessThan">
      <formula>0</formula>
    </cfRule>
  </conditionalFormatting>
  <conditionalFormatting sqref="J69:J70">
    <cfRule type="cellIs" dxfId="702" priority="1" operator="lessThan">
      <formula>0</formula>
    </cfRule>
  </conditionalFormatting>
  <printOptions horizontalCentered="1"/>
  <pageMargins left="0.4" right="0.4" top="0.4" bottom="0.4" header="0.3" footer="0.3"/>
  <pageSetup scale="81" fitToHeight="0" orientation="portrait" r:id="rId1"/>
  <headerFooter differentFirst="1">
    <oddFooter>Page &amp;P of &amp;N</oddFooter>
  </headerFooter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6EADB-0F28-488E-B006-E85711B7B728}">
  <sheetPr>
    <tabColor theme="4"/>
    <pageSetUpPr autoPageBreaks="0" fitToPage="1"/>
  </sheetPr>
  <dimension ref="A1:J65"/>
  <sheetViews>
    <sheetView showGridLines="0" zoomScale="85" zoomScaleNormal="85" workbookViewId="0">
      <selection activeCell="E2" sqref="E2"/>
    </sheetView>
  </sheetViews>
  <sheetFormatPr defaultRowHeight="13" x14ac:dyDescent="0.3"/>
  <cols>
    <col min="1" max="1" width="2.69921875" style="13" customWidth="1"/>
    <col min="2" max="2" width="64.69921875" bestFit="1" customWidth="1"/>
    <col min="3" max="3" width="16" customWidth="1"/>
    <col min="4" max="4" width="13" customWidth="1"/>
    <col min="5" max="5" width="21.8984375" bestFit="1" customWidth="1"/>
    <col min="6" max="6" width="2.69921875" customWidth="1"/>
    <col min="7" max="7" width="27.09765625" customWidth="1"/>
    <col min="8" max="8" width="16" customWidth="1"/>
    <col min="9" max="9" width="13" customWidth="1"/>
    <col min="10" max="10" width="14.296875" bestFit="1" customWidth="1"/>
    <col min="11" max="11" width="2.69921875" customWidth="1"/>
  </cols>
  <sheetData>
    <row r="1" spans="1:10" s="2" customFormat="1" ht="14.5" x14ac:dyDescent="0.35">
      <c r="A1" s="12" t="s">
        <v>74</v>
      </c>
    </row>
    <row r="2" spans="1:10" s="2" customFormat="1" ht="30.5" thickBot="1" x14ac:dyDescent="0.7">
      <c r="A2" s="12" t="s">
        <v>75</v>
      </c>
      <c r="B2" s="1" t="s">
        <v>134</v>
      </c>
      <c r="C2" s="1"/>
      <c r="D2" s="1"/>
      <c r="E2" s="21">
        <v>345354</v>
      </c>
      <c r="F2" s="1"/>
      <c r="G2" s="1"/>
      <c r="H2" s="1"/>
      <c r="I2" s="1"/>
      <c r="J2" s="1"/>
    </row>
    <row r="4" spans="1:10" x14ac:dyDescent="0.3">
      <c r="A4" s="13" t="s">
        <v>77</v>
      </c>
      <c r="B4" s="33" t="s">
        <v>0</v>
      </c>
      <c r="C4" s="36" t="s">
        <v>1</v>
      </c>
      <c r="D4" s="37"/>
      <c r="E4" s="5">
        <v>100000</v>
      </c>
      <c r="G4" s="38" t="s">
        <v>97</v>
      </c>
      <c r="H4" s="39"/>
      <c r="I4" s="39"/>
      <c r="J4" s="40">
        <f>E6-J61</f>
        <v>100493</v>
      </c>
    </row>
    <row r="5" spans="1:10" x14ac:dyDescent="0.3">
      <c r="B5" s="34"/>
      <c r="C5" s="36" t="s">
        <v>111</v>
      </c>
      <c r="D5" s="37"/>
      <c r="E5" s="6">
        <v>25000</v>
      </c>
      <c r="G5" s="39"/>
      <c r="H5" s="39"/>
      <c r="I5" s="39"/>
      <c r="J5" s="40"/>
    </row>
    <row r="6" spans="1:10" x14ac:dyDescent="0.3">
      <c r="A6" s="13" t="s">
        <v>78</v>
      </c>
      <c r="B6" s="35"/>
      <c r="C6" s="36" t="s">
        <v>3</v>
      </c>
      <c r="D6" s="37"/>
      <c r="E6" s="7">
        <f>SUM(E4:E5)</f>
        <v>125000</v>
      </c>
      <c r="G6" s="38" t="s">
        <v>96</v>
      </c>
      <c r="H6" s="39"/>
      <c r="I6" s="39"/>
      <c r="J6" s="40">
        <f>E10-J61</f>
        <v>-24507</v>
      </c>
    </row>
    <row r="7" spans="1:10" x14ac:dyDescent="0.3">
      <c r="B7" s="4"/>
      <c r="C7" s="4"/>
      <c r="D7" s="4"/>
      <c r="E7" s="4"/>
      <c r="G7" s="39"/>
      <c r="H7" s="39"/>
      <c r="I7" s="39"/>
      <c r="J7" s="40"/>
    </row>
    <row r="8" spans="1:10" x14ac:dyDescent="0.3">
      <c r="A8" s="13" t="s">
        <v>79</v>
      </c>
      <c r="B8" s="33" t="s">
        <v>4</v>
      </c>
      <c r="C8" s="36" t="s">
        <v>1</v>
      </c>
      <c r="D8" s="37"/>
      <c r="E8" s="5">
        <v>0</v>
      </c>
      <c r="G8" s="38" t="s">
        <v>67</v>
      </c>
      <c r="H8" s="39"/>
      <c r="I8" s="39"/>
      <c r="J8" s="40">
        <f>J6-J4</f>
        <v>-125000</v>
      </c>
    </row>
    <row r="9" spans="1:10" x14ac:dyDescent="0.3">
      <c r="B9" s="34"/>
      <c r="C9" s="36" t="s">
        <v>2</v>
      </c>
      <c r="D9" s="37"/>
      <c r="E9" s="6">
        <v>0</v>
      </c>
      <c r="G9" s="39"/>
      <c r="H9" s="39"/>
      <c r="I9" s="39"/>
      <c r="J9" s="40"/>
    </row>
    <row r="10" spans="1:10" x14ac:dyDescent="0.3">
      <c r="B10" s="35"/>
      <c r="C10" s="36" t="s">
        <v>3</v>
      </c>
      <c r="D10" s="37"/>
      <c r="E10" s="7">
        <f>SUM(E8:E9)</f>
        <v>0</v>
      </c>
    </row>
    <row r="12" spans="1:10" x14ac:dyDescent="0.3">
      <c r="A12" s="13" t="s">
        <v>80</v>
      </c>
      <c r="B12" s="8" t="s">
        <v>5</v>
      </c>
      <c r="C12" s="8" t="s">
        <v>6</v>
      </c>
      <c r="D12" s="8" t="s">
        <v>7</v>
      </c>
      <c r="E12" s="8" t="s">
        <v>8</v>
      </c>
      <c r="G12" t="s">
        <v>9</v>
      </c>
      <c r="H12" t="s">
        <v>6</v>
      </c>
      <c r="I12" t="s">
        <v>7</v>
      </c>
      <c r="J12" t="s">
        <v>8</v>
      </c>
    </row>
    <row r="13" spans="1:10" x14ac:dyDescent="0.3">
      <c r="B13" s="8" t="s">
        <v>10</v>
      </c>
      <c r="C13" s="9">
        <v>12000</v>
      </c>
      <c r="D13" s="9">
        <v>12000</v>
      </c>
      <c r="E13" s="9">
        <f>Housing25374961731498110[[#This Row],[Projected Cost]]-Housing25374961731498110[[#This Row],[Actual Cost]]</f>
        <v>0</v>
      </c>
      <c r="G13" t="s">
        <v>11</v>
      </c>
      <c r="H13" s="3"/>
      <c r="I13" s="3"/>
      <c r="J13" s="3">
        <f>Entertainment26385062741599111[[#This Row],[Projected Cost]]-Entertainment26385062741599111[[#This Row],[Actual Cost]]</f>
        <v>0</v>
      </c>
    </row>
    <row r="14" spans="1:10" x14ac:dyDescent="0.3">
      <c r="B14" s="8" t="s">
        <v>12</v>
      </c>
      <c r="C14" s="9">
        <v>300</v>
      </c>
      <c r="D14" s="9">
        <v>300</v>
      </c>
      <c r="E14" s="9">
        <f>Housing25374961731498110[[#This Row],[Projected Cost]]-Housing25374961731498110[[#This Row],[Actual Cost]]</f>
        <v>0</v>
      </c>
      <c r="G14" t="s">
        <v>13</v>
      </c>
      <c r="H14" s="3"/>
      <c r="I14" s="3"/>
      <c r="J14" s="3">
        <f>Entertainment26385062741599111[[#This Row],[Projected Cost]]-Entertainment26385062741599111[[#This Row],[Actual Cost]]</f>
        <v>0</v>
      </c>
    </row>
    <row r="15" spans="1:10" x14ac:dyDescent="0.3">
      <c r="B15" s="8" t="s">
        <v>14</v>
      </c>
      <c r="C15" s="9">
        <v>707</v>
      </c>
      <c r="D15" s="9">
        <v>707</v>
      </c>
      <c r="E15" s="9">
        <f>Housing25374961731498110[[#This Row],[Projected Cost]]-Housing25374961731498110[[#This Row],[Actual Cost]]</f>
        <v>0</v>
      </c>
      <c r="G15" t="s">
        <v>15</v>
      </c>
      <c r="H15" s="3"/>
      <c r="I15" s="3"/>
      <c r="J15" s="3">
        <f>Entertainment26385062741599111[[#This Row],[Projected Cost]]-Entertainment26385062741599111[[#This Row],[Actual Cost]]</f>
        <v>0</v>
      </c>
    </row>
    <row r="16" spans="1:10" x14ac:dyDescent="0.3">
      <c r="B16" s="8" t="s">
        <v>16</v>
      </c>
      <c r="C16" s="9">
        <v>0</v>
      </c>
      <c r="D16" s="9">
        <v>0</v>
      </c>
      <c r="E16" s="9">
        <f>Housing25374961731498110[[#This Row],[Projected Cost]]-Housing25374961731498110[[#This Row],[Actual Cost]]</f>
        <v>0</v>
      </c>
      <c r="G16" t="s">
        <v>17</v>
      </c>
      <c r="H16" s="3"/>
      <c r="I16" s="3"/>
      <c r="J16" s="3">
        <f>Entertainment26385062741599111[[#This Row],[Projected Cost]]-Entertainment26385062741599111[[#This Row],[Actual Cost]]</f>
        <v>0</v>
      </c>
    </row>
    <row r="17" spans="1:10" x14ac:dyDescent="0.3">
      <c r="B17" s="8" t="s">
        <v>18</v>
      </c>
      <c r="C17" s="9">
        <v>0</v>
      </c>
      <c r="D17" s="9">
        <v>0</v>
      </c>
      <c r="E17" s="9">
        <f>Housing25374961731498110[[#This Row],[Projected Cost]]-Housing25374961731498110[[#This Row],[Actual Cost]]</f>
        <v>0</v>
      </c>
      <c r="G17" t="s">
        <v>19</v>
      </c>
      <c r="H17" s="3"/>
      <c r="I17" s="3"/>
      <c r="J17" s="3">
        <f>Entertainment26385062741599111[[#This Row],[Projected Cost]]-Entertainment26385062741599111[[#This Row],[Actual Cost]]</f>
        <v>0</v>
      </c>
    </row>
    <row r="18" spans="1:10" x14ac:dyDescent="0.3">
      <c r="B18" s="8" t="s">
        <v>20</v>
      </c>
      <c r="C18" s="9">
        <v>1000</v>
      </c>
      <c r="D18" s="9">
        <v>1000</v>
      </c>
      <c r="E18" s="9">
        <f>Housing25374961731498110[[#This Row],[Projected Cost]]-Housing25374961731498110[[#This Row],[Actual Cost]]</f>
        <v>0</v>
      </c>
      <c r="G18" t="s">
        <v>21</v>
      </c>
      <c r="H18" s="3"/>
      <c r="I18" s="3"/>
      <c r="J18" s="3">
        <f>Entertainment26385062741599111[[#This Row],[Projected Cost]]-Entertainment26385062741599111[[#This Row],[Actual Cost]]</f>
        <v>0</v>
      </c>
    </row>
    <row r="19" spans="1:10" x14ac:dyDescent="0.3">
      <c r="B19" s="8" t="s">
        <v>22</v>
      </c>
      <c r="C19" s="9">
        <v>0</v>
      </c>
      <c r="D19" s="9">
        <v>0</v>
      </c>
      <c r="E19" s="9">
        <f>Housing25374961731498110[[#This Row],[Projected Cost]]-Housing25374961731498110[[#This Row],[Actual Cost]]</f>
        <v>0</v>
      </c>
      <c r="G19" t="s">
        <v>23</v>
      </c>
      <c r="H19" s="3"/>
      <c r="I19" s="3"/>
      <c r="J19" s="3">
        <f>Entertainment26385062741599111[[#This Row],[Projected Cost]]-Entertainment26385062741599111[[#This Row],[Actual Cost]]</f>
        <v>0</v>
      </c>
    </row>
    <row r="20" spans="1:10" x14ac:dyDescent="0.3">
      <c r="B20" s="8" t="s">
        <v>24</v>
      </c>
      <c r="C20" s="9">
        <v>0</v>
      </c>
      <c r="D20" s="9">
        <v>0</v>
      </c>
      <c r="E20" s="9">
        <f>Housing25374961731498110[[#This Row],[Projected Cost]]-Housing25374961731498110[[#This Row],[Actual Cost]]</f>
        <v>0</v>
      </c>
      <c r="G20" t="s">
        <v>23</v>
      </c>
      <c r="H20" s="3"/>
      <c r="I20" s="3"/>
      <c r="J20" s="3">
        <f>Entertainment26385062741599111[[#This Row],[Projected Cost]]-Entertainment26385062741599111[[#This Row],[Actual Cost]]</f>
        <v>0</v>
      </c>
    </row>
    <row r="21" spans="1:10" x14ac:dyDescent="0.3">
      <c r="B21" s="8" t="s">
        <v>25</v>
      </c>
      <c r="C21" s="9">
        <v>0</v>
      </c>
      <c r="D21" s="9">
        <v>0</v>
      </c>
      <c r="E21" s="9">
        <f>Housing25374961731498110[[#This Row],[Projected Cost]]-Housing25374961731498110[[#This Row],[Actual Cost]]</f>
        <v>0</v>
      </c>
      <c r="G21" t="s">
        <v>23</v>
      </c>
      <c r="H21" s="3"/>
      <c r="I21" s="3"/>
      <c r="J21" s="3">
        <f>Entertainment26385062741599111[[#This Row],[Projected Cost]]-Entertainment26385062741599111[[#This Row],[Actual Cost]]</f>
        <v>0</v>
      </c>
    </row>
    <row r="22" spans="1:10" x14ac:dyDescent="0.3">
      <c r="B22" s="8" t="s">
        <v>23</v>
      </c>
      <c r="C22" s="9">
        <v>0</v>
      </c>
      <c r="D22" s="9">
        <v>0</v>
      </c>
      <c r="E22" s="9">
        <f>Housing25374961731498110[[#This Row],[Projected Cost]]-Housing25374961731498110[[#This Row],[Actual Cost]]</f>
        <v>0</v>
      </c>
      <c r="G22" t="s">
        <v>66</v>
      </c>
      <c r="H22" s="3"/>
      <c r="I22" s="3"/>
      <c r="J22" s="3">
        <f>SUBTOTAL(109,Entertainment26385062741599111[Difference])</f>
        <v>0</v>
      </c>
    </row>
    <row r="23" spans="1:10" x14ac:dyDescent="0.3">
      <c r="B23" s="8" t="s">
        <v>66</v>
      </c>
      <c r="C23" s="9">
        <f>SUBTOTAL(109,Housing25374961731498110[Projected Cost])</f>
        <v>14007</v>
      </c>
      <c r="D23" s="9">
        <f>SUBTOTAL(109,Housing25374961731498110[Actual Cost])</f>
        <v>14007</v>
      </c>
      <c r="E23" s="9">
        <f>SUBTOTAL(109,Housing25374961731498110[Difference])</f>
        <v>0</v>
      </c>
      <c r="G23" s="41"/>
      <c r="H23" s="41"/>
      <c r="I23" s="41"/>
      <c r="J23" s="41"/>
    </row>
    <row r="24" spans="1:10" x14ac:dyDescent="0.3">
      <c r="B24" s="41"/>
      <c r="C24" s="41"/>
      <c r="D24" s="41"/>
      <c r="E24" s="41"/>
      <c r="G24" t="s">
        <v>26</v>
      </c>
      <c r="H24" t="s">
        <v>6</v>
      </c>
      <c r="I24" t="s">
        <v>7</v>
      </c>
      <c r="J24" t="s">
        <v>8</v>
      </c>
    </row>
    <row r="25" spans="1:10" x14ac:dyDescent="0.3">
      <c r="A25" s="13" t="s">
        <v>81</v>
      </c>
      <c r="B25" t="s">
        <v>27</v>
      </c>
      <c r="C25" t="s">
        <v>6</v>
      </c>
      <c r="D25" t="s">
        <v>7</v>
      </c>
      <c r="E25" t="s">
        <v>8</v>
      </c>
      <c r="G25" t="s">
        <v>28</v>
      </c>
      <c r="H25" s="3"/>
      <c r="I25" s="3"/>
      <c r="J25" s="3">
        <f>Loans273951637516100112[[#This Row],[Projected Cost]]-Loans273951637516100112[[#This Row],[Actual Cost]]</f>
        <v>0</v>
      </c>
    </row>
    <row r="26" spans="1:10" x14ac:dyDescent="0.3">
      <c r="B26" t="s">
        <v>29</v>
      </c>
      <c r="C26" s="3">
        <v>3800</v>
      </c>
      <c r="D26" s="3">
        <v>3800</v>
      </c>
      <c r="E26" s="3">
        <f>Transportation284052647617101113[[#This Row],[Projected Cost]]-Transportation284052647617101113[[#This Row],[Actual Cost]]</f>
        <v>0</v>
      </c>
      <c r="G26" t="s">
        <v>103</v>
      </c>
      <c r="H26" s="3">
        <v>0</v>
      </c>
      <c r="I26" s="3">
        <v>0</v>
      </c>
      <c r="J26" s="3">
        <f>Loans273951637516100112[[#This Row],[Projected Cost]]-Loans273951637516100112[[#This Row],[Actual Cost]]</f>
        <v>0</v>
      </c>
    </row>
    <row r="27" spans="1:10" x14ac:dyDescent="0.3">
      <c r="B27" t="s">
        <v>30</v>
      </c>
      <c r="C27" s="3">
        <v>0</v>
      </c>
      <c r="D27" s="3">
        <v>0</v>
      </c>
      <c r="E27" s="3">
        <v>0</v>
      </c>
      <c r="G27" t="s">
        <v>88</v>
      </c>
      <c r="H27" s="3">
        <v>0</v>
      </c>
      <c r="I27" s="3">
        <v>0</v>
      </c>
      <c r="J27" s="3">
        <f>Loans273951637516100112[[#This Row],[Projected Cost]]-Loans273951637516100112[[#This Row],[Actual Cost]]</f>
        <v>0</v>
      </c>
    </row>
    <row r="28" spans="1:10" x14ac:dyDescent="0.3">
      <c r="B28" t="s">
        <v>31</v>
      </c>
      <c r="C28" s="3">
        <v>0</v>
      </c>
      <c r="D28" s="3">
        <v>0</v>
      </c>
      <c r="E28" s="3">
        <f>Transportation284052647617101113[[#This Row],[Projected Cost]]-Transportation284052647617101113[[#This Row],[Actual Cost]]</f>
        <v>0</v>
      </c>
      <c r="G28" t="s">
        <v>89</v>
      </c>
      <c r="H28" s="3">
        <v>0</v>
      </c>
      <c r="I28" s="3">
        <v>0</v>
      </c>
      <c r="J28" s="3">
        <f>Loans273951637516100112[[#This Row],[Projected Cost]]-Loans273951637516100112[[#This Row],[Actual Cost]]</f>
        <v>0</v>
      </c>
    </row>
    <row r="29" spans="1:10" x14ac:dyDescent="0.3">
      <c r="B29" t="s">
        <v>32</v>
      </c>
      <c r="C29" s="3">
        <v>0</v>
      </c>
      <c r="D29" s="3">
        <v>0</v>
      </c>
      <c r="E29" s="3">
        <f>Transportation284052647617101113[[#This Row],[Projected Cost]]-Transportation284052647617101113[[#This Row],[Actual Cost]]</f>
        <v>0</v>
      </c>
      <c r="G29" t="s">
        <v>132</v>
      </c>
      <c r="H29" s="3">
        <v>0</v>
      </c>
      <c r="I29" s="3">
        <v>0</v>
      </c>
      <c r="J29" s="3">
        <f>Loans273951637516100112[[#This Row],[Projected Cost]]-Loans273951637516100112[[#This Row],[Actual Cost]]</f>
        <v>0</v>
      </c>
    </row>
    <row r="30" spans="1:10" x14ac:dyDescent="0.3">
      <c r="B30" t="s">
        <v>33</v>
      </c>
      <c r="C30" s="3">
        <v>1000</v>
      </c>
      <c r="D30" s="3">
        <v>1000</v>
      </c>
      <c r="E30" s="3">
        <f>Transportation284052647617101113[[#This Row],[Projected Cost]]-Transportation284052647617101113[[#This Row],[Actual Cost]]</f>
        <v>0</v>
      </c>
      <c r="H30" s="3"/>
      <c r="I30" s="3"/>
      <c r="J30" s="3">
        <f>Loans273951637516100112[[#This Row],[Projected Cost]]-Loans273951637516100112[[#This Row],[Actual Cost]]</f>
        <v>0</v>
      </c>
    </row>
    <row r="31" spans="1:10" x14ac:dyDescent="0.3">
      <c r="B31" t="s">
        <v>34</v>
      </c>
      <c r="C31" s="3">
        <v>0</v>
      </c>
      <c r="D31" s="3">
        <v>0</v>
      </c>
      <c r="E31" s="3">
        <f>Transportation284052647617101113[[#This Row],[Projected Cost]]-Transportation284052647617101113[[#This Row],[Actual Cost]]</f>
        <v>0</v>
      </c>
      <c r="G31" t="s">
        <v>66</v>
      </c>
      <c r="H31" s="3">
        <f>SUBTOTAL(109,Loans273951637516100112[Projected Cost])</f>
        <v>0</v>
      </c>
      <c r="I31" s="3">
        <f>SUBTOTAL(109,Loans273951637516100112[Actual Cost])</f>
        <v>0</v>
      </c>
      <c r="J31" s="3">
        <f>SUBTOTAL(109,Loans273951637516100112[Difference])</f>
        <v>0</v>
      </c>
    </row>
    <row r="32" spans="1:10" x14ac:dyDescent="0.3">
      <c r="B32" t="s">
        <v>23</v>
      </c>
      <c r="C32" s="3">
        <v>0</v>
      </c>
      <c r="D32" s="3">
        <v>0</v>
      </c>
      <c r="E32" s="3">
        <f>Transportation284052647617101113[[#This Row],[Projected Cost]]-Transportation284052647617101113[[#This Row],[Actual Cost]]</f>
        <v>0</v>
      </c>
      <c r="G32" s="41"/>
      <c r="H32" s="41"/>
      <c r="I32" s="41"/>
      <c r="J32" s="41"/>
    </row>
    <row r="33" spans="1:10" x14ac:dyDescent="0.3">
      <c r="B33" t="s">
        <v>66</v>
      </c>
      <c r="C33" s="3">
        <f>SUBTOTAL(109,Transportation284052647617101113[Projected Cost])</f>
        <v>4800</v>
      </c>
      <c r="D33" s="3">
        <f>SUBTOTAL(109,Transportation284052647617101113[Actual Cost])</f>
        <v>4800</v>
      </c>
      <c r="E33" s="3">
        <f>SUBTOTAL(109,Transportation284052647617101113[Difference])</f>
        <v>0</v>
      </c>
      <c r="G33" t="s">
        <v>35</v>
      </c>
      <c r="H33" t="s">
        <v>6</v>
      </c>
      <c r="I33" t="s">
        <v>7</v>
      </c>
      <c r="J33" t="s">
        <v>8</v>
      </c>
    </row>
    <row r="34" spans="1:10" x14ac:dyDescent="0.3">
      <c r="B34" s="41"/>
      <c r="C34" s="41"/>
      <c r="D34" s="41"/>
      <c r="E34" s="41"/>
      <c r="G34" t="s">
        <v>36</v>
      </c>
      <c r="H34" s="3"/>
      <c r="I34" s="3"/>
      <c r="J34" s="3">
        <f>Taxes304254667819103115[[#This Row],[Projected Cost]]-Taxes304254667819103115[[#This Row],[Actual Cost]]</f>
        <v>0</v>
      </c>
    </row>
    <row r="35" spans="1:10" x14ac:dyDescent="0.3">
      <c r="A35" s="13" t="s">
        <v>82</v>
      </c>
      <c r="B35" t="s">
        <v>37</v>
      </c>
      <c r="C35" t="s">
        <v>6</v>
      </c>
      <c r="D35" t="s">
        <v>7</v>
      </c>
      <c r="E35" t="s">
        <v>8</v>
      </c>
      <c r="G35" t="s">
        <v>38</v>
      </c>
      <c r="H35" s="3"/>
      <c r="I35" s="3"/>
      <c r="J35" s="3">
        <f>Taxes304254667819103115[[#This Row],[Projected Cost]]-Taxes304254667819103115[[#This Row],[Actual Cost]]</f>
        <v>0</v>
      </c>
    </row>
    <row r="36" spans="1:10" x14ac:dyDescent="0.3">
      <c r="B36" t="s">
        <v>39</v>
      </c>
      <c r="C36" s="3"/>
      <c r="D36" s="3"/>
      <c r="E36" s="3">
        <f>Insurance294153657718102114[[#This Row],[Projected Cost]]-Insurance294153657718102114[[#This Row],[Actual Cost]]</f>
        <v>0</v>
      </c>
      <c r="G36" t="s">
        <v>40</v>
      </c>
      <c r="H36" s="3"/>
      <c r="I36" s="3"/>
      <c r="J36" s="3">
        <f>Taxes304254667819103115[[#This Row],[Projected Cost]]-Taxes304254667819103115[[#This Row],[Actual Cost]]</f>
        <v>0</v>
      </c>
    </row>
    <row r="37" spans="1:10" x14ac:dyDescent="0.3">
      <c r="B37" t="s">
        <v>41</v>
      </c>
      <c r="C37" s="3"/>
      <c r="D37" s="3"/>
      <c r="E37" s="3">
        <f>Insurance294153657718102114[[#This Row],[Projected Cost]]-Insurance294153657718102114[[#This Row],[Actual Cost]]</f>
        <v>0</v>
      </c>
      <c r="G37" t="s">
        <v>23</v>
      </c>
      <c r="H37" s="3"/>
      <c r="I37" s="3"/>
      <c r="J37" s="3">
        <f>Taxes304254667819103115[[#This Row],[Projected Cost]]-Taxes304254667819103115[[#This Row],[Actual Cost]]</f>
        <v>0</v>
      </c>
    </row>
    <row r="38" spans="1:10" x14ac:dyDescent="0.3">
      <c r="B38" t="s">
        <v>42</v>
      </c>
      <c r="C38" s="3"/>
      <c r="D38" s="3"/>
      <c r="E38" s="3">
        <f>Insurance294153657718102114[[#This Row],[Projected Cost]]-Insurance294153657718102114[[#This Row],[Actual Cost]]</f>
        <v>0</v>
      </c>
      <c r="G38" t="s">
        <v>66</v>
      </c>
      <c r="H38" s="3"/>
      <c r="I38" s="3"/>
      <c r="J38" s="3">
        <f>SUBTOTAL(109,Taxes304254667819103115[Difference])</f>
        <v>0</v>
      </c>
    </row>
    <row r="39" spans="1:10" x14ac:dyDescent="0.3">
      <c r="B39" t="s">
        <v>23</v>
      </c>
      <c r="C39" s="3"/>
      <c r="D39" s="3"/>
      <c r="E39" s="3">
        <f>Insurance294153657718102114[[#This Row],[Projected Cost]]-Insurance294153657718102114[[#This Row],[Actual Cost]]</f>
        <v>0</v>
      </c>
      <c r="G39" s="41"/>
      <c r="H39" s="41"/>
      <c r="I39" s="41"/>
      <c r="J39" s="41"/>
    </row>
    <row r="40" spans="1:10" x14ac:dyDescent="0.3">
      <c r="B40" t="s">
        <v>66</v>
      </c>
      <c r="C40" s="3"/>
      <c r="D40" s="3"/>
      <c r="E40" s="3">
        <f>SUBTOTAL(109,Insurance294153657718102114[Difference])</f>
        <v>0</v>
      </c>
      <c r="G40" t="s">
        <v>43</v>
      </c>
      <c r="H40" t="s">
        <v>6</v>
      </c>
      <c r="I40" t="s">
        <v>7</v>
      </c>
      <c r="J40" t="s">
        <v>8</v>
      </c>
    </row>
    <row r="41" spans="1:10" x14ac:dyDescent="0.3">
      <c r="B41" s="41"/>
      <c r="C41" s="41"/>
      <c r="D41" s="41"/>
      <c r="E41" s="41"/>
      <c r="G41" t="s">
        <v>44</v>
      </c>
      <c r="H41" s="3"/>
      <c r="I41" s="3"/>
      <c r="J41" s="3">
        <f>Savings314355677920104116[[#This Row],[Projected Cost]]-Savings314355677920104116[[#This Row],[Actual Cost]]</f>
        <v>0</v>
      </c>
    </row>
    <row r="42" spans="1:10" x14ac:dyDescent="0.3">
      <c r="A42" s="13" t="s">
        <v>83</v>
      </c>
      <c r="B42" t="s">
        <v>45</v>
      </c>
      <c r="C42" t="s">
        <v>6</v>
      </c>
      <c r="D42" t="s">
        <v>7</v>
      </c>
      <c r="E42" t="s">
        <v>8</v>
      </c>
      <c r="G42" t="s">
        <v>46</v>
      </c>
      <c r="H42" s="3"/>
      <c r="I42" s="3"/>
      <c r="J42" s="3">
        <f>Savings314355677920104116[[#This Row],[Projected Cost]]-Savings314355677920104116[[#This Row],[Actual Cost]]</f>
        <v>0</v>
      </c>
    </row>
    <row r="43" spans="1:10" x14ac:dyDescent="0.3">
      <c r="B43" t="s">
        <v>47</v>
      </c>
      <c r="C43" s="3"/>
      <c r="D43" s="3"/>
      <c r="E43" s="3">
        <f>Food324456688021105117[[#This Row],[Projected Cost]]-Food324456688021105117[[#This Row],[Actual Cost]]</f>
        <v>0</v>
      </c>
      <c r="G43" t="s">
        <v>91</v>
      </c>
      <c r="H43" s="3">
        <v>3000</v>
      </c>
      <c r="I43" s="3">
        <v>3000</v>
      </c>
      <c r="J43" s="3">
        <f>Savings314355677920104116[[#This Row],[Projected Cost]]-Savings314355677920104116[[#This Row],[Actual Cost]]</f>
        <v>0</v>
      </c>
    </row>
    <row r="44" spans="1:10" x14ac:dyDescent="0.3">
      <c r="B44" t="s">
        <v>94</v>
      </c>
      <c r="C44" s="3">
        <v>700</v>
      </c>
      <c r="D44" s="3">
        <v>700</v>
      </c>
      <c r="E44" s="3">
        <f>Food324456688021105117[[#This Row],[Projected Cost]]-Food324456688021105117[[#This Row],[Actual Cost]]</f>
        <v>0</v>
      </c>
      <c r="G44" t="s">
        <v>66</v>
      </c>
      <c r="H44" s="3">
        <f>SUBTOTAL(109,Savings314355677920104116[Projected Cost])</f>
        <v>3000</v>
      </c>
      <c r="I44" s="3">
        <f>SUBTOTAL(109,Savings314355677920104116[Actual Cost])</f>
        <v>3000</v>
      </c>
      <c r="J44" s="3">
        <f>SUBTOTAL(109,Savings314355677920104116[Difference])</f>
        <v>0</v>
      </c>
    </row>
    <row r="45" spans="1:10" x14ac:dyDescent="0.3">
      <c r="B45" t="s">
        <v>98</v>
      </c>
      <c r="C45" s="3">
        <v>2000</v>
      </c>
      <c r="D45" s="3">
        <v>2000</v>
      </c>
      <c r="E45" s="3">
        <f>Food324456688021105117[[#This Row],[Projected Cost]]-Food324456688021105117[[#This Row],[Actual Cost]]</f>
        <v>0</v>
      </c>
      <c r="G45" s="41"/>
      <c r="H45" s="41"/>
      <c r="I45" s="41"/>
      <c r="J45" s="41"/>
    </row>
    <row r="46" spans="1:10" x14ac:dyDescent="0.3">
      <c r="B46" t="s">
        <v>66</v>
      </c>
      <c r="C46" s="3">
        <f>SUBTOTAL(109,Food324456688021105117[Projected Cost])</f>
        <v>2700</v>
      </c>
      <c r="D46" s="3">
        <f>SUBTOTAL(109,Food324456688021105117[Actual Cost])</f>
        <v>2700</v>
      </c>
      <c r="E46" s="3">
        <f>SUBTOTAL(109,Food324456688021105117[Difference])</f>
        <v>0</v>
      </c>
      <c r="G46" t="s">
        <v>48</v>
      </c>
      <c r="H46" t="s">
        <v>6</v>
      </c>
      <c r="I46" t="s">
        <v>7</v>
      </c>
      <c r="J46" t="s">
        <v>8</v>
      </c>
    </row>
    <row r="47" spans="1:10" x14ac:dyDescent="0.3">
      <c r="B47" s="41"/>
      <c r="C47" s="41"/>
      <c r="D47" s="41"/>
      <c r="E47" s="41"/>
      <c r="G47" t="s">
        <v>49</v>
      </c>
      <c r="H47" s="3"/>
      <c r="I47" s="3"/>
      <c r="J47" s="3">
        <f>Gifts334557698122106118[[#This Row],[Projected Cost]]-Gifts334557698122106118[[#This Row],[Actual Cost]]</f>
        <v>0</v>
      </c>
    </row>
    <row r="48" spans="1:10" x14ac:dyDescent="0.3">
      <c r="A48" s="13" t="s">
        <v>84</v>
      </c>
      <c r="B48" t="s">
        <v>50</v>
      </c>
      <c r="C48" t="s">
        <v>6</v>
      </c>
      <c r="D48" t="s">
        <v>7</v>
      </c>
      <c r="E48" t="s">
        <v>8</v>
      </c>
      <c r="G48" t="s">
        <v>51</v>
      </c>
      <c r="H48" s="3"/>
      <c r="I48" s="3"/>
      <c r="J48" s="3">
        <f>Gifts334557698122106118[[#This Row],[Projected Cost]]-Gifts334557698122106118[[#This Row],[Actual Cost]]</f>
        <v>0</v>
      </c>
    </row>
    <row r="49" spans="1:10" x14ac:dyDescent="0.3">
      <c r="B49" t="s">
        <v>52</v>
      </c>
      <c r="C49" s="3"/>
      <c r="D49" s="3"/>
      <c r="E49" s="3">
        <f>Pets344658708223107119[[#This Row],[Projected Cost]]-Pets344658708223107119[[#This Row],[Actual Cost]]</f>
        <v>0</v>
      </c>
      <c r="G49" t="s">
        <v>53</v>
      </c>
      <c r="H49" s="3"/>
      <c r="I49" s="3"/>
      <c r="J49" s="3">
        <f>Gifts334557698122106118[[#This Row],[Projected Cost]]-Gifts334557698122106118[[#This Row],[Actual Cost]]</f>
        <v>0</v>
      </c>
    </row>
    <row r="50" spans="1:10" x14ac:dyDescent="0.3">
      <c r="B50" t="s">
        <v>54</v>
      </c>
      <c r="C50" s="3"/>
      <c r="D50" s="3"/>
      <c r="E50" s="3">
        <f>Pets344658708223107119[[#This Row],[Projected Cost]]-Pets344658708223107119[[#This Row],[Actual Cost]]</f>
        <v>0</v>
      </c>
      <c r="G50" t="s">
        <v>66</v>
      </c>
      <c r="H50" s="3"/>
      <c r="I50" s="3"/>
      <c r="J50" s="3">
        <f>SUBTOTAL(109,Gifts334557698122106118[Difference])</f>
        <v>0</v>
      </c>
    </row>
    <row r="51" spans="1:10" x14ac:dyDescent="0.3">
      <c r="B51" t="s">
        <v>55</v>
      </c>
      <c r="C51" s="3"/>
      <c r="D51" s="3"/>
      <c r="E51" s="3">
        <f>Pets344658708223107119[[#This Row],[Projected Cost]]-Pets344658708223107119[[#This Row],[Actual Cost]]</f>
        <v>0</v>
      </c>
      <c r="G51" s="41"/>
      <c r="H51" s="41"/>
      <c r="I51" s="41"/>
      <c r="J51" s="41"/>
    </row>
    <row r="52" spans="1:10" x14ac:dyDescent="0.3">
      <c r="B52" t="s">
        <v>56</v>
      </c>
      <c r="C52" s="3"/>
      <c r="D52" s="3"/>
      <c r="E52" s="3">
        <f>Pets344658708223107119[[#This Row],[Projected Cost]]-Pets344658708223107119[[#This Row],[Actual Cost]]</f>
        <v>0</v>
      </c>
      <c r="G52" t="s">
        <v>106</v>
      </c>
      <c r="H52" t="s">
        <v>6</v>
      </c>
      <c r="I52" t="s">
        <v>7</v>
      </c>
      <c r="J52" t="s">
        <v>8</v>
      </c>
    </row>
    <row r="53" spans="1:10" x14ac:dyDescent="0.3">
      <c r="B53" t="s">
        <v>23</v>
      </c>
      <c r="C53" s="3"/>
      <c r="D53" s="3"/>
      <c r="E53" s="3">
        <f>Pets344658708223107119[[#This Row],[Projected Cost]]-Pets344658708223107119[[#This Row],[Actual Cost]]</f>
        <v>0</v>
      </c>
      <c r="G53" t="s">
        <v>107</v>
      </c>
      <c r="H53" s="3">
        <v>0</v>
      </c>
      <c r="I53" s="3">
        <v>0</v>
      </c>
      <c r="J53" s="3">
        <f>Legal354759718324108120[[#This Row],[Projected Cost]]-Legal354759718324108120[[#This Row],[Actual Cost]]</f>
        <v>0</v>
      </c>
    </row>
    <row r="54" spans="1:10" x14ac:dyDescent="0.3">
      <c r="B54" t="s">
        <v>66</v>
      </c>
      <c r="C54" s="3"/>
      <c r="D54" s="3"/>
      <c r="E54" s="3">
        <f>SUBTOTAL(109,Pets344658708223107119[Difference])</f>
        <v>0</v>
      </c>
      <c r="H54" s="3"/>
      <c r="I54" s="3"/>
      <c r="J54" s="3">
        <f>Legal354759718324108120[[#This Row],[Projected Cost]]-Legal354759718324108120[[#This Row],[Actual Cost]]</f>
        <v>0</v>
      </c>
    </row>
    <row r="55" spans="1:10" x14ac:dyDescent="0.3">
      <c r="B55" s="41"/>
      <c r="C55" s="41"/>
      <c r="D55" s="41"/>
      <c r="E55" s="41"/>
      <c r="H55" s="3"/>
      <c r="I55" s="3"/>
      <c r="J55" s="3">
        <f>Legal354759718324108120[[#This Row],[Projected Cost]]-Legal354759718324108120[[#This Row],[Actual Cost]]</f>
        <v>0</v>
      </c>
    </row>
    <row r="56" spans="1:10" x14ac:dyDescent="0.3">
      <c r="A56" s="13" t="s">
        <v>85</v>
      </c>
      <c r="B56" s="8" t="s">
        <v>57</v>
      </c>
      <c r="C56" s="8" t="s">
        <v>114</v>
      </c>
      <c r="D56" s="8" t="s">
        <v>7</v>
      </c>
      <c r="E56" s="8" t="s">
        <v>8</v>
      </c>
      <c r="H56" s="3"/>
      <c r="I56" s="3"/>
      <c r="J56" s="3">
        <f>Legal354759718324108120[[#This Row],[Projected Cost]]-Legal354759718324108120[[#This Row],[Actual Cost]]</f>
        <v>0</v>
      </c>
    </row>
    <row r="57" spans="1:10" x14ac:dyDescent="0.3">
      <c r="B57" s="8" t="s">
        <v>54</v>
      </c>
      <c r="C57" s="9"/>
      <c r="D57" s="9"/>
      <c r="E57" s="9">
        <f>PersonalCare364860728485109121[[#This Row],[z]]-PersonalCare364860728485109121[[#This Row],[Actual Cost]]</f>
        <v>0</v>
      </c>
      <c r="G57" t="s">
        <v>66</v>
      </c>
      <c r="H57" s="3">
        <f>SUBTOTAL(109,Legal354759718324108120[Projected Cost])</f>
        <v>0</v>
      </c>
      <c r="I57" s="3">
        <f>SUBTOTAL(109,Legal354759718324108120[Actual Cost])</f>
        <v>0</v>
      </c>
      <c r="J57" s="3">
        <f>SUBTOTAL(109,Legal354759718324108120[Difference])</f>
        <v>0</v>
      </c>
    </row>
    <row r="58" spans="1:10" x14ac:dyDescent="0.3">
      <c r="B58" s="8" t="s">
        <v>58</v>
      </c>
      <c r="C58" s="9"/>
      <c r="D58" s="9"/>
      <c r="E58" s="9">
        <f>PersonalCare364860728485109121[[#This Row],[z]]-PersonalCare364860728485109121[[#This Row],[Actual Cost]]</f>
        <v>0</v>
      </c>
      <c r="G58" s="41"/>
      <c r="H58" s="41"/>
      <c r="I58" s="41"/>
      <c r="J58" s="41"/>
    </row>
    <row r="59" spans="1:10" x14ac:dyDescent="0.3">
      <c r="A59" s="13" t="s">
        <v>86</v>
      </c>
      <c r="B59" s="8" t="s">
        <v>59</v>
      </c>
      <c r="C59" s="9"/>
      <c r="D59" s="9"/>
      <c r="E59" s="9">
        <f>PersonalCare364860728485109121[[#This Row],[z]]-PersonalCare364860728485109121[[#This Row],[Actual Cost]]</f>
        <v>0</v>
      </c>
      <c r="G59" s="42" t="s">
        <v>60</v>
      </c>
      <c r="H59" s="42"/>
      <c r="I59" s="42"/>
      <c r="J59" s="40">
        <f>SUBTOTAL(109,Housing25374961731498110[Projected Cost],Transportation284052647617101113[Projected Cost],Insurance294153657718102114[Projected Cost],Food324456688021105117[Projected Cost],Pets344658708223107119[Projected Cost],PersonalCare364860728485109121[z],Entertainment26385062741599111[Projected Cost],Loans273951637516100112[Projected Cost],Taxes304254667819103115[Projected Cost],Savings314355677920104116[Projected Cost],Gifts334557698122106118[Projected Cost],Legal354759718324108120[Projected Cost])</f>
        <v>24507</v>
      </c>
    </row>
    <row r="60" spans="1:10" x14ac:dyDescent="0.3">
      <c r="B60" s="8" t="s">
        <v>61</v>
      </c>
      <c r="C60" s="9"/>
      <c r="D60" s="9"/>
      <c r="E60" s="9">
        <f>PersonalCare364860728485109121[[#This Row],[z]]-PersonalCare364860728485109121[[#This Row],[Actual Cost]]</f>
        <v>0</v>
      </c>
      <c r="G60" s="42"/>
      <c r="H60" s="42"/>
      <c r="I60" s="42"/>
      <c r="J60" s="40"/>
    </row>
    <row r="61" spans="1:10" x14ac:dyDescent="0.3">
      <c r="B61" s="8" t="s">
        <v>62</v>
      </c>
      <c r="C61" s="9"/>
      <c r="D61" s="9"/>
      <c r="E61" s="9">
        <f>PersonalCare364860728485109121[[#This Row],[z]]-PersonalCare364860728485109121[[#This Row],[Actual Cost]]</f>
        <v>0</v>
      </c>
      <c r="G61" s="42" t="s">
        <v>63</v>
      </c>
      <c r="H61" s="42"/>
      <c r="I61" s="42"/>
      <c r="J61" s="40">
        <f>SUBTOTAL(109,Housing25374961731498110[Actual Cost],Transportation284052647617101113[Actual Cost],Insurance294153657718102114[Actual Cost],Food324456688021105117[Actual Cost],Pets344658708223107119[Actual Cost],PersonalCare364860728485109121[Actual Cost],Entertainment26385062741599111[Actual Cost],Loans273951637516100112[Actual Cost],Taxes304254667819103115[Actual Cost],Savings314355677920104116[Actual Cost],Gifts334557698122106118[Actual Cost],Legal354759718324108120[Actual Cost])</f>
        <v>24507</v>
      </c>
    </row>
    <row r="62" spans="1:10" x14ac:dyDescent="0.3">
      <c r="B62" s="8" t="s">
        <v>64</v>
      </c>
      <c r="C62" s="9"/>
      <c r="D62" s="9"/>
      <c r="E62" s="9">
        <f>PersonalCare364860728485109121[[#This Row],[z]]-PersonalCare364860728485109121[[#This Row],[Actual Cost]]</f>
        <v>0</v>
      </c>
      <c r="G62" s="42"/>
      <c r="H62" s="42"/>
      <c r="I62" s="42"/>
      <c r="J62" s="40"/>
    </row>
    <row r="63" spans="1:10" x14ac:dyDescent="0.3">
      <c r="B63" s="8" t="s">
        <v>23</v>
      </c>
      <c r="C63" s="9"/>
      <c r="D63" s="9"/>
      <c r="E63" s="9">
        <f>PersonalCare364860728485109121[[#This Row],[z]]-PersonalCare364860728485109121[[#This Row],[Actual Cost]]</f>
        <v>0</v>
      </c>
      <c r="G63" s="42" t="s">
        <v>65</v>
      </c>
      <c r="H63" s="42"/>
      <c r="I63" s="42"/>
      <c r="J63" s="40">
        <f>J59-J61</f>
        <v>0</v>
      </c>
    </row>
    <row r="64" spans="1:10" x14ac:dyDescent="0.3">
      <c r="B64" s="8" t="s">
        <v>66</v>
      </c>
      <c r="C64" s="9"/>
      <c r="D64" s="9"/>
      <c r="E64" s="9">
        <f>SUBTOTAL(109,PersonalCare364860728485109121[Difference])</f>
        <v>0</v>
      </c>
      <c r="G64" s="42"/>
      <c r="H64" s="42"/>
      <c r="I64" s="42"/>
      <c r="J64" s="40"/>
    </row>
    <row r="65" spans="2:5" x14ac:dyDescent="0.3">
      <c r="B65" s="41"/>
      <c r="C65" s="41"/>
      <c r="D65" s="41"/>
      <c r="E65" s="41"/>
    </row>
  </sheetData>
  <mergeCells count="32">
    <mergeCell ref="G61:I62"/>
    <mergeCell ref="J61:J62"/>
    <mergeCell ref="G63:I64"/>
    <mergeCell ref="J63:J64"/>
    <mergeCell ref="B65:E65"/>
    <mergeCell ref="G59:I60"/>
    <mergeCell ref="J59:J60"/>
    <mergeCell ref="G23:J23"/>
    <mergeCell ref="B24:E24"/>
    <mergeCell ref="G32:J32"/>
    <mergeCell ref="B34:E34"/>
    <mergeCell ref="G39:J39"/>
    <mergeCell ref="B41:E41"/>
    <mergeCell ref="G45:J45"/>
    <mergeCell ref="B47:E47"/>
    <mergeCell ref="G51:J51"/>
    <mergeCell ref="B55:E55"/>
    <mergeCell ref="G58:J58"/>
    <mergeCell ref="B8:B10"/>
    <mergeCell ref="C8:D8"/>
    <mergeCell ref="G8:I9"/>
    <mergeCell ref="J8:J9"/>
    <mergeCell ref="C9:D9"/>
    <mergeCell ref="C10:D10"/>
    <mergeCell ref="B4:B6"/>
    <mergeCell ref="C4:D4"/>
    <mergeCell ref="G4:I5"/>
    <mergeCell ref="J4:J5"/>
    <mergeCell ref="C5:D5"/>
    <mergeCell ref="C6:D6"/>
    <mergeCell ref="G6:I7"/>
    <mergeCell ref="J6:J7"/>
  </mergeCells>
  <conditionalFormatting sqref="J8:J9">
    <cfRule type="cellIs" dxfId="633" priority="2" operator="lessThan">
      <formula>0</formula>
    </cfRule>
  </conditionalFormatting>
  <conditionalFormatting sqref="J63:J64">
    <cfRule type="cellIs" dxfId="632" priority="1" operator="lessThan">
      <formula>0</formula>
    </cfRule>
  </conditionalFormatting>
  <printOptions horizontalCentered="1"/>
  <pageMargins left="0.4" right="0.4" top="0.4" bottom="0.4" header="0.3" footer="0.3"/>
  <pageSetup scale="81" fitToHeight="0" orientation="portrait" r:id="rId1"/>
  <headerFooter differentFirst="1">
    <oddFooter>Page &amp;P of &amp;N</oddFooter>
  </headerFooter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FBED2-4C5B-45CC-AABB-4CBE3C86DE58}">
  <sheetPr>
    <tabColor theme="4"/>
    <pageSetUpPr autoPageBreaks="0" fitToPage="1"/>
  </sheetPr>
  <dimension ref="A1:J65"/>
  <sheetViews>
    <sheetView showGridLines="0" zoomScale="85" zoomScaleNormal="85" workbookViewId="0">
      <selection activeCell="F5" sqref="F5"/>
    </sheetView>
  </sheetViews>
  <sheetFormatPr defaultRowHeight="13" x14ac:dyDescent="0.3"/>
  <cols>
    <col min="1" max="1" width="2.69921875" style="13" customWidth="1"/>
    <col min="2" max="2" width="64.69921875" bestFit="1" customWidth="1"/>
    <col min="3" max="3" width="16" customWidth="1"/>
    <col min="4" max="4" width="13" customWidth="1"/>
    <col min="5" max="5" width="13.5" bestFit="1" customWidth="1"/>
    <col min="6" max="6" width="2.69921875" customWidth="1"/>
    <col min="7" max="7" width="27.09765625" customWidth="1"/>
    <col min="8" max="8" width="16" customWidth="1"/>
    <col min="9" max="9" width="13" customWidth="1"/>
    <col min="10" max="10" width="14.296875" bestFit="1" customWidth="1"/>
    <col min="11" max="11" width="2.69921875" customWidth="1"/>
  </cols>
  <sheetData>
    <row r="1" spans="1:10" s="2" customFormat="1" ht="14.5" x14ac:dyDescent="0.35">
      <c r="A1" s="12" t="s">
        <v>74</v>
      </c>
    </row>
    <row r="2" spans="1:10" s="2" customFormat="1" ht="30.5" thickBot="1" x14ac:dyDescent="0.7">
      <c r="A2" s="12" t="s">
        <v>75</v>
      </c>
      <c r="B2" s="1" t="s">
        <v>133</v>
      </c>
      <c r="C2" s="1"/>
      <c r="D2" s="1"/>
      <c r="E2" s="1"/>
      <c r="F2" s="1"/>
      <c r="G2" s="1"/>
      <c r="H2" s="1"/>
      <c r="I2" s="1"/>
      <c r="J2" s="1"/>
    </row>
    <row r="4" spans="1:10" x14ac:dyDescent="0.3">
      <c r="A4" s="13" t="s">
        <v>77</v>
      </c>
      <c r="B4" s="33" t="s">
        <v>0</v>
      </c>
      <c r="C4" s="36" t="s">
        <v>1</v>
      </c>
      <c r="D4" s="37"/>
      <c r="E4" s="5">
        <v>100000</v>
      </c>
      <c r="G4" s="38" t="s">
        <v>97</v>
      </c>
      <c r="H4" s="39"/>
      <c r="I4" s="39"/>
      <c r="J4" s="40">
        <f>E6-J61</f>
        <v>95118</v>
      </c>
    </row>
    <row r="5" spans="1:10" x14ac:dyDescent="0.3">
      <c r="B5" s="34"/>
      <c r="C5" s="36" t="s">
        <v>111</v>
      </c>
      <c r="D5" s="37"/>
      <c r="E5" s="6">
        <v>25000</v>
      </c>
      <c r="G5" s="39"/>
      <c r="H5" s="39"/>
      <c r="I5" s="39"/>
      <c r="J5" s="40"/>
    </row>
    <row r="6" spans="1:10" x14ac:dyDescent="0.3">
      <c r="A6" s="13" t="s">
        <v>78</v>
      </c>
      <c r="B6" s="35"/>
      <c r="C6" s="36" t="s">
        <v>3</v>
      </c>
      <c r="D6" s="37"/>
      <c r="E6" s="7">
        <f>SUM(E4:E5)</f>
        <v>125000</v>
      </c>
      <c r="G6" s="38" t="s">
        <v>96</v>
      </c>
      <c r="H6" s="39"/>
      <c r="I6" s="39"/>
      <c r="J6" s="40">
        <f>E10-J61</f>
        <v>-29882</v>
      </c>
    </row>
    <row r="7" spans="1:10" x14ac:dyDescent="0.3">
      <c r="B7" s="4"/>
      <c r="C7" s="4"/>
      <c r="D7" s="4"/>
      <c r="E7" s="4"/>
      <c r="G7" s="39"/>
      <c r="H7" s="39"/>
      <c r="I7" s="39"/>
      <c r="J7" s="40"/>
    </row>
    <row r="8" spans="1:10" x14ac:dyDescent="0.3">
      <c r="A8" s="13" t="s">
        <v>79</v>
      </c>
      <c r="B8" s="33" t="s">
        <v>4</v>
      </c>
      <c r="C8" s="36" t="s">
        <v>1</v>
      </c>
      <c r="D8" s="37"/>
      <c r="E8" s="5">
        <v>0</v>
      </c>
      <c r="G8" s="38" t="s">
        <v>67</v>
      </c>
      <c r="H8" s="39"/>
      <c r="I8" s="39"/>
      <c r="J8" s="40">
        <f>J6-J4</f>
        <v>-125000</v>
      </c>
    </row>
    <row r="9" spans="1:10" x14ac:dyDescent="0.3">
      <c r="B9" s="34"/>
      <c r="C9" s="36" t="s">
        <v>2</v>
      </c>
      <c r="D9" s="37"/>
      <c r="E9" s="6">
        <v>0</v>
      </c>
      <c r="G9" s="39"/>
      <c r="H9" s="39"/>
      <c r="I9" s="39"/>
      <c r="J9" s="40"/>
    </row>
    <row r="10" spans="1:10" x14ac:dyDescent="0.3">
      <c r="B10" s="35"/>
      <c r="C10" s="36" t="s">
        <v>3</v>
      </c>
      <c r="D10" s="37"/>
      <c r="E10" s="7">
        <f>SUM(E8:E9)</f>
        <v>0</v>
      </c>
    </row>
    <row r="12" spans="1:10" x14ac:dyDescent="0.3">
      <c r="A12" s="13" t="s">
        <v>80</v>
      </c>
      <c r="B12" s="8" t="s">
        <v>5</v>
      </c>
      <c r="C12" s="8" t="s">
        <v>6</v>
      </c>
      <c r="D12" s="8" t="s">
        <v>7</v>
      </c>
      <c r="E12" s="8" t="s">
        <v>8</v>
      </c>
      <c r="G12" t="s">
        <v>9</v>
      </c>
      <c r="H12" t="s">
        <v>6</v>
      </c>
      <c r="I12" t="s">
        <v>7</v>
      </c>
      <c r="J12" t="s">
        <v>8</v>
      </c>
    </row>
    <row r="13" spans="1:10" x14ac:dyDescent="0.3">
      <c r="B13" s="8" t="s">
        <v>10</v>
      </c>
      <c r="C13" s="9">
        <v>12000</v>
      </c>
      <c r="D13" s="9">
        <v>12000</v>
      </c>
      <c r="E13" s="9">
        <f>Housing25374961731498[[#This Row],[Projected Cost]]-Housing25374961731498[[#This Row],[Actual Cost]]</f>
        <v>0</v>
      </c>
      <c r="G13" t="s">
        <v>11</v>
      </c>
      <c r="H13" s="3"/>
      <c r="I13" s="3"/>
      <c r="J13" s="3">
        <f>Entertainment26385062741599[[#This Row],[Projected Cost]]-Entertainment26385062741599[[#This Row],[Actual Cost]]</f>
        <v>0</v>
      </c>
    </row>
    <row r="14" spans="1:10" x14ac:dyDescent="0.3">
      <c r="B14" s="8" t="s">
        <v>12</v>
      </c>
      <c r="C14" s="9">
        <v>300</v>
      </c>
      <c r="D14" s="9">
        <v>300</v>
      </c>
      <c r="E14" s="9">
        <f>Housing25374961731498[[#This Row],[Projected Cost]]-Housing25374961731498[[#This Row],[Actual Cost]]</f>
        <v>0</v>
      </c>
      <c r="G14" t="s">
        <v>13</v>
      </c>
      <c r="H14" s="3"/>
      <c r="I14" s="3"/>
      <c r="J14" s="3">
        <f>Entertainment26385062741599[[#This Row],[Projected Cost]]-Entertainment26385062741599[[#This Row],[Actual Cost]]</f>
        <v>0</v>
      </c>
    </row>
    <row r="15" spans="1:10" x14ac:dyDescent="0.3">
      <c r="B15" s="8" t="s">
        <v>14</v>
      </c>
      <c r="C15" s="9">
        <v>707</v>
      </c>
      <c r="D15" s="9">
        <v>707</v>
      </c>
      <c r="E15" s="9">
        <f>Housing25374961731498[[#This Row],[Projected Cost]]-Housing25374961731498[[#This Row],[Actual Cost]]</f>
        <v>0</v>
      </c>
      <c r="G15" t="s">
        <v>15</v>
      </c>
      <c r="H15" s="3"/>
      <c r="I15" s="3"/>
      <c r="J15" s="3">
        <f>Entertainment26385062741599[[#This Row],[Projected Cost]]-Entertainment26385062741599[[#This Row],[Actual Cost]]</f>
        <v>0</v>
      </c>
    </row>
    <row r="16" spans="1:10" x14ac:dyDescent="0.3">
      <c r="B16" s="8" t="s">
        <v>16</v>
      </c>
      <c r="C16" s="9">
        <v>0</v>
      </c>
      <c r="D16" s="9">
        <v>0</v>
      </c>
      <c r="E16" s="9">
        <f>Housing25374961731498[[#This Row],[Projected Cost]]-Housing25374961731498[[#This Row],[Actual Cost]]</f>
        <v>0</v>
      </c>
      <c r="G16" t="s">
        <v>17</v>
      </c>
      <c r="H16" s="3"/>
      <c r="I16" s="3"/>
      <c r="J16" s="3">
        <f>Entertainment26385062741599[[#This Row],[Projected Cost]]-Entertainment26385062741599[[#This Row],[Actual Cost]]</f>
        <v>0</v>
      </c>
    </row>
    <row r="17" spans="1:10" x14ac:dyDescent="0.3">
      <c r="B17" s="8" t="s">
        <v>18</v>
      </c>
      <c r="C17" s="9">
        <v>0</v>
      </c>
      <c r="D17" s="9">
        <v>0</v>
      </c>
      <c r="E17" s="9">
        <f>Housing25374961731498[[#This Row],[Projected Cost]]-Housing25374961731498[[#This Row],[Actual Cost]]</f>
        <v>0</v>
      </c>
      <c r="G17" t="s">
        <v>19</v>
      </c>
      <c r="H17" s="3"/>
      <c r="I17" s="3"/>
      <c r="J17" s="3">
        <f>Entertainment26385062741599[[#This Row],[Projected Cost]]-Entertainment26385062741599[[#This Row],[Actual Cost]]</f>
        <v>0</v>
      </c>
    </row>
    <row r="18" spans="1:10" x14ac:dyDescent="0.3">
      <c r="B18" s="8" t="s">
        <v>20</v>
      </c>
      <c r="C18" s="9">
        <v>1000</v>
      </c>
      <c r="D18" s="9">
        <v>1000</v>
      </c>
      <c r="E18" s="9">
        <f>Housing25374961731498[[#This Row],[Projected Cost]]-Housing25374961731498[[#This Row],[Actual Cost]]</f>
        <v>0</v>
      </c>
      <c r="G18" t="s">
        <v>21</v>
      </c>
      <c r="H18" s="3"/>
      <c r="I18" s="3"/>
      <c r="J18" s="3">
        <f>Entertainment26385062741599[[#This Row],[Projected Cost]]-Entertainment26385062741599[[#This Row],[Actual Cost]]</f>
        <v>0</v>
      </c>
    </row>
    <row r="19" spans="1:10" x14ac:dyDescent="0.3">
      <c r="B19" s="8" t="s">
        <v>22</v>
      </c>
      <c r="C19" s="9">
        <v>0</v>
      </c>
      <c r="D19" s="9">
        <v>0</v>
      </c>
      <c r="E19" s="9">
        <f>Housing25374961731498[[#This Row],[Projected Cost]]-Housing25374961731498[[#This Row],[Actual Cost]]</f>
        <v>0</v>
      </c>
      <c r="G19" t="s">
        <v>23</v>
      </c>
      <c r="H19" s="3"/>
      <c r="I19" s="3"/>
      <c r="J19" s="3">
        <f>Entertainment26385062741599[[#This Row],[Projected Cost]]-Entertainment26385062741599[[#This Row],[Actual Cost]]</f>
        <v>0</v>
      </c>
    </row>
    <row r="20" spans="1:10" x14ac:dyDescent="0.3">
      <c r="B20" s="8" t="s">
        <v>24</v>
      </c>
      <c r="C20" s="9">
        <v>0</v>
      </c>
      <c r="D20" s="9">
        <v>0</v>
      </c>
      <c r="E20" s="9">
        <f>Housing25374961731498[[#This Row],[Projected Cost]]-Housing25374961731498[[#This Row],[Actual Cost]]</f>
        <v>0</v>
      </c>
      <c r="G20" t="s">
        <v>23</v>
      </c>
      <c r="H20" s="3"/>
      <c r="I20" s="3"/>
      <c r="J20" s="3">
        <f>Entertainment26385062741599[[#This Row],[Projected Cost]]-Entertainment26385062741599[[#This Row],[Actual Cost]]</f>
        <v>0</v>
      </c>
    </row>
    <row r="21" spans="1:10" x14ac:dyDescent="0.3">
      <c r="B21" s="8" t="s">
        <v>25</v>
      </c>
      <c r="C21" s="9">
        <v>0</v>
      </c>
      <c r="D21" s="9">
        <v>0</v>
      </c>
      <c r="E21" s="9">
        <f>Housing25374961731498[[#This Row],[Projected Cost]]-Housing25374961731498[[#This Row],[Actual Cost]]</f>
        <v>0</v>
      </c>
      <c r="G21" t="s">
        <v>23</v>
      </c>
      <c r="H21" s="3"/>
      <c r="I21" s="3"/>
      <c r="J21" s="3">
        <f>Entertainment26385062741599[[#This Row],[Projected Cost]]-Entertainment26385062741599[[#This Row],[Actual Cost]]</f>
        <v>0</v>
      </c>
    </row>
    <row r="22" spans="1:10" x14ac:dyDescent="0.3">
      <c r="B22" s="8" t="s">
        <v>23</v>
      </c>
      <c r="C22" s="9">
        <v>0</v>
      </c>
      <c r="D22" s="9">
        <v>0</v>
      </c>
      <c r="E22" s="9">
        <f>Housing25374961731498[[#This Row],[Projected Cost]]-Housing25374961731498[[#This Row],[Actual Cost]]</f>
        <v>0</v>
      </c>
      <c r="G22" t="s">
        <v>66</v>
      </c>
      <c r="H22" s="3"/>
      <c r="I22" s="3"/>
      <c r="J22" s="3">
        <f>SUBTOTAL(109,Entertainment26385062741599[Difference])</f>
        <v>0</v>
      </c>
    </row>
    <row r="23" spans="1:10" x14ac:dyDescent="0.3">
      <c r="B23" s="8" t="s">
        <v>66</v>
      </c>
      <c r="C23" s="9">
        <f>SUBTOTAL(109,Housing25374961731498[Projected Cost])</f>
        <v>14007</v>
      </c>
      <c r="D23" s="9">
        <f>SUBTOTAL(109,Housing25374961731498[Actual Cost])</f>
        <v>14007</v>
      </c>
      <c r="E23" s="9">
        <f>SUBTOTAL(109,Housing25374961731498[Difference])</f>
        <v>0</v>
      </c>
      <c r="G23" s="41"/>
      <c r="H23" s="41"/>
      <c r="I23" s="41"/>
      <c r="J23" s="41"/>
    </row>
    <row r="24" spans="1:10" x14ac:dyDescent="0.3">
      <c r="B24" s="41"/>
      <c r="C24" s="41"/>
      <c r="D24" s="41"/>
      <c r="E24" s="41"/>
      <c r="G24" t="s">
        <v>26</v>
      </c>
      <c r="H24" t="s">
        <v>6</v>
      </c>
      <c r="I24" t="s">
        <v>7</v>
      </c>
      <c r="J24" t="s">
        <v>8</v>
      </c>
    </row>
    <row r="25" spans="1:10" x14ac:dyDescent="0.3">
      <c r="A25" s="13" t="s">
        <v>81</v>
      </c>
      <c r="B25" t="s">
        <v>27</v>
      </c>
      <c r="C25" t="s">
        <v>6</v>
      </c>
      <c r="D25" t="s">
        <v>7</v>
      </c>
      <c r="E25" t="s">
        <v>8</v>
      </c>
      <c r="G25" t="s">
        <v>28</v>
      </c>
      <c r="H25" s="3"/>
      <c r="I25" s="3"/>
      <c r="J25" s="3">
        <f>Loans273951637516100[[#This Row],[Projected Cost]]-Loans273951637516100[[#This Row],[Actual Cost]]</f>
        <v>0</v>
      </c>
    </row>
    <row r="26" spans="1:10" x14ac:dyDescent="0.3">
      <c r="B26" t="s">
        <v>29</v>
      </c>
      <c r="C26" s="3">
        <v>3800</v>
      </c>
      <c r="D26" s="3">
        <v>3800</v>
      </c>
      <c r="E26" s="3">
        <f>Transportation284052647617101[[#This Row],[Projected Cost]]-Transportation284052647617101[[#This Row],[Actual Cost]]</f>
        <v>0</v>
      </c>
      <c r="G26" t="s">
        <v>103</v>
      </c>
      <c r="H26" s="3">
        <v>0</v>
      </c>
      <c r="I26" s="3">
        <v>0</v>
      </c>
      <c r="J26" s="3">
        <f>Loans273951637516100[[#This Row],[Projected Cost]]-Loans273951637516100[[#This Row],[Actual Cost]]</f>
        <v>0</v>
      </c>
    </row>
    <row r="27" spans="1:10" x14ac:dyDescent="0.3">
      <c r="B27" t="s">
        <v>30</v>
      </c>
      <c r="C27" s="3">
        <v>0</v>
      </c>
      <c r="D27" s="3">
        <v>0</v>
      </c>
      <c r="E27" s="3">
        <v>0</v>
      </c>
      <c r="G27" t="s">
        <v>88</v>
      </c>
      <c r="H27" s="3">
        <v>0</v>
      </c>
      <c r="I27" s="3">
        <v>0</v>
      </c>
      <c r="J27" s="3">
        <f>Loans273951637516100[[#This Row],[Projected Cost]]-Loans273951637516100[[#This Row],[Actual Cost]]</f>
        <v>0</v>
      </c>
    </row>
    <row r="28" spans="1:10" x14ac:dyDescent="0.3">
      <c r="B28" t="s">
        <v>31</v>
      </c>
      <c r="C28" s="3">
        <v>0</v>
      </c>
      <c r="D28" s="3">
        <v>0</v>
      </c>
      <c r="E28" s="3">
        <f>Transportation284052647617101[[#This Row],[Projected Cost]]-Transportation284052647617101[[#This Row],[Actual Cost]]</f>
        <v>0</v>
      </c>
      <c r="G28" t="s">
        <v>89</v>
      </c>
      <c r="H28" s="3">
        <v>0</v>
      </c>
      <c r="I28" s="3">
        <v>0</v>
      </c>
      <c r="J28" s="3">
        <f>Loans273951637516100[[#This Row],[Projected Cost]]-Loans273951637516100[[#This Row],[Actual Cost]]</f>
        <v>0</v>
      </c>
    </row>
    <row r="29" spans="1:10" x14ac:dyDescent="0.3">
      <c r="B29" t="s">
        <v>32</v>
      </c>
      <c r="C29" s="3">
        <v>0</v>
      </c>
      <c r="D29" s="3">
        <v>0</v>
      </c>
      <c r="E29" s="3">
        <f>Transportation284052647617101[[#This Row],[Projected Cost]]-Transportation284052647617101[[#This Row],[Actual Cost]]</f>
        <v>0</v>
      </c>
      <c r="G29" t="s">
        <v>132</v>
      </c>
      <c r="H29" s="3">
        <v>5375</v>
      </c>
      <c r="I29" s="3">
        <v>5375</v>
      </c>
      <c r="J29" s="3">
        <f>Loans273951637516100[[#This Row],[Projected Cost]]-Loans273951637516100[[#This Row],[Actual Cost]]</f>
        <v>0</v>
      </c>
    </row>
    <row r="30" spans="1:10" x14ac:dyDescent="0.3">
      <c r="B30" t="s">
        <v>33</v>
      </c>
      <c r="C30" s="3">
        <v>1000</v>
      </c>
      <c r="D30" s="3">
        <v>1000</v>
      </c>
      <c r="E30" s="3">
        <f>Transportation284052647617101[[#This Row],[Projected Cost]]-Transportation284052647617101[[#This Row],[Actual Cost]]</f>
        <v>0</v>
      </c>
      <c r="H30" s="3"/>
      <c r="I30" s="3"/>
      <c r="J30" s="3">
        <f>Loans273951637516100[[#This Row],[Projected Cost]]-Loans273951637516100[[#This Row],[Actual Cost]]</f>
        <v>0</v>
      </c>
    </row>
    <row r="31" spans="1:10" x14ac:dyDescent="0.3">
      <c r="B31" t="s">
        <v>34</v>
      </c>
      <c r="C31" s="3">
        <v>0</v>
      </c>
      <c r="D31" s="3">
        <v>0</v>
      </c>
      <c r="E31" s="3">
        <f>Transportation284052647617101[[#This Row],[Projected Cost]]-Transportation284052647617101[[#This Row],[Actual Cost]]</f>
        <v>0</v>
      </c>
      <c r="G31" t="s">
        <v>66</v>
      </c>
      <c r="H31" s="3">
        <f>SUBTOTAL(109,Loans273951637516100[Projected Cost])</f>
        <v>5375</v>
      </c>
      <c r="I31" s="3">
        <f>SUBTOTAL(109,Loans273951637516100[Actual Cost])</f>
        <v>5375</v>
      </c>
      <c r="J31" s="3">
        <f>SUBTOTAL(109,Loans273951637516100[Difference])</f>
        <v>0</v>
      </c>
    </row>
    <row r="32" spans="1:10" x14ac:dyDescent="0.3">
      <c r="B32" t="s">
        <v>23</v>
      </c>
      <c r="C32" s="3">
        <v>0</v>
      </c>
      <c r="D32" s="3">
        <v>0</v>
      </c>
      <c r="E32" s="3">
        <f>Transportation284052647617101[[#This Row],[Projected Cost]]-Transportation284052647617101[[#This Row],[Actual Cost]]</f>
        <v>0</v>
      </c>
      <c r="G32" s="41"/>
      <c r="H32" s="41"/>
      <c r="I32" s="41"/>
      <c r="J32" s="41"/>
    </row>
    <row r="33" spans="1:10" x14ac:dyDescent="0.3">
      <c r="B33" t="s">
        <v>66</v>
      </c>
      <c r="C33" s="3">
        <f>SUBTOTAL(109,Transportation284052647617101[Projected Cost])</f>
        <v>4800</v>
      </c>
      <c r="D33" s="3">
        <f>SUBTOTAL(109,Transportation284052647617101[Actual Cost])</f>
        <v>4800</v>
      </c>
      <c r="E33" s="3">
        <f>SUBTOTAL(109,Transportation284052647617101[Difference])</f>
        <v>0</v>
      </c>
      <c r="G33" t="s">
        <v>35</v>
      </c>
      <c r="H33" t="s">
        <v>6</v>
      </c>
      <c r="I33" t="s">
        <v>7</v>
      </c>
      <c r="J33" t="s">
        <v>8</v>
      </c>
    </row>
    <row r="34" spans="1:10" x14ac:dyDescent="0.3">
      <c r="B34" s="41"/>
      <c r="C34" s="41"/>
      <c r="D34" s="41"/>
      <c r="E34" s="41"/>
      <c r="G34" t="s">
        <v>36</v>
      </c>
      <c r="H34" s="3"/>
      <c r="I34" s="3"/>
      <c r="J34" s="3">
        <f>Taxes304254667819103[[#This Row],[Projected Cost]]-Taxes304254667819103[[#This Row],[Actual Cost]]</f>
        <v>0</v>
      </c>
    </row>
    <row r="35" spans="1:10" x14ac:dyDescent="0.3">
      <c r="A35" s="13" t="s">
        <v>82</v>
      </c>
      <c r="B35" t="s">
        <v>37</v>
      </c>
      <c r="C35" t="s">
        <v>6</v>
      </c>
      <c r="D35" t="s">
        <v>7</v>
      </c>
      <c r="E35" t="s">
        <v>8</v>
      </c>
      <c r="G35" t="s">
        <v>38</v>
      </c>
      <c r="H35" s="3"/>
      <c r="I35" s="3"/>
      <c r="J35" s="3">
        <f>Taxes304254667819103[[#This Row],[Projected Cost]]-Taxes304254667819103[[#This Row],[Actual Cost]]</f>
        <v>0</v>
      </c>
    </row>
    <row r="36" spans="1:10" x14ac:dyDescent="0.3">
      <c r="B36" t="s">
        <v>39</v>
      </c>
      <c r="C36" s="3"/>
      <c r="D36" s="3"/>
      <c r="E36" s="3">
        <f>Insurance294153657718102[[#This Row],[Projected Cost]]-Insurance294153657718102[[#This Row],[Actual Cost]]</f>
        <v>0</v>
      </c>
      <c r="G36" t="s">
        <v>40</v>
      </c>
      <c r="H36" s="3"/>
      <c r="I36" s="3"/>
      <c r="J36" s="3">
        <f>Taxes304254667819103[[#This Row],[Projected Cost]]-Taxes304254667819103[[#This Row],[Actual Cost]]</f>
        <v>0</v>
      </c>
    </row>
    <row r="37" spans="1:10" x14ac:dyDescent="0.3">
      <c r="B37" t="s">
        <v>41</v>
      </c>
      <c r="C37" s="3"/>
      <c r="D37" s="3"/>
      <c r="E37" s="3">
        <f>Insurance294153657718102[[#This Row],[Projected Cost]]-Insurance294153657718102[[#This Row],[Actual Cost]]</f>
        <v>0</v>
      </c>
      <c r="G37" t="s">
        <v>23</v>
      </c>
      <c r="H37" s="3"/>
      <c r="I37" s="3"/>
      <c r="J37" s="3">
        <f>Taxes304254667819103[[#This Row],[Projected Cost]]-Taxes304254667819103[[#This Row],[Actual Cost]]</f>
        <v>0</v>
      </c>
    </row>
    <row r="38" spans="1:10" x14ac:dyDescent="0.3">
      <c r="B38" t="s">
        <v>42</v>
      </c>
      <c r="C38" s="3"/>
      <c r="D38" s="3"/>
      <c r="E38" s="3">
        <f>Insurance294153657718102[[#This Row],[Projected Cost]]-Insurance294153657718102[[#This Row],[Actual Cost]]</f>
        <v>0</v>
      </c>
      <c r="G38" t="s">
        <v>66</v>
      </c>
      <c r="H38" s="3"/>
      <c r="I38" s="3"/>
      <c r="J38" s="3">
        <f>SUBTOTAL(109,Taxes304254667819103[Difference])</f>
        <v>0</v>
      </c>
    </row>
    <row r="39" spans="1:10" x14ac:dyDescent="0.3">
      <c r="B39" t="s">
        <v>23</v>
      </c>
      <c r="C39" s="3"/>
      <c r="D39" s="3"/>
      <c r="E39" s="3">
        <f>Insurance294153657718102[[#This Row],[Projected Cost]]-Insurance294153657718102[[#This Row],[Actual Cost]]</f>
        <v>0</v>
      </c>
      <c r="G39" s="41"/>
      <c r="H39" s="41"/>
      <c r="I39" s="41"/>
      <c r="J39" s="41"/>
    </row>
    <row r="40" spans="1:10" x14ac:dyDescent="0.3">
      <c r="B40" t="s">
        <v>66</v>
      </c>
      <c r="C40" s="3"/>
      <c r="D40" s="3"/>
      <c r="E40" s="3">
        <f>SUBTOTAL(109,Insurance294153657718102[Difference])</f>
        <v>0</v>
      </c>
      <c r="G40" t="s">
        <v>43</v>
      </c>
      <c r="H40" t="s">
        <v>6</v>
      </c>
      <c r="I40" t="s">
        <v>7</v>
      </c>
      <c r="J40" t="s">
        <v>8</v>
      </c>
    </row>
    <row r="41" spans="1:10" x14ac:dyDescent="0.3">
      <c r="B41" s="41"/>
      <c r="C41" s="41"/>
      <c r="D41" s="41"/>
      <c r="E41" s="41"/>
      <c r="G41" t="s">
        <v>44</v>
      </c>
      <c r="H41" s="3"/>
      <c r="I41" s="3"/>
      <c r="J41" s="3">
        <f>Savings314355677920104[[#This Row],[Projected Cost]]-Savings314355677920104[[#This Row],[Actual Cost]]</f>
        <v>0</v>
      </c>
    </row>
    <row r="42" spans="1:10" x14ac:dyDescent="0.3">
      <c r="A42" s="13" t="s">
        <v>83</v>
      </c>
      <c r="B42" t="s">
        <v>45</v>
      </c>
      <c r="C42" t="s">
        <v>6</v>
      </c>
      <c r="D42" t="s">
        <v>7</v>
      </c>
      <c r="E42" t="s">
        <v>8</v>
      </c>
      <c r="G42" t="s">
        <v>46</v>
      </c>
      <c r="H42" s="3"/>
      <c r="I42" s="3"/>
      <c r="J42" s="3">
        <f>Savings314355677920104[[#This Row],[Projected Cost]]-Savings314355677920104[[#This Row],[Actual Cost]]</f>
        <v>0</v>
      </c>
    </row>
    <row r="43" spans="1:10" x14ac:dyDescent="0.3">
      <c r="B43" t="s">
        <v>47</v>
      </c>
      <c r="C43" s="3"/>
      <c r="D43" s="3"/>
      <c r="E43" s="3">
        <f>Food324456688021105[[#This Row],[Projected Cost]]-Food324456688021105[[#This Row],[Actual Cost]]</f>
        <v>0</v>
      </c>
      <c r="G43" t="s">
        <v>91</v>
      </c>
      <c r="H43" s="3">
        <v>3000</v>
      </c>
      <c r="I43" s="3">
        <v>3000</v>
      </c>
      <c r="J43" s="3">
        <f>Savings314355677920104[[#This Row],[Projected Cost]]-Savings314355677920104[[#This Row],[Actual Cost]]</f>
        <v>0</v>
      </c>
    </row>
    <row r="44" spans="1:10" x14ac:dyDescent="0.3">
      <c r="B44" t="s">
        <v>94</v>
      </c>
      <c r="C44" s="3">
        <v>700</v>
      </c>
      <c r="D44" s="3">
        <v>700</v>
      </c>
      <c r="E44" s="3">
        <f>Food324456688021105[[#This Row],[Projected Cost]]-Food324456688021105[[#This Row],[Actual Cost]]</f>
        <v>0</v>
      </c>
      <c r="G44" t="s">
        <v>66</v>
      </c>
      <c r="H44" s="3">
        <f>SUBTOTAL(109,Savings314355677920104[Projected Cost])</f>
        <v>3000</v>
      </c>
      <c r="I44" s="3">
        <f>SUBTOTAL(109,Savings314355677920104[Actual Cost])</f>
        <v>3000</v>
      </c>
      <c r="J44" s="3">
        <f>SUBTOTAL(109,Savings314355677920104[Difference])</f>
        <v>0</v>
      </c>
    </row>
    <row r="45" spans="1:10" x14ac:dyDescent="0.3">
      <c r="B45" t="s">
        <v>98</v>
      </c>
      <c r="C45" s="3">
        <v>2000</v>
      </c>
      <c r="D45" s="3">
        <v>2000</v>
      </c>
      <c r="E45" s="3">
        <f>Food324456688021105[[#This Row],[Projected Cost]]-Food324456688021105[[#This Row],[Actual Cost]]</f>
        <v>0</v>
      </c>
      <c r="G45" s="41"/>
      <c r="H45" s="41"/>
      <c r="I45" s="41"/>
      <c r="J45" s="41"/>
    </row>
    <row r="46" spans="1:10" x14ac:dyDescent="0.3">
      <c r="B46" t="s">
        <v>66</v>
      </c>
      <c r="C46" s="3">
        <f>SUBTOTAL(109,Food324456688021105[Projected Cost])</f>
        <v>2700</v>
      </c>
      <c r="D46" s="3">
        <f>SUBTOTAL(109,Food324456688021105[Actual Cost])</f>
        <v>2700</v>
      </c>
      <c r="E46" s="3">
        <f>SUBTOTAL(109,Food324456688021105[Difference])</f>
        <v>0</v>
      </c>
      <c r="G46" t="s">
        <v>48</v>
      </c>
      <c r="H46" t="s">
        <v>6</v>
      </c>
      <c r="I46" t="s">
        <v>7</v>
      </c>
      <c r="J46" t="s">
        <v>8</v>
      </c>
    </row>
    <row r="47" spans="1:10" x14ac:dyDescent="0.3">
      <c r="B47" s="41"/>
      <c r="C47" s="41"/>
      <c r="D47" s="41"/>
      <c r="E47" s="41"/>
      <c r="G47" t="s">
        <v>49</v>
      </c>
      <c r="H47" s="3"/>
      <c r="I47" s="3"/>
      <c r="J47" s="3">
        <f>Gifts334557698122106[[#This Row],[Projected Cost]]-Gifts334557698122106[[#This Row],[Actual Cost]]</f>
        <v>0</v>
      </c>
    </row>
    <row r="48" spans="1:10" x14ac:dyDescent="0.3">
      <c r="A48" s="13" t="s">
        <v>84</v>
      </c>
      <c r="B48" t="s">
        <v>50</v>
      </c>
      <c r="C48" t="s">
        <v>6</v>
      </c>
      <c r="D48" t="s">
        <v>7</v>
      </c>
      <c r="E48" t="s">
        <v>8</v>
      </c>
      <c r="G48" t="s">
        <v>51</v>
      </c>
      <c r="H48" s="3"/>
      <c r="I48" s="3"/>
      <c r="J48" s="3">
        <f>Gifts334557698122106[[#This Row],[Projected Cost]]-Gifts334557698122106[[#This Row],[Actual Cost]]</f>
        <v>0</v>
      </c>
    </row>
    <row r="49" spans="1:10" x14ac:dyDescent="0.3">
      <c r="B49" t="s">
        <v>52</v>
      </c>
      <c r="C49" s="3"/>
      <c r="D49" s="3"/>
      <c r="E49" s="3">
        <f>Pets344658708223107[[#This Row],[Projected Cost]]-Pets344658708223107[[#This Row],[Actual Cost]]</f>
        <v>0</v>
      </c>
      <c r="G49" t="s">
        <v>53</v>
      </c>
      <c r="H49" s="3"/>
      <c r="I49" s="3"/>
      <c r="J49" s="3">
        <f>Gifts334557698122106[[#This Row],[Projected Cost]]-Gifts334557698122106[[#This Row],[Actual Cost]]</f>
        <v>0</v>
      </c>
    </row>
    <row r="50" spans="1:10" x14ac:dyDescent="0.3">
      <c r="B50" t="s">
        <v>54</v>
      </c>
      <c r="C50" s="3"/>
      <c r="D50" s="3"/>
      <c r="E50" s="3">
        <f>Pets344658708223107[[#This Row],[Projected Cost]]-Pets344658708223107[[#This Row],[Actual Cost]]</f>
        <v>0</v>
      </c>
      <c r="G50" t="s">
        <v>66</v>
      </c>
      <c r="H50" s="3"/>
      <c r="I50" s="3"/>
      <c r="J50" s="3">
        <f>SUBTOTAL(109,Gifts334557698122106[Difference])</f>
        <v>0</v>
      </c>
    </row>
    <row r="51" spans="1:10" x14ac:dyDescent="0.3">
      <c r="B51" t="s">
        <v>55</v>
      </c>
      <c r="C51" s="3"/>
      <c r="D51" s="3"/>
      <c r="E51" s="3">
        <f>Pets344658708223107[[#This Row],[Projected Cost]]-Pets344658708223107[[#This Row],[Actual Cost]]</f>
        <v>0</v>
      </c>
      <c r="G51" s="41"/>
      <c r="H51" s="41"/>
      <c r="I51" s="41"/>
      <c r="J51" s="41"/>
    </row>
    <row r="52" spans="1:10" x14ac:dyDescent="0.3">
      <c r="B52" t="s">
        <v>56</v>
      </c>
      <c r="C52" s="3"/>
      <c r="D52" s="3"/>
      <c r="E52" s="3">
        <f>Pets344658708223107[[#This Row],[Projected Cost]]-Pets344658708223107[[#This Row],[Actual Cost]]</f>
        <v>0</v>
      </c>
      <c r="G52" t="s">
        <v>106</v>
      </c>
      <c r="H52" t="s">
        <v>6</v>
      </c>
      <c r="I52" t="s">
        <v>7</v>
      </c>
      <c r="J52" t="s">
        <v>8</v>
      </c>
    </row>
    <row r="53" spans="1:10" x14ac:dyDescent="0.3">
      <c r="B53" t="s">
        <v>23</v>
      </c>
      <c r="C53" s="3"/>
      <c r="D53" s="3"/>
      <c r="E53" s="3">
        <f>Pets344658708223107[[#This Row],[Projected Cost]]-Pets344658708223107[[#This Row],[Actual Cost]]</f>
        <v>0</v>
      </c>
      <c r="G53" t="s">
        <v>107</v>
      </c>
      <c r="H53" s="3">
        <v>0</v>
      </c>
      <c r="I53" s="3">
        <v>0</v>
      </c>
      <c r="J53" s="3">
        <f>Legal354759718324108[[#This Row],[Projected Cost]]-Legal354759718324108[[#This Row],[Actual Cost]]</f>
        <v>0</v>
      </c>
    </row>
    <row r="54" spans="1:10" x14ac:dyDescent="0.3">
      <c r="B54" t="s">
        <v>66</v>
      </c>
      <c r="C54" s="3"/>
      <c r="D54" s="3"/>
      <c r="E54" s="3">
        <f>SUBTOTAL(109,Pets344658708223107[Difference])</f>
        <v>0</v>
      </c>
      <c r="H54" s="3"/>
      <c r="I54" s="3"/>
      <c r="J54" s="3">
        <f>Legal354759718324108[[#This Row],[Projected Cost]]-Legal354759718324108[[#This Row],[Actual Cost]]</f>
        <v>0</v>
      </c>
    </row>
    <row r="55" spans="1:10" x14ac:dyDescent="0.3">
      <c r="B55" s="41"/>
      <c r="C55" s="41"/>
      <c r="D55" s="41"/>
      <c r="E55" s="41"/>
      <c r="H55" s="3"/>
      <c r="I55" s="3"/>
      <c r="J55" s="3">
        <f>Legal354759718324108[[#This Row],[Projected Cost]]-Legal354759718324108[[#This Row],[Actual Cost]]</f>
        <v>0</v>
      </c>
    </row>
    <row r="56" spans="1:10" x14ac:dyDescent="0.3">
      <c r="A56" s="13" t="s">
        <v>85</v>
      </c>
      <c r="B56" s="8" t="s">
        <v>57</v>
      </c>
      <c r="C56" s="8" t="s">
        <v>114</v>
      </c>
      <c r="D56" s="8" t="s">
        <v>7</v>
      </c>
      <c r="E56" s="8" t="s">
        <v>8</v>
      </c>
      <c r="H56" s="3"/>
      <c r="I56" s="3"/>
      <c r="J56" s="3">
        <f>Legal354759718324108[[#This Row],[Projected Cost]]-Legal354759718324108[[#This Row],[Actual Cost]]</f>
        <v>0</v>
      </c>
    </row>
    <row r="57" spans="1:10" x14ac:dyDescent="0.3">
      <c r="B57" s="8" t="s">
        <v>54</v>
      </c>
      <c r="C57" s="9"/>
      <c r="D57" s="9"/>
      <c r="E57" s="9">
        <f>PersonalCare364860728485109[[#This Row],[z]]-PersonalCare364860728485109[[#This Row],[Actual Cost]]</f>
        <v>0</v>
      </c>
      <c r="G57" t="s">
        <v>66</v>
      </c>
      <c r="H57" s="3">
        <f>SUBTOTAL(109,Legal354759718324108[Projected Cost])</f>
        <v>0</v>
      </c>
      <c r="I57" s="3">
        <f>SUBTOTAL(109,Legal354759718324108[Actual Cost])</f>
        <v>0</v>
      </c>
      <c r="J57" s="3">
        <f>SUBTOTAL(109,Legal354759718324108[Difference])</f>
        <v>0</v>
      </c>
    </row>
    <row r="58" spans="1:10" x14ac:dyDescent="0.3">
      <c r="B58" s="8" t="s">
        <v>58</v>
      </c>
      <c r="C58" s="9"/>
      <c r="D58" s="9"/>
      <c r="E58" s="9">
        <f>PersonalCare364860728485109[[#This Row],[z]]-PersonalCare364860728485109[[#This Row],[Actual Cost]]</f>
        <v>0</v>
      </c>
      <c r="G58" s="41"/>
      <c r="H58" s="41"/>
      <c r="I58" s="41"/>
      <c r="J58" s="41"/>
    </row>
    <row r="59" spans="1:10" x14ac:dyDescent="0.3">
      <c r="A59" s="13" t="s">
        <v>86</v>
      </c>
      <c r="B59" s="8" t="s">
        <v>59</v>
      </c>
      <c r="C59" s="9"/>
      <c r="D59" s="9"/>
      <c r="E59" s="9">
        <f>PersonalCare364860728485109[[#This Row],[z]]-PersonalCare364860728485109[[#This Row],[Actual Cost]]</f>
        <v>0</v>
      </c>
      <c r="G59" s="42" t="s">
        <v>60</v>
      </c>
      <c r="H59" s="42"/>
      <c r="I59" s="42"/>
      <c r="J59" s="40">
        <f>SUBTOTAL(109,Housing25374961731498[Projected Cost],Transportation284052647617101[Projected Cost],Insurance294153657718102[Projected Cost],Food324456688021105[Projected Cost],Pets344658708223107[Projected Cost],PersonalCare364860728485109[z],Entertainment26385062741599[Projected Cost],Loans273951637516100[Projected Cost],Taxes304254667819103[Projected Cost],Savings314355677920104[Projected Cost],Gifts334557698122106[Projected Cost],Legal354759718324108[Projected Cost])</f>
        <v>29882</v>
      </c>
    </row>
    <row r="60" spans="1:10" x14ac:dyDescent="0.3">
      <c r="B60" s="8" t="s">
        <v>61</v>
      </c>
      <c r="C60" s="9"/>
      <c r="D60" s="9"/>
      <c r="E60" s="9">
        <f>PersonalCare364860728485109[[#This Row],[z]]-PersonalCare364860728485109[[#This Row],[Actual Cost]]</f>
        <v>0</v>
      </c>
      <c r="G60" s="42"/>
      <c r="H60" s="42"/>
      <c r="I60" s="42"/>
      <c r="J60" s="40"/>
    </row>
    <row r="61" spans="1:10" x14ac:dyDescent="0.3">
      <c r="B61" s="8" t="s">
        <v>62</v>
      </c>
      <c r="C61" s="9"/>
      <c r="D61" s="9"/>
      <c r="E61" s="9">
        <f>PersonalCare364860728485109[[#This Row],[z]]-PersonalCare364860728485109[[#This Row],[Actual Cost]]</f>
        <v>0</v>
      </c>
      <c r="G61" s="42" t="s">
        <v>63</v>
      </c>
      <c r="H61" s="42"/>
      <c r="I61" s="42"/>
      <c r="J61" s="40">
        <f>SUBTOTAL(109,Housing25374961731498[Actual Cost],Transportation284052647617101[Actual Cost],Insurance294153657718102[Actual Cost],Food324456688021105[Actual Cost],Pets344658708223107[Actual Cost],PersonalCare364860728485109[Actual Cost],Entertainment26385062741599[Actual Cost],Loans273951637516100[Actual Cost],Taxes304254667819103[Actual Cost],Savings314355677920104[Actual Cost],Gifts334557698122106[Actual Cost],Legal354759718324108[Actual Cost])</f>
        <v>29882</v>
      </c>
    </row>
    <row r="62" spans="1:10" x14ac:dyDescent="0.3">
      <c r="B62" s="8" t="s">
        <v>64</v>
      </c>
      <c r="C62" s="9"/>
      <c r="D62" s="9"/>
      <c r="E62" s="9">
        <f>PersonalCare364860728485109[[#This Row],[z]]-PersonalCare364860728485109[[#This Row],[Actual Cost]]</f>
        <v>0</v>
      </c>
      <c r="G62" s="42"/>
      <c r="H62" s="42"/>
      <c r="I62" s="42"/>
      <c r="J62" s="40"/>
    </row>
    <row r="63" spans="1:10" x14ac:dyDescent="0.3">
      <c r="B63" s="8" t="s">
        <v>23</v>
      </c>
      <c r="C63" s="9"/>
      <c r="D63" s="9"/>
      <c r="E63" s="9">
        <f>PersonalCare364860728485109[[#This Row],[z]]-PersonalCare364860728485109[[#This Row],[Actual Cost]]</f>
        <v>0</v>
      </c>
      <c r="G63" s="42" t="s">
        <v>65</v>
      </c>
      <c r="H63" s="42"/>
      <c r="I63" s="42"/>
      <c r="J63" s="40">
        <f>J59-J61</f>
        <v>0</v>
      </c>
    </row>
    <row r="64" spans="1:10" x14ac:dyDescent="0.3">
      <c r="B64" s="8" t="s">
        <v>66</v>
      </c>
      <c r="C64" s="9"/>
      <c r="D64" s="9"/>
      <c r="E64" s="9">
        <f>SUBTOTAL(109,PersonalCare364860728485109[Difference])</f>
        <v>0</v>
      </c>
      <c r="G64" s="42"/>
      <c r="H64" s="42"/>
      <c r="I64" s="42"/>
      <c r="J64" s="40"/>
    </row>
    <row r="65" spans="2:5" x14ac:dyDescent="0.3">
      <c r="B65" s="41"/>
      <c r="C65" s="41"/>
      <c r="D65" s="41"/>
      <c r="E65" s="41"/>
    </row>
  </sheetData>
  <mergeCells count="32">
    <mergeCell ref="G61:I62"/>
    <mergeCell ref="J61:J62"/>
    <mergeCell ref="G63:I64"/>
    <mergeCell ref="J63:J64"/>
    <mergeCell ref="B65:E65"/>
    <mergeCell ref="G59:I60"/>
    <mergeCell ref="J59:J60"/>
    <mergeCell ref="G23:J23"/>
    <mergeCell ref="B24:E24"/>
    <mergeCell ref="G32:J32"/>
    <mergeCell ref="B34:E34"/>
    <mergeCell ref="G39:J39"/>
    <mergeCell ref="B41:E41"/>
    <mergeCell ref="G45:J45"/>
    <mergeCell ref="B47:E47"/>
    <mergeCell ref="G51:J51"/>
    <mergeCell ref="B55:E55"/>
    <mergeCell ref="G58:J58"/>
    <mergeCell ref="B8:B10"/>
    <mergeCell ref="C8:D8"/>
    <mergeCell ref="G8:I9"/>
    <mergeCell ref="J8:J9"/>
    <mergeCell ref="C9:D9"/>
    <mergeCell ref="C10:D10"/>
    <mergeCell ref="B4:B6"/>
    <mergeCell ref="C4:D4"/>
    <mergeCell ref="G4:I5"/>
    <mergeCell ref="J4:J5"/>
    <mergeCell ref="C5:D5"/>
    <mergeCell ref="C6:D6"/>
    <mergeCell ref="G6:I7"/>
    <mergeCell ref="J6:J7"/>
  </mergeCells>
  <conditionalFormatting sqref="J8:J9">
    <cfRule type="cellIs" dxfId="563" priority="2" operator="lessThan">
      <formula>0</formula>
    </cfRule>
  </conditionalFormatting>
  <conditionalFormatting sqref="J63:J64">
    <cfRule type="cellIs" dxfId="562" priority="1" operator="lessThan">
      <formula>0</formula>
    </cfRule>
  </conditionalFormatting>
  <printOptions horizontalCentered="1"/>
  <pageMargins left="0.4" right="0.4" top="0.4" bottom="0.4" header="0.3" footer="0.3"/>
  <pageSetup scale="81" fitToHeight="0" orientation="portrait" r:id="rId1"/>
  <headerFooter differentFirst="1">
    <oddFooter>Page &amp;P of &amp;N</oddFooter>
  </headerFooter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94CF1-3FFE-4FA1-B486-7F0086D594AE}">
  <sheetPr>
    <tabColor theme="4"/>
    <pageSetUpPr autoPageBreaks="0" fitToPage="1"/>
  </sheetPr>
  <dimension ref="A1:J65"/>
  <sheetViews>
    <sheetView showGridLines="0" topLeftCell="A28" zoomScale="85" zoomScaleNormal="85" workbookViewId="0">
      <selection activeCell="B2" sqref="B2"/>
    </sheetView>
  </sheetViews>
  <sheetFormatPr defaultRowHeight="13" x14ac:dyDescent="0.3"/>
  <cols>
    <col min="1" max="1" width="2.69921875" style="13" customWidth="1"/>
    <col min="2" max="2" width="64.69921875" bestFit="1" customWidth="1"/>
    <col min="3" max="3" width="16" customWidth="1"/>
    <col min="4" max="4" width="13" customWidth="1"/>
    <col min="5" max="5" width="13.5" bestFit="1" customWidth="1"/>
    <col min="6" max="6" width="2.69921875" customWidth="1"/>
    <col min="7" max="7" width="27.09765625" customWidth="1"/>
    <col min="8" max="8" width="16" customWidth="1"/>
    <col min="9" max="9" width="13" customWidth="1"/>
    <col min="10" max="10" width="14.296875" bestFit="1" customWidth="1"/>
    <col min="11" max="11" width="2.69921875" customWidth="1"/>
  </cols>
  <sheetData>
    <row r="1" spans="1:10" s="2" customFormat="1" ht="14.5" x14ac:dyDescent="0.35">
      <c r="A1" s="12" t="s">
        <v>74</v>
      </c>
    </row>
    <row r="2" spans="1:10" s="2" customFormat="1" ht="30.5" thickBot="1" x14ac:dyDescent="0.7">
      <c r="A2" s="12" t="s">
        <v>75</v>
      </c>
      <c r="B2" s="1" t="s">
        <v>152</v>
      </c>
      <c r="C2" s="1"/>
      <c r="D2" s="1"/>
      <c r="E2" s="1"/>
      <c r="F2" s="1"/>
      <c r="G2" s="1"/>
      <c r="H2" s="1"/>
      <c r="I2" s="1"/>
      <c r="J2" s="1"/>
    </row>
    <row r="4" spans="1:10" x14ac:dyDescent="0.3">
      <c r="A4" s="13" t="s">
        <v>77</v>
      </c>
      <c r="B4" s="33" t="s">
        <v>0</v>
      </c>
      <c r="C4" s="36" t="s">
        <v>1</v>
      </c>
      <c r="D4" s="37"/>
      <c r="E4" s="5">
        <v>100000</v>
      </c>
      <c r="G4" s="38" t="s">
        <v>97</v>
      </c>
      <c r="H4" s="39"/>
      <c r="I4" s="39"/>
      <c r="J4" s="40">
        <f>E6-J61</f>
        <v>80118</v>
      </c>
    </row>
    <row r="5" spans="1:10" x14ac:dyDescent="0.3">
      <c r="B5" s="34"/>
      <c r="C5" s="36" t="s">
        <v>111</v>
      </c>
      <c r="D5" s="37"/>
      <c r="E5" s="6">
        <v>25000</v>
      </c>
      <c r="G5" s="39"/>
      <c r="H5" s="39"/>
      <c r="I5" s="39"/>
      <c r="J5" s="40"/>
    </row>
    <row r="6" spans="1:10" x14ac:dyDescent="0.3">
      <c r="A6" s="13" t="s">
        <v>78</v>
      </c>
      <c r="B6" s="35"/>
      <c r="C6" s="36" t="s">
        <v>3</v>
      </c>
      <c r="D6" s="37"/>
      <c r="E6" s="7">
        <f>SUM(E4:E5)</f>
        <v>125000</v>
      </c>
      <c r="G6" s="38" t="s">
        <v>96</v>
      </c>
      <c r="H6" s="39"/>
      <c r="I6" s="39"/>
      <c r="J6" s="40">
        <f>E10-J61</f>
        <v>-44882</v>
      </c>
    </row>
    <row r="7" spans="1:10" x14ac:dyDescent="0.3">
      <c r="B7" s="4"/>
      <c r="C7" s="4"/>
      <c r="D7" s="4"/>
      <c r="E7" s="4"/>
      <c r="G7" s="39"/>
      <c r="H7" s="39"/>
      <c r="I7" s="39"/>
      <c r="J7" s="40"/>
    </row>
    <row r="8" spans="1:10" x14ac:dyDescent="0.3">
      <c r="A8" s="13" t="s">
        <v>79</v>
      </c>
      <c r="B8" s="33" t="s">
        <v>4</v>
      </c>
      <c r="C8" s="36" t="s">
        <v>1</v>
      </c>
      <c r="D8" s="37"/>
      <c r="E8" s="5">
        <v>0</v>
      </c>
      <c r="G8" s="38" t="s">
        <v>67</v>
      </c>
      <c r="H8" s="39"/>
      <c r="I8" s="39"/>
      <c r="J8" s="40">
        <f>J6-J4</f>
        <v>-125000</v>
      </c>
    </row>
    <row r="9" spans="1:10" x14ac:dyDescent="0.3">
      <c r="B9" s="34"/>
      <c r="C9" s="36" t="s">
        <v>2</v>
      </c>
      <c r="D9" s="37"/>
      <c r="E9" s="6">
        <v>0</v>
      </c>
      <c r="G9" s="39"/>
      <c r="H9" s="39"/>
      <c r="I9" s="39"/>
      <c r="J9" s="40"/>
    </row>
    <row r="10" spans="1:10" x14ac:dyDescent="0.3">
      <c r="B10" s="35"/>
      <c r="C10" s="36" t="s">
        <v>3</v>
      </c>
      <c r="D10" s="37"/>
      <c r="E10" s="7">
        <f>SUM(E8:E9)</f>
        <v>0</v>
      </c>
    </row>
    <row r="12" spans="1:10" x14ac:dyDescent="0.3">
      <c r="A12" s="13" t="s">
        <v>80</v>
      </c>
      <c r="B12" s="8" t="s">
        <v>5</v>
      </c>
      <c r="C12" s="8" t="s">
        <v>6</v>
      </c>
      <c r="D12" s="8" t="s">
        <v>7</v>
      </c>
      <c r="E12" s="8" t="s">
        <v>8</v>
      </c>
      <c r="G12" t="s">
        <v>9</v>
      </c>
      <c r="H12" t="s">
        <v>6</v>
      </c>
      <c r="I12" t="s">
        <v>7</v>
      </c>
      <c r="J12" t="s">
        <v>8</v>
      </c>
    </row>
    <row r="13" spans="1:10" x14ac:dyDescent="0.3">
      <c r="B13" s="8" t="s">
        <v>10</v>
      </c>
      <c r="C13" s="9">
        <v>12000</v>
      </c>
      <c r="D13" s="9">
        <v>12000</v>
      </c>
      <c r="E13" s="9">
        <f>Housing253749617314[[#This Row],[Projected Cost]]-Housing253749617314[[#This Row],[Actual Cost]]</f>
        <v>0</v>
      </c>
      <c r="G13" t="s">
        <v>11</v>
      </c>
      <c r="H13" s="3"/>
      <c r="I13" s="3"/>
      <c r="J13" s="3">
        <f>Entertainment263850627415[[#This Row],[Projected Cost]]-Entertainment263850627415[[#This Row],[Actual Cost]]</f>
        <v>0</v>
      </c>
    </row>
    <row r="14" spans="1:10" x14ac:dyDescent="0.3">
      <c r="B14" s="8" t="s">
        <v>12</v>
      </c>
      <c r="C14" s="9">
        <v>300</v>
      </c>
      <c r="D14" s="9">
        <v>300</v>
      </c>
      <c r="E14" s="9">
        <f>Housing253749617314[[#This Row],[Projected Cost]]-Housing253749617314[[#This Row],[Actual Cost]]</f>
        <v>0</v>
      </c>
      <c r="G14" t="s">
        <v>13</v>
      </c>
      <c r="H14" s="3"/>
      <c r="I14" s="3"/>
      <c r="J14" s="3">
        <f>Entertainment263850627415[[#This Row],[Projected Cost]]-Entertainment263850627415[[#This Row],[Actual Cost]]</f>
        <v>0</v>
      </c>
    </row>
    <row r="15" spans="1:10" x14ac:dyDescent="0.3">
      <c r="B15" s="8" t="s">
        <v>14</v>
      </c>
      <c r="C15" s="9">
        <v>707</v>
      </c>
      <c r="D15" s="9">
        <v>707</v>
      </c>
      <c r="E15" s="9">
        <f>Housing253749617314[[#This Row],[Projected Cost]]-Housing253749617314[[#This Row],[Actual Cost]]</f>
        <v>0</v>
      </c>
      <c r="G15" t="s">
        <v>15</v>
      </c>
      <c r="H15" s="3"/>
      <c r="I15" s="3"/>
      <c r="J15" s="3">
        <f>Entertainment263850627415[[#This Row],[Projected Cost]]-Entertainment263850627415[[#This Row],[Actual Cost]]</f>
        <v>0</v>
      </c>
    </row>
    <row r="16" spans="1:10" x14ac:dyDescent="0.3">
      <c r="B16" s="8" t="s">
        <v>16</v>
      </c>
      <c r="C16" s="9">
        <v>0</v>
      </c>
      <c r="D16" s="9">
        <v>0</v>
      </c>
      <c r="E16" s="9">
        <f>Housing253749617314[[#This Row],[Projected Cost]]-Housing253749617314[[#This Row],[Actual Cost]]</f>
        <v>0</v>
      </c>
      <c r="G16" t="s">
        <v>17</v>
      </c>
      <c r="H16" s="3"/>
      <c r="I16" s="3"/>
      <c r="J16" s="3">
        <f>Entertainment263850627415[[#This Row],[Projected Cost]]-Entertainment263850627415[[#This Row],[Actual Cost]]</f>
        <v>0</v>
      </c>
    </row>
    <row r="17" spans="1:10" x14ac:dyDescent="0.3">
      <c r="B17" s="8" t="s">
        <v>18</v>
      </c>
      <c r="C17" s="9">
        <v>0</v>
      </c>
      <c r="D17" s="9">
        <v>0</v>
      </c>
      <c r="E17" s="9">
        <f>Housing253749617314[[#This Row],[Projected Cost]]-Housing253749617314[[#This Row],[Actual Cost]]</f>
        <v>0</v>
      </c>
      <c r="G17" t="s">
        <v>19</v>
      </c>
      <c r="H17" s="3"/>
      <c r="I17" s="3"/>
      <c r="J17" s="3">
        <f>Entertainment263850627415[[#This Row],[Projected Cost]]-Entertainment263850627415[[#This Row],[Actual Cost]]</f>
        <v>0</v>
      </c>
    </row>
    <row r="18" spans="1:10" x14ac:dyDescent="0.3">
      <c r="B18" s="8" t="s">
        <v>20</v>
      </c>
      <c r="C18" s="9">
        <v>1000</v>
      </c>
      <c r="D18" s="9">
        <v>1000</v>
      </c>
      <c r="E18" s="9">
        <f>Housing253749617314[[#This Row],[Projected Cost]]-Housing253749617314[[#This Row],[Actual Cost]]</f>
        <v>0</v>
      </c>
      <c r="G18" t="s">
        <v>21</v>
      </c>
      <c r="H18" s="3"/>
      <c r="I18" s="3"/>
      <c r="J18" s="3">
        <f>Entertainment263850627415[[#This Row],[Projected Cost]]-Entertainment263850627415[[#This Row],[Actual Cost]]</f>
        <v>0</v>
      </c>
    </row>
    <row r="19" spans="1:10" x14ac:dyDescent="0.3">
      <c r="B19" s="8" t="s">
        <v>22</v>
      </c>
      <c r="C19" s="9">
        <v>0</v>
      </c>
      <c r="D19" s="9">
        <v>0</v>
      </c>
      <c r="E19" s="9">
        <f>Housing253749617314[[#This Row],[Projected Cost]]-Housing253749617314[[#This Row],[Actual Cost]]</f>
        <v>0</v>
      </c>
      <c r="G19" t="s">
        <v>23</v>
      </c>
      <c r="H19" s="3"/>
      <c r="I19" s="3"/>
      <c r="J19" s="3">
        <f>Entertainment263850627415[[#This Row],[Projected Cost]]-Entertainment263850627415[[#This Row],[Actual Cost]]</f>
        <v>0</v>
      </c>
    </row>
    <row r="20" spans="1:10" x14ac:dyDescent="0.3">
      <c r="B20" s="8" t="s">
        <v>24</v>
      </c>
      <c r="C20" s="9">
        <v>0</v>
      </c>
      <c r="D20" s="9">
        <v>0</v>
      </c>
      <c r="E20" s="9">
        <f>Housing253749617314[[#This Row],[Projected Cost]]-Housing253749617314[[#This Row],[Actual Cost]]</f>
        <v>0</v>
      </c>
      <c r="G20" t="s">
        <v>23</v>
      </c>
      <c r="H20" s="3"/>
      <c r="I20" s="3"/>
      <c r="J20" s="3">
        <f>Entertainment263850627415[[#This Row],[Projected Cost]]-Entertainment263850627415[[#This Row],[Actual Cost]]</f>
        <v>0</v>
      </c>
    </row>
    <row r="21" spans="1:10" x14ac:dyDescent="0.3">
      <c r="B21" s="8" t="s">
        <v>25</v>
      </c>
      <c r="C21" s="9">
        <v>0</v>
      </c>
      <c r="D21" s="9">
        <v>0</v>
      </c>
      <c r="E21" s="9">
        <f>Housing253749617314[[#This Row],[Projected Cost]]-Housing253749617314[[#This Row],[Actual Cost]]</f>
        <v>0</v>
      </c>
      <c r="G21" t="s">
        <v>23</v>
      </c>
      <c r="H21" s="3"/>
      <c r="I21" s="3"/>
      <c r="J21" s="3">
        <f>Entertainment263850627415[[#This Row],[Projected Cost]]-Entertainment263850627415[[#This Row],[Actual Cost]]</f>
        <v>0</v>
      </c>
    </row>
    <row r="22" spans="1:10" x14ac:dyDescent="0.3">
      <c r="B22" s="8" t="s">
        <v>23</v>
      </c>
      <c r="C22" s="9">
        <v>0</v>
      </c>
      <c r="D22" s="9">
        <v>0</v>
      </c>
      <c r="E22" s="9">
        <f>Housing253749617314[[#This Row],[Projected Cost]]-Housing253749617314[[#This Row],[Actual Cost]]</f>
        <v>0</v>
      </c>
      <c r="G22" t="s">
        <v>66</v>
      </c>
      <c r="H22" s="3"/>
      <c r="I22" s="3"/>
      <c r="J22" s="3">
        <f>SUBTOTAL(109,Entertainment263850627415[Difference])</f>
        <v>0</v>
      </c>
    </row>
    <row r="23" spans="1:10" x14ac:dyDescent="0.3">
      <c r="B23" s="8" t="s">
        <v>66</v>
      </c>
      <c r="C23" s="9">
        <f>SUBTOTAL(109,Housing253749617314[Projected Cost])</f>
        <v>14007</v>
      </c>
      <c r="D23" s="9">
        <f>SUBTOTAL(109,Housing253749617314[Actual Cost])</f>
        <v>14007</v>
      </c>
      <c r="E23" s="9">
        <f>SUBTOTAL(109,Housing253749617314[Difference])</f>
        <v>0</v>
      </c>
      <c r="G23" s="41"/>
      <c r="H23" s="41"/>
      <c r="I23" s="41"/>
      <c r="J23" s="41"/>
    </row>
    <row r="24" spans="1:10" x14ac:dyDescent="0.3">
      <c r="B24" s="41"/>
      <c r="C24" s="41"/>
      <c r="D24" s="41"/>
      <c r="E24" s="41"/>
      <c r="G24" t="s">
        <v>26</v>
      </c>
      <c r="H24" t="s">
        <v>6</v>
      </c>
      <c r="I24" t="s">
        <v>7</v>
      </c>
      <c r="J24" t="s">
        <v>8</v>
      </c>
    </row>
    <row r="25" spans="1:10" x14ac:dyDescent="0.3">
      <c r="A25" s="13" t="s">
        <v>81</v>
      </c>
      <c r="B25" t="s">
        <v>27</v>
      </c>
      <c r="C25" t="s">
        <v>6</v>
      </c>
      <c r="D25" t="s">
        <v>7</v>
      </c>
      <c r="E25" t="s">
        <v>8</v>
      </c>
      <c r="G25" t="s">
        <v>28</v>
      </c>
      <c r="H25" s="3"/>
      <c r="I25" s="3"/>
      <c r="J25" s="3">
        <f>Loans273951637516[[#This Row],[Projected Cost]]-Loans273951637516[[#This Row],[Actual Cost]]</f>
        <v>0</v>
      </c>
    </row>
    <row r="26" spans="1:10" x14ac:dyDescent="0.3">
      <c r="B26" t="s">
        <v>29</v>
      </c>
      <c r="C26" s="3">
        <v>3800</v>
      </c>
      <c r="D26" s="3">
        <v>3800</v>
      </c>
      <c r="E26" s="3">
        <f>Transportation284052647617[[#This Row],[Projected Cost]]-Transportation284052647617[[#This Row],[Actual Cost]]</f>
        <v>0</v>
      </c>
      <c r="G26" t="s">
        <v>103</v>
      </c>
      <c r="H26" s="3">
        <v>10000</v>
      </c>
      <c r="I26" s="3">
        <v>10000</v>
      </c>
      <c r="J26" s="3">
        <f>Loans273951637516[[#This Row],[Projected Cost]]-Loans273951637516[[#This Row],[Actual Cost]]</f>
        <v>0</v>
      </c>
    </row>
    <row r="27" spans="1:10" x14ac:dyDescent="0.3">
      <c r="B27" t="s">
        <v>30</v>
      </c>
      <c r="C27" s="3">
        <v>0</v>
      </c>
      <c r="D27" s="3">
        <v>0</v>
      </c>
      <c r="E27" s="3">
        <v>0</v>
      </c>
      <c r="G27" t="s">
        <v>88</v>
      </c>
      <c r="H27" s="3">
        <v>2000</v>
      </c>
      <c r="I27" s="3">
        <v>2000</v>
      </c>
      <c r="J27" s="3">
        <f>Loans273951637516[[#This Row],[Projected Cost]]-Loans273951637516[[#This Row],[Actual Cost]]</f>
        <v>0</v>
      </c>
    </row>
    <row r="28" spans="1:10" x14ac:dyDescent="0.3">
      <c r="B28" t="s">
        <v>31</v>
      </c>
      <c r="C28" s="3">
        <v>0</v>
      </c>
      <c r="D28" s="3">
        <v>0</v>
      </c>
      <c r="E28" s="3">
        <f>Transportation284052647617[[#This Row],[Projected Cost]]-Transportation284052647617[[#This Row],[Actual Cost]]</f>
        <v>0</v>
      </c>
      <c r="G28" t="s">
        <v>89</v>
      </c>
      <c r="H28" s="3">
        <v>3000</v>
      </c>
      <c r="I28" s="3">
        <v>3000</v>
      </c>
      <c r="J28" s="3">
        <f>Loans273951637516[[#This Row],[Projected Cost]]-Loans273951637516[[#This Row],[Actual Cost]]</f>
        <v>0</v>
      </c>
    </row>
    <row r="29" spans="1:10" x14ac:dyDescent="0.3">
      <c r="B29" t="s">
        <v>32</v>
      </c>
      <c r="C29" s="3">
        <v>0</v>
      </c>
      <c r="D29" s="3">
        <v>0</v>
      </c>
      <c r="E29" s="3">
        <f>Transportation284052647617[[#This Row],[Projected Cost]]-Transportation284052647617[[#This Row],[Actual Cost]]</f>
        <v>0</v>
      </c>
      <c r="G29" t="s">
        <v>132</v>
      </c>
      <c r="H29" s="3">
        <v>5375</v>
      </c>
      <c r="I29" s="3">
        <v>5375</v>
      </c>
      <c r="J29" s="3">
        <f>Loans273951637516[[#This Row],[Projected Cost]]-Loans273951637516[[#This Row],[Actual Cost]]</f>
        <v>0</v>
      </c>
    </row>
    <row r="30" spans="1:10" x14ac:dyDescent="0.3">
      <c r="B30" t="s">
        <v>33</v>
      </c>
      <c r="C30" s="3">
        <v>1000</v>
      </c>
      <c r="D30" s="3">
        <v>1000</v>
      </c>
      <c r="E30" s="3">
        <f>Transportation284052647617[[#This Row],[Projected Cost]]-Transportation284052647617[[#This Row],[Actual Cost]]</f>
        <v>0</v>
      </c>
      <c r="H30" s="3"/>
      <c r="I30" s="3"/>
      <c r="J30" s="3">
        <f>Loans273951637516[[#This Row],[Projected Cost]]-Loans273951637516[[#This Row],[Actual Cost]]</f>
        <v>0</v>
      </c>
    </row>
    <row r="31" spans="1:10" x14ac:dyDescent="0.3">
      <c r="B31" t="s">
        <v>34</v>
      </c>
      <c r="C31" s="3">
        <v>0</v>
      </c>
      <c r="D31" s="3">
        <v>0</v>
      </c>
      <c r="E31" s="3">
        <f>Transportation284052647617[[#This Row],[Projected Cost]]-Transportation284052647617[[#This Row],[Actual Cost]]</f>
        <v>0</v>
      </c>
      <c r="G31" t="s">
        <v>66</v>
      </c>
      <c r="H31" s="3">
        <f>SUBTOTAL(109,Loans273951637516[Projected Cost])</f>
        <v>20375</v>
      </c>
      <c r="I31" s="3">
        <f>SUBTOTAL(109,Loans273951637516[Actual Cost])</f>
        <v>20375</v>
      </c>
      <c r="J31" s="3">
        <f>SUBTOTAL(109,Loans273951637516[Difference])</f>
        <v>0</v>
      </c>
    </row>
    <row r="32" spans="1:10" x14ac:dyDescent="0.3">
      <c r="B32" t="s">
        <v>23</v>
      </c>
      <c r="C32" s="3">
        <v>0</v>
      </c>
      <c r="D32" s="3">
        <v>0</v>
      </c>
      <c r="E32" s="3">
        <f>Transportation284052647617[[#This Row],[Projected Cost]]-Transportation284052647617[[#This Row],[Actual Cost]]</f>
        <v>0</v>
      </c>
      <c r="G32" s="41"/>
      <c r="H32" s="41"/>
      <c r="I32" s="41"/>
      <c r="J32" s="41"/>
    </row>
    <row r="33" spans="1:10" x14ac:dyDescent="0.3">
      <c r="B33" t="s">
        <v>66</v>
      </c>
      <c r="C33" s="3">
        <f>SUBTOTAL(109,Transportation284052647617[Projected Cost])</f>
        <v>4800</v>
      </c>
      <c r="D33" s="3">
        <f>SUBTOTAL(109,Transportation284052647617[Actual Cost])</f>
        <v>4800</v>
      </c>
      <c r="E33" s="3">
        <f>SUBTOTAL(109,Transportation284052647617[Difference])</f>
        <v>0</v>
      </c>
      <c r="G33" t="s">
        <v>35</v>
      </c>
      <c r="H33" t="s">
        <v>6</v>
      </c>
      <c r="I33" t="s">
        <v>7</v>
      </c>
      <c r="J33" t="s">
        <v>8</v>
      </c>
    </row>
    <row r="34" spans="1:10" x14ac:dyDescent="0.3">
      <c r="B34" s="41"/>
      <c r="C34" s="41"/>
      <c r="D34" s="41"/>
      <c r="E34" s="41"/>
      <c r="G34" t="s">
        <v>36</v>
      </c>
      <c r="H34" s="3"/>
      <c r="I34" s="3"/>
      <c r="J34" s="3">
        <f>Taxes304254667819[[#This Row],[Projected Cost]]-Taxes304254667819[[#This Row],[Actual Cost]]</f>
        <v>0</v>
      </c>
    </row>
    <row r="35" spans="1:10" x14ac:dyDescent="0.3">
      <c r="A35" s="13" t="s">
        <v>82</v>
      </c>
      <c r="B35" t="s">
        <v>37</v>
      </c>
      <c r="C35" t="s">
        <v>6</v>
      </c>
      <c r="D35" t="s">
        <v>7</v>
      </c>
      <c r="E35" t="s">
        <v>8</v>
      </c>
      <c r="G35" t="s">
        <v>38</v>
      </c>
      <c r="H35" s="3"/>
      <c r="I35" s="3"/>
      <c r="J35" s="3">
        <f>Taxes304254667819[[#This Row],[Projected Cost]]-Taxes304254667819[[#This Row],[Actual Cost]]</f>
        <v>0</v>
      </c>
    </row>
    <row r="36" spans="1:10" x14ac:dyDescent="0.3">
      <c r="B36" t="s">
        <v>39</v>
      </c>
      <c r="C36" s="3"/>
      <c r="D36" s="3"/>
      <c r="E36" s="3">
        <f>Insurance294153657718[[#This Row],[Projected Cost]]-Insurance294153657718[[#This Row],[Actual Cost]]</f>
        <v>0</v>
      </c>
      <c r="G36" t="s">
        <v>40</v>
      </c>
      <c r="H36" s="3"/>
      <c r="I36" s="3"/>
      <c r="J36" s="3">
        <f>Taxes304254667819[[#This Row],[Projected Cost]]-Taxes304254667819[[#This Row],[Actual Cost]]</f>
        <v>0</v>
      </c>
    </row>
    <row r="37" spans="1:10" x14ac:dyDescent="0.3">
      <c r="B37" t="s">
        <v>41</v>
      </c>
      <c r="C37" s="3"/>
      <c r="D37" s="3"/>
      <c r="E37" s="3">
        <f>Insurance294153657718[[#This Row],[Projected Cost]]-Insurance294153657718[[#This Row],[Actual Cost]]</f>
        <v>0</v>
      </c>
      <c r="G37" t="s">
        <v>23</v>
      </c>
      <c r="H37" s="3"/>
      <c r="I37" s="3"/>
      <c r="J37" s="3">
        <f>Taxes304254667819[[#This Row],[Projected Cost]]-Taxes304254667819[[#This Row],[Actual Cost]]</f>
        <v>0</v>
      </c>
    </row>
    <row r="38" spans="1:10" x14ac:dyDescent="0.3">
      <c r="B38" t="s">
        <v>42</v>
      </c>
      <c r="C38" s="3"/>
      <c r="D38" s="3"/>
      <c r="E38" s="3">
        <f>Insurance294153657718[[#This Row],[Projected Cost]]-Insurance294153657718[[#This Row],[Actual Cost]]</f>
        <v>0</v>
      </c>
      <c r="G38" t="s">
        <v>66</v>
      </c>
      <c r="H38" s="3"/>
      <c r="I38" s="3"/>
      <c r="J38" s="3">
        <f>SUBTOTAL(109,Taxes304254667819[Difference])</f>
        <v>0</v>
      </c>
    </row>
    <row r="39" spans="1:10" x14ac:dyDescent="0.3">
      <c r="B39" t="s">
        <v>23</v>
      </c>
      <c r="C39" s="3"/>
      <c r="D39" s="3"/>
      <c r="E39" s="3">
        <f>Insurance294153657718[[#This Row],[Projected Cost]]-Insurance294153657718[[#This Row],[Actual Cost]]</f>
        <v>0</v>
      </c>
      <c r="G39" s="41"/>
      <c r="H39" s="41"/>
      <c r="I39" s="41"/>
      <c r="J39" s="41"/>
    </row>
    <row r="40" spans="1:10" x14ac:dyDescent="0.3">
      <c r="B40" t="s">
        <v>66</v>
      </c>
      <c r="C40" s="3"/>
      <c r="D40" s="3"/>
      <c r="E40" s="3">
        <f>SUBTOTAL(109,Insurance294153657718[Difference])</f>
        <v>0</v>
      </c>
      <c r="G40" t="s">
        <v>43</v>
      </c>
      <c r="H40" t="s">
        <v>6</v>
      </c>
      <c r="I40" t="s">
        <v>7</v>
      </c>
      <c r="J40" t="s">
        <v>8</v>
      </c>
    </row>
    <row r="41" spans="1:10" x14ac:dyDescent="0.3">
      <c r="B41" s="41"/>
      <c r="C41" s="41"/>
      <c r="D41" s="41"/>
      <c r="E41" s="41"/>
      <c r="G41" t="s">
        <v>44</v>
      </c>
      <c r="H41" s="3"/>
      <c r="I41" s="3"/>
      <c r="J41" s="3">
        <f>Savings314355677920[[#This Row],[Projected Cost]]-Savings314355677920[[#This Row],[Actual Cost]]</f>
        <v>0</v>
      </c>
    </row>
    <row r="42" spans="1:10" x14ac:dyDescent="0.3">
      <c r="A42" s="13" t="s">
        <v>83</v>
      </c>
      <c r="B42" t="s">
        <v>45</v>
      </c>
      <c r="C42" t="s">
        <v>6</v>
      </c>
      <c r="D42" t="s">
        <v>7</v>
      </c>
      <c r="E42" t="s">
        <v>8</v>
      </c>
      <c r="G42" t="s">
        <v>46</v>
      </c>
      <c r="H42" s="3"/>
      <c r="I42" s="3"/>
      <c r="J42" s="3">
        <f>Savings314355677920[[#This Row],[Projected Cost]]-Savings314355677920[[#This Row],[Actual Cost]]</f>
        <v>0</v>
      </c>
    </row>
    <row r="43" spans="1:10" x14ac:dyDescent="0.3">
      <c r="B43" t="s">
        <v>47</v>
      </c>
      <c r="C43" s="3"/>
      <c r="D43" s="3"/>
      <c r="E43" s="3">
        <f>Food324456688021[[#This Row],[Projected Cost]]-Food324456688021[[#This Row],[Actual Cost]]</f>
        <v>0</v>
      </c>
      <c r="G43" t="s">
        <v>91</v>
      </c>
      <c r="H43" s="3">
        <v>3000</v>
      </c>
      <c r="I43" s="3">
        <v>3000</v>
      </c>
      <c r="J43" s="3">
        <f>Savings314355677920[[#This Row],[Projected Cost]]-Savings314355677920[[#This Row],[Actual Cost]]</f>
        <v>0</v>
      </c>
    </row>
    <row r="44" spans="1:10" x14ac:dyDescent="0.3">
      <c r="B44" t="s">
        <v>94</v>
      </c>
      <c r="C44" s="3">
        <v>700</v>
      </c>
      <c r="D44" s="3">
        <v>700</v>
      </c>
      <c r="E44" s="3">
        <f>Food324456688021[[#This Row],[Projected Cost]]-Food324456688021[[#This Row],[Actual Cost]]</f>
        <v>0</v>
      </c>
      <c r="G44" t="s">
        <v>66</v>
      </c>
      <c r="H44" s="3">
        <f>SUBTOTAL(109,Savings314355677920[Projected Cost])</f>
        <v>3000</v>
      </c>
      <c r="I44" s="3">
        <f>SUBTOTAL(109,Savings314355677920[Actual Cost])</f>
        <v>3000</v>
      </c>
      <c r="J44" s="3">
        <f>SUBTOTAL(109,Savings314355677920[Difference])</f>
        <v>0</v>
      </c>
    </row>
    <row r="45" spans="1:10" x14ac:dyDescent="0.3">
      <c r="B45" t="s">
        <v>98</v>
      </c>
      <c r="C45" s="3">
        <v>2000</v>
      </c>
      <c r="D45" s="3">
        <v>2000</v>
      </c>
      <c r="E45" s="3">
        <f>Food324456688021[[#This Row],[Projected Cost]]-Food324456688021[[#This Row],[Actual Cost]]</f>
        <v>0</v>
      </c>
      <c r="G45" s="41"/>
      <c r="H45" s="41"/>
      <c r="I45" s="41"/>
      <c r="J45" s="41"/>
    </row>
    <row r="46" spans="1:10" x14ac:dyDescent="0.3">
      <c r="B46" t="s">
        <v>66</v>
      </c>
      <c r="C46" s="3">
        <f>SUBTOTAL(109,Food324456688021[Projected Cost])</f>
        <v>2700</v>
      </c>
      <c r="D46" s="3">
        <f>SUBTOTAL(109,Food324456688021[Actual Cost])</f>
        <v>2700</v>
      </c>
      <c r="E46" s="3">
        <f>SUBTOTAL(109,Food324456688021[Difference])</f>
        <v>0</v>
      </c>
      <c r="G46" t="s">
        <v>48</v>
      </c>
      <c r="H46" t="s">
        <v>6</v>
      </c>
      <c r="I46" t="s">
        <v>7</v>
      </c>
      <c r="J46" t="s">
        <v>8</v>
      </c>
    </row>
    <row r="47" spans="1:10" x14ac:dyDescent="0.3">
      <c r="B47" s="41"/>
      <c r="C47" s="41"/>
      <c r="D47" s="41"/>
      <c r="E47" s="41"/>
      <c r="G47" t="s">
        <v>49</v>
      </c>
      <c r="H47" s="3"/>
      <c r="I47" s="3"/>
      <c r="J47" s="3">
        <f>Gifts334557698122[[#This Row],[Projected Cost]]-Gifts334557698122[[#This Row],[Actual Cost]]</f>
        <v>0</v>
      </c>
    </row>
    <row r="48" spans="1:10" x14ac:dyDescent="0.3">
      <c r="A48" s="13" t="s">
        <v>84</v>
      </c>
      <c r="B48" t="s">
        <v>50</v>
      </c>
      <c r="C48" t="s">
        <v>6</v>
      </c>
      <c r="D48" t="s">
        <v>7</v>
      </c>
      <c r="E48" t="s">
        <v>8</v>
      </c>
      <c r="G48" t="s">
        <v>51</v>
      </c>
      <c r="H48" s="3"/>
      <c r="I48" s="3"/>
      <c r="J48" s="3">
        <f>Gifts334557698122[[#This Row],[Projected Cost]]-Gifts334557698122[[#This Row],[Actual Cost]]</f>
        <v>0</v>
      </c>
    </row>
    <row r="49" spans="1:10" x14ac:dyDescent="0.3">
      <c r="B49" t="s">
        <v>52</v>
      </c>
      <c r="C49" s="3"/>
      <c r="D49" s="3"/>
      <c r="E49" s="3">
        <f>Pets344658708223[[#This Row],[Projected Cost]]-Pets344658708223[[#This Row],[Actual Cost]]</f>
        <v>0</v>
      </c>
      <c r="G49" t="s">
        <v>53</v>
      </c>
      <c r="H49" s="3"/>
      <c r="I49" s="3"/>
      <c r="J49" s="3">
        <f>Gifts334557698122[[#This Row],[Projected Cost]]-Gifts334557698122[[#This Row],[Actual Cost]]</f>
        <v>0</v>
      </c>
    </row>
    <row r="50" spans="1:10" x14ac:dyDescent="0.3">
      <c r="B50" t="s">
        <v>54</v>
      </c>
      <c r="C50" s="3"/>
      <c r="D50" s="3"/>
      <c r="E50" s="3">
        <f>Pets344658708223[[#This Row],[Projected Cost]]-Pets344658708223[[#This Row],[Actual Cost]]</f>
        <v>0</v>
      </c>
      <c r="G50" t="s">
        <v>66</v>
      </c>
      <c r="H50" s="3"/>
      <c r="I50" s="3"/>
      <c r="J50" s="3">
        <f>SUBTOTAL(109,Gifts334557698122[Difference])</f>
        <v>0</v>
      </c>
    </row>
    <row r="51" spans="1:10" x14ac:dyDescent="0.3">
      <c r="B51" t="s">
        <v>55</v>
      </c>
      <c r="C51" s="3"/>
      <c r="D51" s="3"/>
      <c r="E51" s="3">
        <f>Pets344658708223[[#This Row],[Projected Cost]]-Pets344658708223[[#This Row],[Actual Cost]]</f>
        <v>0</v>
      </c>
      <c r="G51" s="41"/>
      <c r="H51" s="41"/>
      <c r="I51" s="41"/>
      <c r="J51" s="41"/>
    </row>
    <row r="52" spans="1:10" x14ac:dyDescent="0.3">
      <c r="B52" t="s">
        <v>56</v>
      </c>
      <c r="C52" s="3"/>
      <c r="D52" s="3"/>
      <c r="E52" s="3">
        <f>Pets344658708223[[#This Row],[Projected Cost]]-Pets344658708223[[#This Row],[Actual Cost]]</f>
        <v>0</v>
      </c>
      <c r="G52" t="s">
        <v>106</v>
      </c>
      <c r="H52" t="s">
        <v>6</v>
      </c>
      <c r="I52" t="s">
        <v>7</v>
      </c>
      <c r="J52" t="s">
        <v>8</v>
      </c>
    </row>
    <row r="53" spans="1:10" x14ac:dyDescent="0.3">
      <c r="B53" t="s">
        <v>23</v>
      </c>
      <c r="C53" s="3"/>
      <c r="D53" s="3"/>
      <c r="E53" s="3">
        <f>Pets344658708223[[#This Row],[Projected Cost]]-Pets344658708223[[#This Row],[Actual Cost]]</f>
        <v>0</v>
      </c>
      <c r="G53" t="s">
        <v>107</v>
      </c>
      <c r="H53" s="3">
        <v>0</v>
      </c>
      <c r="I53" s="3">
        <v>0</v>
      </c>
      <c r="J53" s="3">
        <f>Legal354759718324[[#This Row],[Projected Cost]]-Legal354759718324[[#This Row],[Actual Cost]]</f>
        <v>0</v>
      </c>
    </row>
    <row r="54" spans="1:10" x14ac:dyDescent="0.3">
      <c r="B54" t="s">
        <v>66</v>
      </c>
      <c r="C54" s="3"/>
      <c r="D54" s="3"/>
      <c r="E54" s="3">
        <f>SUBTOTAL(109,Pets344658708223[Difference])</f>
        <v>0</v>
      </c>
      <c r="H54" s="3"/>
      <c r="I54" s="3"/>
      <c r="J54" s="3">
        <f>Legal354759718324[[#This Row],[Projected Cost]]-Legal354759718324[[#This Row],[Actual Cost]]</f>
        <v>0</v>
      </c>
    </row>
    <row r="55" spans="1:10" x14ac:dyDescent="0.3">
      <c r="B55" s="41"/>
      <c r="C55" s="41"/>
      <c r="D55" s="41"/>
      <c r="E55" s="41"/>
      <c r="H55" s="3"/>
      <c r="I55" s="3"/>
      <c r="J55" s="3">
        <f>Legal354759718324[[#This Row],[Projected Cost]]-Legal354759718324[[#This Row],[Actual Cost]]</f>
        <v>0</v>
      </c>
    </row>
    <row r="56" spans="1:10" x14ac:dyDescent="0.3">
      <c r="A56" s="13" t="s">
        <v>85</v>
      </c>
      <c r="B56" s="8" t="s">
        <v>57</v>
      </c>
      <c r="C56" s="8" t="s">
        <v>114</v>
      </c>
      <c r="D56" s="8" t="s">
        <v>7</v>
      </c>
      <c r="E56" s="8" t="s">
        <v>8</v>
      </c>
      <c r="H56" s="3"/>
      <c r="I56" s="3"/>
      <c r="J56" s="3">
        <f>Legal354759718324[[#This Row],[Projected Cost]]-Legal354759718324[[#This Row],[Actual Cost]]</f>
        <v>0</v>
      </c>
    </row>
    <row r="57" spans="1:10" x14ac:dyDescent="0.3">
      <c r="B57" s="8" t="s">
        <v>54</v>
      </c>
      <c r="C57" s="9"/>
      <c r="D57" s="9"/>
      <c r="E57" s="9">
        <f>PersonalCare364860728485[[#This Row],[z]]-PersonalCare364860728485[[#This Row],[Actual Cost]]</f>
        <v>0</v>
      </c>
      <c r="G57" t="s">
        <v>66</v>
      </c>
      <c r="H57" s="3">
        <f>SUBTOTAL(109,Legal354759718324[Projected Cost])</f>
        <v>0</v>
      </c>
      <c r="I57" s="3">
        <f>SUBTOTAL(109,Legal354759718324[Actual Cost])</f>
        <v>0</v>
      </c>
      <c r="J57" s="3">
        <f>SUBTOTAL(109,Legal354759718324[Difference])</f>
        <v>0</v>
      </c>
    </row>
    <row r="58" spans="1:10" x14ac:dyDescent="0.3">
      <c r="B58" s="8" t="s">
        <v>58</v>
      </c>
      <c r="C58" s="9"/>
      <c r="D58" s="9"/>
      <c r="E58" s="9">
        <f>PersonalCare364860728485[[#This Row],[z]]-PersonalCare364860728485[[#This Row],[Actual Cost]]</f>
        <v>0</v>
      </c>
      <c r="G58" s="41"/>
      <c r="H58" s="41"/>
      <c r="I58" s="41"/>
      <c r="J58" s="41"/>
    </row>
    <row r="59" spans="1:10" x14ac:dyDescent="0.3">
      <c r="A59" s="13" t="s">
        <v>86</v>
      </c>
      <c r="B59" s="8" t="s">
        <v>59</v>
      </c>
      <c r="C59" s="9"/>
      <c r="D59" s="9"/>
      <c r="E59" s="9">
        <f>PersonalCare364860728485[[#This Row],[z]]-PersonalCare364860728485[[#This Row],[Actual Cost]]</f>
        <v>0</v>
      </c>
      <c r="G59" s="42" t="s">
        <v>60</v>
      </c>
      <c r="H59" s="42"/>
      <c r="I59" s="42"/>
      <c r="J59" s="40">
        <f>SUBTOTAL(109,Housing253749617314[Projected Cost],Transportation284052647617[Projected Cost],Insurance294153657718[Projected Cost],Food324456688021[Projected Cost],Pets344658708223[Projected Cost],PersonalCare364860728485[z],Entertainment263850627415[Projected Cost],Loans273951637516[Projected Cost],Taxes304254667819[Projected Cost],Savings314355677920[Projected Cost],Gifts334557698122[Projected Cost],Legal354759718324[Projected Cost])</f>
        <v>44882</v>
      </c>
    </row>
    <row r="60" spans="1:10" x14ac:dyDescent="0.3">
      <c r="B60" s="8" t="s">
        <v>61</v>
      </c>
      <c r="C60" s="9"/>
      <c r="D60" s="9"/>
      <c r="E60" s="9">
        <f>PersonalCare364860728485[[#This Row],[z]]-PersonalCare364860728485[[#This Row],[Actual Cost]]</f>
        <v>0</v>
      </c>
      <c r="G60" s="42"/>
      <c r="H60" s="42"/>
      <c r="I60" s="42"/>
      <c r="J60" s="40"/>
    </row>
    <row r="61" spans="1:10" x14ac:dyDescent="0.3">
      <c r="B61" s="8" t="s">
        <v>62</v>
      </c>
      <c r="C61" s="9"/>
      <c r="D61" s="9"/>
      <c r="E61" s="9">
        <f>PersonalCare364860728485[[#This Row],[z]]-PersonalCare364860728485[[#This Row],[Actual Cost]]</f>
        <v>0</v>
      </c>
      <c r="G61" s="42" t="s">
        <v>63</v>
      </c>
      <c r="H61" s="42"/>
      <c r="I61" s="42"/>
      <c r="J61" s="40">
        <f>SUBTOTAL(109,Housing253749617314[Actual Cost],Transportation284052647617[Actual Cost],Insurance294153657718[Actual Cost],Food324456688021[Actual Cost],Pets344658708223[Actual Cost],PersonalCare364860728485[Actual Cost],Entertainment263850627415[Actual Cost],Loans273951637516[Actual Cost],Taxes304254667819[Actual Cost],Savings314355677920[Actual Cost],Gifts334557698122[Actual Cost],Legal354759718324[Actual Cost])</f>
        <v>44882</v>
      </c>
    </row>
    <row r="62" spans="1:10" x14ac:dyDescent="0.3">
      <c r="B62" s="8" t="s">
        <v>64</v>
      </c>
      <c r="C62" s="9"/>
      <c r="D62" s="9"/>
      <c r="E62" s="9">
        <f>PersonalCare364860728485[[#This Row],[z]]-PersonalCare364860728485[[#This Row],[Actual Cost]]</f>
        <v>0</v>
      </c>
      <c r="G62" s="42"/>
      <c r="H62" s="42"/>
      <c r="I62" s="42"/>
      <c r="J62" s="40"/>
    </row>
    <row r="63" spans="1:10" x14ac:dyDescent="0.3">
      <c r="B63" s="8" t="s">
        <v>23</v>
      </c>
      <c r="C63" s="9"/>
      <c r="D63" s="9"/>
      <c r="E63" s="9">
        <f>PersonalCare364860728485[[#This Row],[z]]-PersonalCare364860728485[[#This Row],[Actual Cost]]</f>
        <v>0</v>
      </c>
      <c r="G63" s="42" t="s">
        <v>65</v>
      </c>
      <c r="H63" s="42"/>
      <c r="I63" s="42"/>
      <c r="J63" s="40">
        <f>J59-J61</f>
        <v>0</v>
      </c>
    </row>
    <row r="64" spans="1:10" x14ac:dyDescent="0.3">
      <c r="B64" s="8" t="s">
        <v>66</v>
      </c>
      <c r="C64" s="9"/>
      <c r="D64" s="9"/>
      <c r="E64" s="9">
        <f>SUBTOTAL(109,PersonalCare364860728485[Difference])</f>
        <v>0</v>
      </c>
      <c r="G64" s="42"/>
      <c r="H64" s="42"/>
      <c r="I64" s="42"/>
      <c r="J64" s="40"/>
    </row>
    <row r="65" spans="2:5" x14ac:dyDescent="0.3">
      <c r="B65" s="41"/>
      <c r="C65" s="41"/>
      <c r="D65" s="41"/>
      <c r="E65" s="41"/>
    </row>
  </sheetData>
  <mergeCells count="32">
    <mergeCell ref="B4:B6"/>
    <mergeCell ref="C4:D4"/>
    <mergeCell ref="G4:I5"/>
    <mergeCell ref="J4:J5"/>
    <mergeCell ref="C5:D5"/>
    <mergeCell ref="C6:D6"/>
    <mergeCell ref="G6:I7"/>
    <mergeCell ref="J6:J7"/>
    <mergeCell ref="B8:B10"/>
    <mergeCell ref="C8:D8"/>
    <mergeCell ref="G8:I9"/>
    <mergeCell ref="J8:J9"/>
    <mergeCell ref="C9:D9"/>
    <mergeCell ref="C10:D10"/>
    <mergeCell ref="G59:I60"/>
    <mergeCell ref="J59:J60"/>
    <mergeCell ref="G23:J23"/>
    <mergeCell ref="B24:E24"/>
    <mergeCell ref="B34:E34"/>
    <mergeCell ref="G32:J32"/>
    <mergeCell ref="B41:E41"/>
    <mergeCell ref="G39:J39"/>
    <mergeCell ref="B47:E47"/>
    <mergeCell ref="G45:J45"/>
    <mergeCell ref="G51:J51"/>
    <mergeCell ref="B55:E55"/>
    <mergeCell ref="G58:J58"/>
    <mergeCell ref="B65:E65"/>
    <mergeCell ref="G61:I62"/>
    <mergeCell ref="J61:J62"/>
    <mergeCell ref="G63:I64"/>
    <mergeCell ref="J63:J64"/>
  </mergeCells>
  <conditionalFormatting sqref="J8:J9">
    <cfRule type="cellIs" dxfId="493" priority="2" operator="lessThan">
      <formula>0</formula>
    </cfRule>
  </conditionalFormatting>
  <conditionalFormatting sqref="J63:J64">
    <cfRule type="cellIs" dxfId="492" priority="1" operator="lessThan">
      <formula>0</formula>
    </cfRule>
  </conditionalFormatting>
  <printOptions horizontalCentered="1"/>
  <pageMargins left="0.4" right="0.4" top="0.4" bottom="0.4" header="0.3" footer="0.3"/>
  <pageSetup scale="81" fitToHeight="0" orientation="portrait" r:id="rId1"/>
  <headerFooter differentFirst="1">
    <oddFooter>Page &amp;P of &amp;N</oddFooter>
  </headerFooter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583C5-F9F3-4BDA-B433-1ABFD661CD01}">
  <sheetPr>
    <tabColor theme="4"/>
    <pageSetUpPr autoPageBreaks="0" fitToPage="1"/>
  </sheetPr>
  <dimension ref="A1:J68"/>
  <sheetViews>
    <sheetView showGridLines="0" zoomScale="85" zoomScaleNormal="85" workbookViewId="0">
      <selection activeCell="J4" sqref="J4:J5"/>
    </sheetView>
  </sheetViews>
  <sheetFormatPr defaultRowHeight="13" x14ac:dyDescent="0.3"/>
  <cols>
    <col min="1" max="1" width="2.69921875" style="13" customWidth="1"/>
    <col min="2" max="2" width="64.69921875" bestFit="1" customWidth="1"/>
    <col min="3" max="3" width="16" customWidth="1"/>
    <col min="4" max="4" width="13" customWidth="1"/>
    <col min="5" max="5" width="13.5" bestFit="1" customWidth="1"/>
    <col min="6" max="6" width="2.69921875" customWidth="1"/>
    <col min="7" max="7" width="27.09765625" customWidth="1"/>
    <col min="8" max="8" width="16" customWidth="1"/>
    <col min="9" max="9" width="13" customWidth="1"/>
    <col min="10" max="10" width="14.296875" bestFit="1" customWidth="1"/>
    <col min="11" max="11" width="2.69921875" customWidth="1"/>
  </cols>
  <sheetData>
    <row r="1" spans="1:10" s="2" customFormat="1" ht="14.5" x14ac:dyDescent="0.35">
      <c r="A1" s="12" t="s">
        <v>74</v>
      </c>
    </row>
    <row r="2" spans="1:10" s="2" customFormat="1" ht="30.5" thickBot="1" x14ac:dyDescent="0.7">
      <c r="A2" s="12" t="s">
        <v>75</v>
      </c>
      <c r="B2" s="1" t="s">
        <v>151</v>
      </c>
      <c r="C2" s="1"/>
      <c r="D2" s="1"/>
      <c r="E2" s="1"/>
      <c r="F2" s="1"/>
      <c r="G2" s="1"/>
      <c r="H2" s="1"/>
      <c r="I2" s="1"/>
      <c r="J2" s="1"/>
    </row>
    <row r="4" spans="1:10" x14ac:dyDescent="0.3">
      <c r="A4" s="13" t="s">
        <v>77</v>
      </c>
      <c r="B4" s="33" t="s">
        <v>0</v>
      </c>
      <c r="C4" s="36" t="s">
        <v>1</v>
      </c>
      <c r="D4" s="37"/>
      <c r="E4" s="5">
        <v>85000</v>
      </c>
      <c r="G4" s="38" t="s">
        <v>97</v>
      </c>
      <c r="H4" s="39"/>
      <c r="I4" s="39"/>
      <c r="J4" s="40">
        <f>E6-J65</f>
        <v>38762</v>
      </c>
    </row>
    <row r="5" spans="1:10" x14ac:dyDescent="0.3">
      <c r="B5" s="34"/>
      <c r="C5" s="36" t="s">
        <v>111</v>
      </c>
      <c r="D5" s="37"/>
      <c r="E5" s="6">
        <v>23000</v>
      </c>
      <c r="G5" s="39"/>
      <c r="H5" s="39"/>
      <c r="I5" s="39"/>
      <c r="J5" s="40"/>
    </row>
    <row r="6" spans="1:10" x14ac:dyDescent="0.3">
      <c r="A6" s="13" t="s">
        <v>78</v>
      </c>
      <c r="B6" s="35"/>
      <c r="C6" s="36" t="s">
        <v>3</v>
      </c>
      <c r="D6" s="37"/>
      <c r="E6" s="7">
        <f>SUM(E4:E5)</f>
        <v>108000</v>
      </c>
      <c r="G6" s="38" t="s">
        <v>96</v>
      </c>
      <c r="H6" s="39"/>
      <c r="I6" s="39"/>
      <c r="J6" s="40">
        <f>E10-J65</f>
        <v>-69238</v>
      </c>
    </row>
    <row r="7" spans="1:10" x14ac:dyDescent="0.3">
      <c r="B7" s="4"/>
      <c r="C7" s="4"/>
      <c r="D7" s="4"/>
      <c r="E7" s="4"/>
      <c r="G7" s="39"/>
      <c r="H7" s="39"/>
      <c r="I7" s="39"/>
      <c r="J7" s="40"/>
    </row>
    <row r="8" spans="1:10" x14ac:dyDescent="0.3">
      <c r="A8" s="13" t="s">
        <v>79</v>
      </c>
      <c r="B8" s="33" t="s">
        <v>4</v>
      </c>
      <c r="C8" s="36" t="s">
        <v>1</v>
      </c>
      <c r="D8" s="37"/>
      <c r="E8" s="5">
        <v>0</v>
      </c>
      <c r="G8" s="38" t="s">
        <v>67</v>
      </c>
      <c r="H8" s="39"/>
      <c r="I8" s="39"/>
      <c r="J8" s="40">
        <f>J6-J4</f>
        <v>-108000</v>
      </c>
    </row>
    <row r="9" spans="1:10" x14ac:dyDescent="0.3">
      <c r="B9" s="34"/>
      <c r="C9" s="36" t="s">
        <v>2</v>
      </c>
      <c r="D9" s="37"/>
      <c r="E9" s="6">
        <v>0</v>
      </c>
      <c r="G9" s="39"/>
      <c r="H9" s="39"/>
      <c r="I9" s="39"/>
      <c r="J9" s="40"/>
    </row>
    <row r="10" spans="1:10" x14ac:dyDescent="0.3">
      <c r="B10" s="35"/>
      <c r="C10" s="36" t="s">
        <v>3</v>
      </c>
      <c r="D10" s="37"/>
      <c r="E10" s="7">
        <f>SUM(E8:E9)</f>
        <v>0</v>
      </c>
    </row>
    <row r="12" spans="1:10" x14ac:dyDescent="0.3">
      <c r="A12" s="13" t="s">
        <v>80</v>
      </c>
      <c r="B12" s="8" t="s">
        <v>5</v>
      </c>
      <c r="C12" s="8" t="s">
        <v>6</v>
      </c>
      <c r="D12" s="8" t="s">
        <v>7</v>
      </c>
      <c r="E12" s="8" t="s">
        <v>8</v>
      </c>
      <c r="G12" t="s">
        <v>9</v>
      </c>
      <c r="H12" t="s">
        <v>6</v>
      </c>
      <c r="I12" t="s">
        <v>7</v>
      </c>
      <c r="J12" t="s">
        <v>8</v>
      </c>
    </row>
    <row r="13" spans="1:10" x14ac:dyDescent="0.3">
      <c r="B13" s="8" t="s">
        <v>10</v>
      </c>
      <c r="C13" s="9">
        <v>15000</v>
      </c>
      <c r="D13" s="9">
        <v>15000</v>
      </c>
      <c r="E13" s="9">
        <f>Housing2537496173[[#This Row],[Projected Cost]]-Housing2537496173[[#This Row],[Actual Cost]]</f>
        <v>0</v>
      </c>
      <c r="G13" t="s">
        <v>11</v>
      </c>
      <c r="H13" s="3"/>
      <c r="I13" s="3"/>
      <c r="J13" s="3">
        <f>Entertainment2638506274[[#This Row],[Projected Cost]]-Entertainment2638506274[[#This Row],[Actual Cost]]</f>
        <v>0</v>
      </c>
    </row>
    <row r="14" spans="1:10" x14ac:dyDescent="0.3">
      <c r="B14" s="8" t="s">
        <v>12</v>
      </c>
      <c r="C14" s="9">
        <v>600</v>
      </c>
      <c r="D14" s="9">
        <v>600</v>
      </c>
      <c r="E14" s="9">
        <f>Housing2537496173[[#This Row],[Projected Cost]]-Housing2537496173[[#This Row],[Actual Cost]]</f>
        <v>0</v>
      </c>
      <c r="G14" t="s">
        <v>13</v>
      </c>
      <c r="H14" s="3"/>
      <c r="I14" s="3"/>
      <c r="J14" s="3">
        <f>Entertainment2638506274[[#This Row],[Projected Cost]]-Entertainment2638506274[[#This Row],[Actual Cost]]</f>
        <v>0</v>
      </c>
    </row>
    <row r="15" spans="1:10" x14ac:dyDescent="0.3">
      <c r="B15" s="8" t="s">
        <v>14</v>
      </c>
      <c r="C15" s="9">
        <v>1000</v>
      </c>
      <c r="D15" s="9">
        <v>1000</v>
      </c>
      <c r="E15" s="9">
        <f>Housing2537496173[[#This Row],[Projected Cost]]-Housing2537496173[[#This Row],[Actual Cost]]</f>
        <v>0</v>
      </c>
      <c r="G15" t="s">
        <v>15</v>
      </c>
      <c r="H15" s="3"/>
      <c r="I15" s="3"/>
      <c r="J15" s="3">
        <f>Entertainment2638506274[[#This Row],[Projected Cost]]-Entertainment2638506274[[#This Row],[Actual Cost]]</f>
        <v>0</v>
      </c>
    </row>
    <row r="16" spans="1:10" x14ac:dyDescent="0.3">
      <c r="B16" s="8" t="s">
        <v>16</v>
      </c>
      <c r="C16" s="9">
        <v>0</v>
      </c>
      <c r="D16" s="9">
        <v>0</v>
      </c>
      <c r="E16" s="9">
        <f>Housing2537496173[[#This Row],[Projected Cost]]-Housing2537496173[[#This Row],[Actual Cost]]</f>
        <v>0</v>
      </c>
      <c r="G16" t="s">
        <v>17</v>
      </c>
      <c r="H16" s="3"/>
      <c r="I16" s="3"/>
      <c r="J16" s="3">
        <f>Entertainment2638506274[[#This Row],[Projected Cost]]-Entertainment2638506274[[#This Row],[Actual Cost]]</f>
        <v>0</v>
      </c>
    </row>
    <row r="17" spans="1:10" x14ac:dyDescent="0.3">
      <c r="B17" s="8" t="s">
        <v>18</v>
      </c>
      <c r="C17" s="9">
        <v>0</v>
      </c>
      <c r="D17" s="9">
        <v>0</v>
      </c>
      <c r="E17" s="9">
        <f>Housing2537496173[[#This Row],[Projected Cost]]-Housing2537496173[[#This Row],[Actual Cost]]</f>
        <v>0</v>
      </c>
      <c r="G17" t="s">
        <v>19</v>
      </c>
      <c r="H17" s="3"/>
      <c r="I17" s="3"/>
      <c r="J17" s="3">
        <f>Entertainment2638506274[[#This Row],[Projected Cost]]-Entertainment2638506274[[#This Row],[Actual Cost]]</f>
        <v>0</v>
      </c>
    </row>
    <row r="18" spans="1:10" x14ac:dyDescent="0.3">
      <c r="B18" s="8" t="s">
        <v>20</v>
      </c>
      <c r="C18" s="9">
        <v>1000</v>
      </c>
      <c r="D18" s="9">
        <v>1000</v>
      </c>
      <c r="E18" s="9">
        <f>Housing2537496173[[#This Row],[Projected Cost]]-Housing2537496173[[#This Row],[Actual Cost]]</f>
        <v>0</v>
      </c>
      <c r="G18" t="s">
        <v>21</v>
      </c>
      <c r="H18" s="3"/>
      <c r="I18" s="3"/>
      <c r="J18" s="3">
        <f>Entertainment2638506274[[#This Row],[Projected Cost]]-Entertainment2638506274[[#This Row],[Actual Cost]]</f>
        <v>0</v>
      </c>
    </row>
    <row r="19" spans="1:10" x14ac:dyDescent="0.3">
      <c r="B19" s="8" t="s">
        <v>101</v>
      </c>
      <c r="C19" s="9">
        <v>1300</v>
      </c>
      <c r="D19" s="9">
        <v>1300</v>
      </c>
      <c r="E19" s="9">
        <f>Housing2537496173[[#This Row],[Projected Cost]]-Housing2537496173[[#This Row],[Actual Cost]]</f>
        <v>0</v>
      </c>
      <c r="G19" t="s">
        <v>23</v>
      </c>
      <c r="H19" s="3"/>
      <c r="I19" s="3"/>
      <c r="J19" s="3">
        <f>Entertainment2638506274[[#This Row],[Projected Cost]]-Entertainment2638506274[[#This Row],[Actual Cost]]</f>
        <v>0</v>
      </c>
    </row>
    <row r="20" spans="1:10" x14ac:dyDescent="0.3">
      <c r="B20" s="8" t="s">
        <v>24</v>
      </c>
      <c r="C20" s="9">
        <v>0</v>
      </c>
      <c r="D20" s="9">
        <v>0</v>
      </c>
      <c r="E20" s="9">
        <f>Housing2537496173[[#This Row],[Projected Cost]]-Housing2537496173[[#This Row],[Actual Cost]]</f>
        <v>0</v>
      </c>
      <c r="G20" t="s">
        <v>23</v>
      </c>
      <c r="H20" s="3"/>
      <c r="I20" s="3"/>
      <c r="J20" s="3">
        <f>Entertainment2638506274[[#This Row],[Projected Cost]]-Entertainment2638506274[[#This Row],[Actual Cost]]</f>
        <v>0</v>
      </c>
    </row>
    <row r="21" spans="1:10" x14ac:dyDescent="0.3">
      <c r="B21" s="8" t="s">
        <v>25</v>
      </c>
      <c r="C21" s="9">
        <v>0</v>
      </c>
      <c r="D21" s="9">
        <v>0</v>
      </c>
      <c r="E21" s="9">
        <f>Housing2537496173[[#This Row],[Projected Cost]]-Housing2537496173[[#This Row],[Actual Cost]]</f>
        <v>0</v>
      </c>
      <c r="G21" t="s">
        <v>23</v>
      </c>
      <c r="H21" s="3"/>
      <c r="I21" s="3"/>
      <c r="J21" s="3">
        <f>Entertainment2638506274[[#This Row],[Projected Cost]]-Entertainment2638506274[[#This Row],[Actual Cost]]</f>
        <v>0</v>
      </c>
    </row>
    <row r="22" spans="1:10" x14ac:dyDescent="0.3">
      <c r="B22" s="8" t="s">
        <v>23</v>
      </c>
      <c r="C22" s="9">
        <v>0</v>
      </c>
      <c r="D22" s="9">
        <v>0</v>
      </c>
      <c r="E22" s="9">
        <f>Housing2537496173[[#This Row],[Projected Cost]]-Housing2537496173[[#This Row],[Actual Cost]]</f>
        <v>0</v>
      </c>
      <c r="G22" t="s">
        <v>66</v>
      </c>
      <c r="H22" s="3"/>
      <c r="I22" s="3"/>
      <c r="J22" s="3">
        <f>SUBTOTAL(109,Entertainment2638506274[Difference])</f>
        <v>0</v>
      </c>
    </row>
    <row r="23" spans="1:10" x14ac:dyDescent="0.3">
      <c r="B23" s="8" t="s">
        <v>66</v>
      </c>
      <c r="C23" s="9">
        <f>SUBTOTAL(109,Housing2537496173[Projected Cost])</f>
        <v>18900</v>
      </c>
      <c r="D23" s="9">
        <f>SUBTOTAL(109,Housing2537496173[Actual Cost])</f>
        <v>18900</v>
      </c>
      <c r="E23" s="9">
        <f>SUBTOTAL(109,Housing2537496173[Difference])</f>
        <v>0</v>
      </c>
      <c r="G23" s="41"/>
      <c r="H23" s="41"/>
      <c r="I23" s="41"/>
      <c r="J23" s="41"/>
    </row>
    <row r="24" spans="1:10" x14ac:dyDescent="0.3">
      <c r="B24" s="41"/>
      <c r="C24" s="41"/>
      <c r="D24" s="41"/>
      <c r="E24" s="41"/>
      <c r="G24" t="s">
        <v>26</v>
      </c>
      <c r="H24" t="s">
        <v>6</v>
      </c>
      <c r="I24" t="s">
        <v>7</v>
      </c>
      <c r="J24" t="s">
        <v>8</v>
      </c>
    </row>
    <row r="25" spans="1:10" x14ac:dyDescent="0.3">
      <c r="A25" s="13" t="s">
        <v>81</v>
      </c>
      <c r="B25" t="s">
        <v>27</v>
      </c>
      <c r="C25" t="s">
        <v>6</v>
      </c>
      <c r="D25" t="s">
        <v>7</v>
      </c>
      <c r="E25" t="s">
        <v>8</v>
      </c>
      <c r="G25" t="s">
        <v>28</v>
      </c>
      <c r="H25" s="3"/>
      <c r="I25" s="3"/>
      <c r="J25" s="3">
        <f>Loans2739516375[[#This Row],[Projected Cost]]-Loans2739516375[[#This Row],[Actual Cost]]</f>
        <v>0</v>
      </c>
    </row>
    <row r="26" spans="1:10" x14ac:dyDescent="0.3">
      <c r="B26" t="s">
        <v>29</v>
      </c>
      <c r="C26" s="3">
        <v>3800</v>
      </c>
      <c r="D26" s="3">
        <v>3800</v>
      </c>
      <c r="E26" s="3">
        <f>Transportation2840526476[[#This Row],[Projected Cost]]-Transportation2840526476[[#This Row],[Actual Cost]]</f>
        <v>0</v>
      </c>
      <c r="G26" t="s">
        <v>95</v>
      </c>
      <c r="H26" s="3">
        <v>21463</v>
      </c>
      <c r="I26" s="3">
        <v>21463</v>
      </c>
      <c r="J26" s="3">
        <f>Loans2739516375[[#This Row],[Projected Cost]]-Loans2739516375[[#This Row],[Actual Cost]]</f>
        <v>0</v>
      </c>
    </row>
    <row r="27" spans="1:10" x14ac:dyDescent="0.3">
      <c r="B27" t="s">
        <v>30</v>
      </c>
      <c r="C27" s="3">
        <v>0</v>
      </c>
      <c r="D27" s="3">
        <v>0</v>
      </c>
      <c r="E27" s="3">
        <v>0</v>
      </c>
      <c r="G27" t="s">
        <v>88</v>
      </c>
      <c r="H27" s="3">
        <v>0</v>
      </c>
      <c r="I27" s="3">
        <v>0</v>
      </c>
      <c r="J27" s="3">
        <f>Loans2739516375[[#This Row],[Projected Cost]]-Loans2739516375[[#This Row],[Actual Cost]]</f>
        <v>0</v>
      </c>
    </row>
    <row r="28" spans="1:10" x14ac:dyDescent="0.3">
      <c r="B28" t="s">
        <v>31</v>
      </c>
      <c r="C28" s="3">
        <v>0</v>
      </c>
      <c r="D28" s="3">
        <v>0</v>
      </c>
      <c r="E28" s="3">
        <f>Transportation2840526476[[#This Row],[Projected Cost]]-Transportation2840526476[[#This Row],[Actual Cost]]</f>
        <v>0</v>
      </c>
      <c r="G28" t="s">
        <v>89</v>
      </c>
      <c r="H28" s="3">
        <v>0</v>
      </c>
      <c r="I28" s="3">
        <v>0</v>
      </c>
      <c r="J28" s="3">
        <f>Loans2739516375[[#This Row],[Projected Cost]]-Loans2739516375[[#This Row],[Actual Cost]]</f>
        <v>0</v>
      </c>
    </row>
    <row r="29" spans="1:10" x14ac:dyDescent="0.3">
      <c r="B29" t="s">
        <v>32</v>
      </c>
      <c r="C29" s="3">
        <v>0</v>
      </c>
      <c r="D29" s="3">
        <v>0</v>
      </c>
      <c r="E29" s="3">
        <f>Transportation2840526476[[#This Row],[Projected Cost]]-Transportation2840526476[[#This Row],[Actual Cost]]</f>
        <v>0</v>
      </c>
      <c r="G29" t="s">
        <v>87</v>
      </c>
      <c r="H29" s="3">
        <v>5375</v>
      </c>
      <c r="I29" s="3">
        <v>5375</v>
      </c>
      <c r="J29" s="3">
        <f>Loans2739516375[[#This Row],[Projected Cost]]-Loans2739516375[[#This Row],[Actual Cost]]</f>
        <v>0</v>
      </c>
    </row>
    <row r="30" spans="1:10" x14ac:dyDescent="0.3">
      <c r="B30" t="s">
        <v>33</v>
      </c>
      <c r="C30" s="3">
        <v>1500</v>
      </c>
      <c r="D30" s="3">
        <v>1500</v>
      </c>
      <c r="E30" s="3">
        <f>Transportation2840526476[[#This Row],[Projected Cost]]-Transportation2840526476[[#This Row],[Actual Cost]]</f>
        <v>0</v>
      </c>
      <c r="G30" t="s">
        <v>103</v>
      </c>
      <c r="H30" s="3">
        <v>10000</v>
      </c>
      <c r="I30" s="3">
        <v>10000</v>
      </c>
      <c r="J30" s="3">
        <f>Loans2739516375[[#This Row],[Projected Cost]]-Loans2739516375[[#This Row],[Actual Cost]]</f>
        <v>0</v>
      </c>
    </row>
    <row r="31" spans="1:10" x14ac:dyDescent="0.3">
      <c r="B31" t="s">
        <v>34</v>
      </c>
      <c r="C31" s="3">
        <v>0</v>
      </c>
      <c r="D31" s="3">
        <v>0</v>
      </c>
      <c r="E31" s="3">
        <f>Transportation2840526476[[#This Row],[Projected Cost]]-Transportation2840526476[[#This Row],[Actual Cost]]</f>
        <v>0</v>
      </c>
      <c r="G31" t="s">
        <v>104</v>
      </c>
      <c r="H31" s="3">
        <v>0</v>
      </c>
      <c r="I31" s="3">
        <v>0</v>
      </c>
      <c r="J31" s="3">
        <f>Loans2739516375[[#This Row],[Projected Cost]]-Loans2739516375[[#This Row],[Actual Cost]]</f>
        <v>0</v>
      </c>
    </row>
    <row r="32" spans="1:10" x14ac:dyDescent="0.3">
      <c r="B32" t="s">
        <v>23</v>
      </c>
      <c r="C32" s="3">
        <v>0</v>
      </c>
      <c r="D32" s="3">
        <v>0</v>
      </c>
      <c r="E32" s="3">
        <f>Transportation2840526476[[#This Row],[Projected Cost]]-Transportation2840526476[[#This Row],[Actual Cost]]</f>
        <v>0</v>
      </c>
      <c r="G32" t="s">
        <v>100</v>
      </c>
      <c r="H32" s="3">
        <v>0</v>
      </c>
      <c r="I32" s="3">
        <v>0</v>
      </c>
      <c r="J32" s="3">
        <f>Loans2739516375[[#This Row],[Projected Cost]]-Loans2739516375[[#This Row],[Actual Cost]]</f>
        <v>0</v>
      </c>
    </row>
    <row r="33" spans="1:10" x14ac:dyDescent="0.3">
      <c r="B33" t="s">
        <v>66</v>
      </c>
      <c r="C33" s="3">
        <f>SUBTOTAL(109,Transportation2840526476[Projected Cost])</f>
        <v>5300</v>
      </c>
      <c r="D33" s="3">
        <f>SUBTOTAL(109,Transportation2840526476[Actual Cost])</f>
        <v>5300</v>
      </c>
      <c r="E33" s="3">
        <f>SUBTOTAL(109,Transportation2840526476[Difference])</f>
        <v>0</v>
      </c>
      <c r="G33" t="s">
        <v>66</v>
      </c>
      <c r="H33" s="3">
        <f>SUBTOTAL(109,Loans2739516375[Projected Cost])</f>
        <v>36838</v>
      </c>
      <c r="I33" s="3">
        <f>SUBTOTAL(109,Loans2739516375[Actual Cost])</f>
        <v>36838</v>
      </c>
      <c r="J33" s="3">
        <f>SUBTOTAL(109,Loans2739516375[Difference])</f>
        <v>0</v>
      </c>
    </row>
    <row r="34" spans="1:10" x14ac:dyDescent="0.3">
      <c r="B34" s="41"/>
      <c r="C34" s="41"/>
      <c r="D34" s="41"/>
      <c r="E34" s="41"/>
      <c r="G34" s="41"/>
      <c r="H34" s="41"/>
      <c r="I34" s="41"/>
      <c r="J34" s="41"/>
    </row>
    <row r="35" spans="1:10" x14ac:dyDescent="0.3">
      <c r="A35" s="13" t="s">
        <v>82</v>
      </c>
      <c r="B35" t="s">
        <v>37</v>
      </c>
      <c r="C35" t="s">
        <v>6</v>
      </c>
      <c r="D35" t="s">
        <v>7</v>
      </c>
      <c r="E35" t="s">
        <v>8</v>
      </c>
      <c r="G35" t="s">
        <v>35</v>
      </c>
      <c r="H35" t="s">
        <v>6</v>
      </c>
      <c r="I35" t="s">
        <v>7</v>
      </c>
      <c r="J35" t="s">
        <v>8</v>
      </c>
    </row>
    <row r="36" spans="1:10" x14ac:dyDescent="0.3">
      <c r="B36" t="s">
        <v>39</v>
      </c>
      <c r="C36" s="3"/>
      <c r="D36" s="3"/>
      <c r="E36" s="3">
        <f>Insurance2941536577[[#This Row],[Projected Cost]]-Insurance2941536577[[#This Row],[Actual Cost]]</f>
        <v>0</v>
      </c>
      <c r="G36" t="s">
        <v>36</v>
      </c>
      <c r="H36" s="3"/>
      <c r="I36" s="3"/>
      <c r="J36" s="3">
        <f>Taxes3042546678[[#This Row],[Projected Cost]]-Taxes3042546678[[#This Row],[Actual Cost]]</f>
        <v>0</v>
      </c>
    </row>
    <row r="37" spans="1:10" x14ac:dyDescent="0.3">
      <c r="B37" t="s">
        <v>41</v>
      </c>
      <c r="C37" s="3"/>
      <c r="D37" s="3"/>
      <c r="E37" s="3">
        <f>Insurance2941536577[[#This Row],[Projected Cost]]-Insurance2941536577[[#This Row],[Actual Cost]]</f>
        <v>0</v>
      </c>
      <c r="G37" t="s">
        <v>38</v>
      </c>
      <c r="H37" s="3"/>
      <c r="I37" s="3"/>
      <c r="J37" s="3">
        <f>Taxes3042546678[[#This Row],[Projected Cost]]-Taxes3042546678[[#This Row],[Actual Cost]]</f>
        <v>0</v>
      </c>
    </row>
    <row r="38" spans="1:10" x14ac:dyDescent="0.3">
      <c r="B38" t="s">
        <v>42</v>
      </c>
      <c r="C38" s="3"/>
      <c r="D38" s="3"/>
      <c r="E38" s="3">
        <f>Insurance2941536577[[#This Row],[Projected Cost]]-Insurance2941536577[[#This Row],[Actual Cost]]</f>
        <v>0</v>
      </c>
      <c r="G38" t="s">
        <v>40</v>
      </c>
      <c r="H38" s="3"/>
      <c r="I38" s="3"/>
      <c r="J38" s="3">
        <f>Taxes3042546678[[#This Row],[Projected Cost]]-Taxes3042546678[[#This Row],[Actual Cost]]</f>
        <v>0</v>
      </c>
    </row>
    <row r="39" spans="1:10" x14ac:dyDescent="0.3">
      <c r="B39" t="s">
        <v>23</v>
      </c>
      <c r="C39" s="3"/>
      <c r="D39" s="3"/>
      <c r="E39" s="3">
        <f>Insurance2941536577[[#This Row],[Projected Cost]]-Insurance2941536577[[#This Row],[Actual Cost]]</f>
        <v>0</v>
      </c>
      <c r="G39" t="s">
        <v>23</v>
      </c>
      <c r="H39" s="3"/>
      <c r="I39" s="3"/>
      <c r="J39" s="3">
        <f>Taxes3042546678[[#This Row],[Projected Cost]]-Taxes3042546678[[#This Row],[Actual Cost]]</f>
        <v>0</v>
      </c>
    </row>
    <row r="40" spans="1:10" x14ac:dyDescent="0.3">
      <c r="B40" t="s">
        <v>66</v>
      </c>
      <c r="C40" s="3"/>
      <c r="D40" s="3"/>
      <c r="E40" s="3">
        <f>SUBTOTAL(109,Insurance2941536577[Difference])</f>
        <v>0</v>
      </c>
      <c r="G40" t="s">
        <v>66</v>
      </c>
      <c r="H40" s="3"/>
      <c r="I40" s="3"/>
      <c r="J40" s="3">
        <f>SUBTOTAL(109,Taxes3042546678[Difference])</f>
        <v>0</v>
      </c>
    </row>
    <row r="41" spans="1:10" x14ac:dyDescent="0.3">
      <c r="B41" s="41"/>
      <c r="C41" s="41"/>
      <c r="D41" s="41"/>
      <c r="E41" s="41"/>
      <c r="G41" s="41"/>
      <c r="H41" s="41"/>
      <c r="I41" s="41"/>
      <c r="J41" s="41"/>
    </row>
    <row r="42" spans="1:10" x14ac:dyDescent="0.3">
      <c r="A42" s="13" t="s">
        <v>83</v>
      </c>
      <c r="B42" t="s">
        <v>45</v>
      </c>
      <c r="C42" t="s">
        <v>6</v>
      </c>
      <c r="D42" t="s">
        <v>7</v>
      </c>
      <c r="E42" t="s">
        <v>8</v>
      </c>
      <c r="G42" t="s">
        <v>43</v>
      </c>
      <c r="H42" t="s">
        <v>6</v>
      </c>
      <c r="I42" t="s">
        <v>7</v>
      </c>
      <c r="J42" t="s">
        <v>8</v>
      </c>
    </row>
    <row r="43" spans="1:10" x14ac:dyDescent="0.3">
      <c r="B43" t="s">
        <v>47</v>
      </c>
      <c r="C43" s="3"/>
      <c r="D43" s="3"/>
      <c r="E43" s="3">
        <f>Food3244566880[[#This Row],[Projected Cost]]-Food3244566880[[#This Row],[Actual Cost]]</f>
        <v>0</v>
      </c>
      <c r="G43" t="s">
        <v>44</v>
      </c>
      <c r="H43" s="3"/>
      <c r="I43" s="3"/>
      <c r="J43" s="3">
        <f>Savings3143556779[[#This Row],[Projected Cost]]-Savings3143556779[[#This Row],[Actual Cost]]</f>
        <v>0</v>
      </c>
    </row>
    <row r="44" spans="1:10" x14ac:dyDescent="0.3">
      <c r="B44" t="s">
        <v>94</v>
      </c>
      <c r="C44" s="3">
        <v>500</v>
      </c>
      <c r="D44" s="3">
        <v>500</v>
      </c>
      <c r="E44" s="3">
        <f>Food3244566880[[#This Row],[Projected Cost]]-Food3244566880[[#This Row],[Actual Cost]]</f>
        <v>0</v>
      </c>
      <c r="G44" t="s">
        <v>46</v>
      </c>
      <c r="H44" s="3"/>
      <c r="I44" s="3"/>
      <c r="J44" s="3">
        <f>Savings3143556779[[#This Row],[Projected Cost]]-Savings3143556779[[#This Row],[Actual Cost]]</f>
        <v>0</v>
      </c>
    </row>
    <row r="45" spans="1:10" x14ac:dyDescent="0.3">
      <c r="B45" t="s">
        <v>98</v>
      </c>
      <c r="C45" s="3">
        <v>2000</v>
      </c>
      <c r="D45" s="3">
        <v>2000</v>
      </c>
      <c r="E45" s="3">
        <f>Food3244566880[[#This Row],[Projected Cost]]-Food3244566880[[#This Row],[Actual Cost]]</f>
        <v>0</v>
      </c>
      <c r="G45" t="s">
        <v>91</v>
      </c>
      <c r="H45" s="3">
        <v>3000</v>
      </c>
      <c r="I45" s="3">
        <v>3000</v>
      </c>
      <c r="J45" s="3">
        <f>Savings3143556779[[#This Row],[Projected Cost]]-Savings3143556779[[#This Row],[Actual Cost]]</f>
        <v>0</v>
      </c>
    </row>
    <row r="46" spans="1:10" x14ac:dyDescent="0.3">
      <c r="B46" t="s">
        <v>66</v>
      </c>
      <c r="C46" s="3">
        <f>SUBTOTAL(109,Food3244566880[Projected Cost])</f>
        <v>2500</v>
      </c>
      <c r="D46" s="3">
        <f>SUBTOTAL(109,Food3244566880[Actual Cost])</f>
        <v>2500</v>
      </c>
      <c r="E46" s="3">
        <f>SUBTOTAL(109,Food3244566880[Difference])</f>
        <v>0</v>
      </c>
      <c r="G46" t="s">
        <v>66</v>
      </c>
      <c r="H46" s="3">
        <f>SUBTOTAL(109,Savings3143556779[Projected Cost])</f>
        <v>3000</v>
      </c>
      <c r="I46" s="3">
        <f>SUBTOTAL(109,Savings3143556779[Actual Cost])</f>
        <v>3000</v>
      </c>
      <c r="J46" s="3">
        <f>SUBTOTAL(109,Savings3143556779[Difference])</f>
        <v>0</v>
      </c>
    </row>
    <row r="47" spans="1:10" x14ac:dyDescent="0.3">
      <c r="B47" s="41"/>
      <c r="C47" s="41"/>
      <c r="D47" s="41"/>
      <c r="E47" s="41"/>
      <c r="G47" s="41"/>
      <c r="H47" s="41"/>
      <c r="I47" s="41"/>
      <c r="J47" s="41"/>
    </row>
    <row r="48" spans="1:10" x14ac:dyDescent="0.3">
      <c r="A48" s="13" t="s">
        <v>84</v>
      </c>
      <c r="B48" t="s">
        <v>50</v>
      </c>
      <c r="C48" t="s">
        <v>6</v>
      </c>
      <c r="D48" t="s">
        <v>7</v>
      </c>
      <c r="E48" t="s">
        <v>8</v>
      </c>
      <c r="G48" t="s">
        <v>48</v>
      </c>
      <c r="H48" t="s">
        <v>6</v>
      </c>
      <c r="I48" t="s">
        <v>7</v>
      </c>
      <c r="J48" t="s">
        <v>8</v>
      </c>
    </row>
    <row r="49" spans="1:10" x14ac:dyDescent="0.3">
      <c r="B49" t="s">
        <v>52</v>
      </c>
      <c r="C49" s="3"/>
      <c r="D49" s="3"/>
      <c r="E49" s="3">
        <f>Pets3446587082[[#This Row],[Projected Cost]]-Pets3446587082[[#This Row],[Actual Cost]]</f>
        <v>0</v>
      </c>
      <c r="G49" t="s">
        <v>49</v>
      </c>
      <c r="H49" s="3"/>
      <c r="I49" s="3"/>
      <c r="J49" s="3">
        <f>Gifts3345576981[[#This Row],[Projected Cost]]-Gifts3345576981[[#This Row],[Actual Cost]]</f>
        <v>0</v>
      </c>
    </row>
    <row r="50" spans="1:10" x14ac:dyDescent="0.3">
      <c r="B50" t="s">
        <v>54</v>
      </c>
      <c r="C50" s="3"/>
      <c r="D50" s="3"/>
      <c r="E50" s="3">
        <f>Pets3446587082[[#This Row],[Projected Cost]]-Pets3446587082[[#This Row],[Actual Cost]]</f>
        <v>0</v>
      </c>
      <c r="G50" t="s">
        <v>51</v>
      </c>
      <c r="H50" s="3"/>
      <c r="I50" s="3"/>
      <c r="J50" s="3">
        <f>Gifts3345576981[[#This Row],[Projected Cost]]-Gifts3345576981[[#This Row],[Actual Cost]]</f>
        <v>0</v>
      </c>
    </row>
    <row r="51" spans="1:10" x14ac:dyDescent="0.3">
      <c r="B51" t="s">
        <v>55</v>
      </c>
      <c r="C51" s="3"/>
      <c r="D51" s="3"/>
      <c r="E51" s="3">
        <f>Pets3446587082[[#This Row],[Projected Cost]]-Pets3446587082[[#This Row],[Actual Cost]]</f>
        <v>0</v>
      </c>
      <c r="G51" t="s">
        <v>53</v>
      </c>
      <c r="H51" s="3"/>
      <c r="I51" s="3"/>
      <c r="J51" s="3">
        <f>Gifts3345576981[[#This Row],[Projected Cost]]-Gifts3345576981[[#This Row],[Actual Cost]]</f>
        <v>0</v>
      </c>
    </row>
    <row r="52" spans="1:10" x14ac:dyDescent="0.3">
      <c r="B52" t="s">
        <v>56</v>
      </c>
      <c r="C52" s="3"/>
      <c r="D52" s="3"/>
      <c r="E52" s="3">
        <f>Pets3446587082[[#This Row],[Projected Cost]]-Pets3446587082[[#This Row],[Actual Cost]]</f>
        <v>0</v>
      </c>
      <c r="G52" t="s">
        <v>66</v>
      </c>
      <c r="H52" s="3"/>
      <c r="I52" s="3"/>
      <c r="J52" s="3">
        <f>SUBTOTAL(109,Gifts3345576981[Difference])</f>
        <v>0</v>
      </c>
    </row>
    <row r="53" spans="1:10" x14ac:dyDescent="0.3">
      <c r="B53" t="s">
        <v>23</v>
      </c>
      <c r="C53" s="3"/>
      <c r="D53" s="3"/>
      <c r="E53" s="3">
        <f>Pets3446587082[[#This Row],[Projected Cost]]-Pets3446587082[[#This Row],[Actual Cost]]</f>
        <v>0</v>
      </c>
      <c r="G53" s="41"/>
      <c r="H53" s="41"/>
      <c r="I53" s="41"/>
      <c r="J53" s="41"/>
    </row>
    <row r="54" spans="1:10" x14ac:dyDescent="0.3">
      <c r="B54" t="s">
        <v>66</v>
      </c>
      <c r="C54" s="3"/>
      <c r="D54" s="3"/>
      <c r="E54" s="3">
        <f>SUBTOTAL(109,Pets3446587082[Difference])</f>
        <v>0</v>
      </c>
      <c r="G54" t="s">
        <v>106</v>
      </c>
      <c r="H54" t="s">
        <v>6</v>
      </c>
      <c r="I54" t="s">
        <v>7</v>
      </c>
      <c r="J54" t="s">
        <v>8</v>
      </c>
    </row>
    <row r="55" spans="1:10" x14ac:dyDescent="0.3">
      <c r="B55" s="41"/>
      <c r="C55" s="41"/>
      <c r="D55" s="41"/>
      <c r="E55" s="41"/>
      <c r="G55" t="s">
        <v>125</v>
      </c>
      <c r="H55" s="3">
        <v>0</v>
      </c>
      <c r="I55" s="3">
        <v>0</v>
      </c>
      <c r="J55" s="3">
        <f>Legal3547597183[[#This Row],[Projected Cost]]-Legal3547597183[[#This Row],[Actual Cost]]</f>
        <v>0</v>
      </c>
    </row>
    <row r="56" spans="1:10" x14ac:dyDescent="0.3">
      <c r="A56" s="13" t="s">
        <v>85</v>
      </c>
      <c r="B56" s="8" t="s">
        <v>57</v>
      </c>
      <c r="C56" s="8" t="s">
        <v>114</v>
      </c>
      <c r="D56" s="8" t="s">
        <v>7</v>
      </c>
      <c r="E56" s="8" t="s">
        <v>8</v>
      </c>
      <c r="G56" t="s">
        <v>108</v>
      </c>
      <c r="H56" s="3">
        <v>0</v>
      </c>
      <c r="I56" s="3">
        <v>0</v>
      </c>
      <c r="J56" s="3">
        <f>Legal3547597183[[#This Row],[Projected Cost]]-Legal3547597183[[#This Row],[Actual Cost]]</f>
        <v>0</v>
      </c>
    </row>
    <row r="57" spans="1:10" x14ac:dyDescent="0.3">
      <c r="B57" s="8" t="s">
        <v>54</v>
      </c>
      <c r="C57" s="9"/>
      <c r="D57" s="9"/>
      <c r="E57" s="9">
        <f>PersonalCare3648607284[[#This Row],[z]]-PersonalCare3648607284[[#This Row],[Actual Cost]]</f>
        <v>0</v>
      </c>
      <c r="G57" t="s">
        <v>109</v>
      </c>
      <c r="H57" s="3">
        <v>0</v>
      </c>
      <c r="I57" s="3">
        <v>0</v>
      </c>
      <c r="J57" s="3">
        <f>Legal3547597183[[#This Row],[Projected Cost]]-Legal3547597183[[#This Row],[Actual Cost]]</f>
        <v>0</v>
      </c>
    </row>
    <row r="58" spans="1:10" x14ac:dyDescent="0.3">
      <c r="B58" s="8" t="s">
        <v>58</v>
      </c>
      <c r="C58" s="9"/>
      <c r="D58" s="9"/>
      <c r="E58" s="9">
        <f>PersonalCare3648607284[[#This Row],[z]]-PersonalCare3648607284[[#This Row],[Actual Cost]]</f>
        <v>0</v>
      </c>
      <c r="G58" t="s">
        <v>122</v>
      </c>
      <c r="H58" s="3">
        <v>2700</v>
      </c>
      <c r="I58" s="3">
        <v>2700</v>
      </c>
      <c r="J58" s="3">
        <f>Legal3547597183[[#This Row],[Projected Cost]]-Legal3547597183[[#This Row],[Actual Cost]]</f>
        <v>0</v>
      </c>
    </row>
    <row r="59" spans="1:10" x14ac:dyDescent="0.3">
      <c r="A59" s="13" t="s">
        <v>86</v>
      </c>
      <c r="B59" s="8" t="s">
        <v>59</v>
      </c>
      <c r="C59" s="9"/>
      <c r="D59" s="9"/>
      <c r="E59" s="9">
        <f>PersonalCare3648607284[[#This Row],[z]]-PersonalCare3648607284[[#This Row],[Actual Cost]]</f>
        <v>0</v>
      </c>
      <c r="G59" t="s">
        <v>113</v>
      </c>
      <c r="H59" s="3">
        <v>0</v>
      </c>
      <c r="I59" s="3">
        <v>0</v>
      </c>
      <c r="J59" s="3">
        <f>Legal3547597183[[#This Row],[Projected Cost]]-Legal3547597183[[#This Row],[Actual Cost]]</f>
        <v>0</v>
      </c>
    </row>
    <row r="60" spans="1:10" x14ac:dyDescent="0.3">
      <c r="B60" s="8" t="s">
        <v>61</v>
      </c>
      <c r="C60" s="9"/>
      <c r="D60" s="9"/>
      <c r="E60" s="9">
        <f>PersonalCare3648607284[[#This Row],[z]]-PersonalCare3648607284[[#This Row],[Actual Cost]]</f>
        <v>0</v>
      </c>
      <c r="G60" t="s">
        <v>131</v>
      </c>
      <c r="H60" s="3">
        <v>0</v>
      </c>
      <c r="I60" s="3">
        <v>0</v>
      </c>
      <c r="J60" s="3">
        <f>Legal3547597183[[#This Row],[Projected Cost]]-Legal3547597183[[#This Row],[Actual Cost]]</f>
        <v>0</v>
      </c>
    </row>
    <row r="61" spans="1:10" x14ac:dyDescent="0.3">
      <c r="B61" s="8" t="s">
        <v>62</v>
      </c>
      <c r="C61" s="9"/>
      <c r="D61" s="9"/>
      <c r="E61" s="9">
        <f>PersonalCare3648607284[[#This Row],[z]]-PersonalCare3648607284[[#This Row],[Actual Cost]]</f>
        <v>0</v>
      </c>
      <c r="G61" t="s">
        <v>66</v>
      </c>
      <c r="H61" s="3">
        <f>SUBTOTAL(109,Legal3547597183[Projected Cost])</f>
        <v>2700</v>
      </c>
      <c r="I61" s="3">
        <f>SUBTOTAL(109,Legal3547597183[Actual Cost])</f>
        <v>2700</v>
      </c>
      <c r="J61" s="3">
        <f>SUBTOTAL(109,Legal3547597183[Difference])</f>
        <v>0</v>
      </c>
    </row>
    <row r="62" spans="1:10" x14ac:dyDescent="0.3">
      <c r="B62" s="8" t="s">
        <v>64</v>
      </c>
      <c r="C62" s="9"/>
      <c r="D62" s="9"/>
      <c r="E62" s="9">
        <f>PersonalCare3648607284[[#This Row],[z]]-PersonalCare3648607284[[#This Row],[Actual Cost]]</f>
        <v>0</v>
      </c>
      <c r="G62" s="41"/>
      <c r="H62" s="41"/>
      <c r="I62" s="41"/>
      <c r="J62" s="41"/>
    </row>
    <row r="63" spans="1:10" x14ac:dyDescent="0.3">
      <c r="B63" s="8" t="s">
        <v>23</v>
      </c>
      <c r="C63" s="9"/>
      <c r="D63" s="9"/>
      <c r="E63" s="9">
        <f>PersonalCare3648607284[[#This Row],[z]]-PersonalCare3648607284[[#This Row],[Actual Cost]]</f>
        <v>0</v>
      </c>
      <c r="G63" s="42" t="s">
        <v>60</v>
      </c>
      <c r="H63" s="42"/>
      <c r="I63" s="42"/>
      <c r="J63" s="40">
        <f>SUBTOTAL(109,Housing2537496173[Projected Cost],Transportation2840526476[Projected Cost],Insurance2941536577[Projected Cost],Food3244566880[Projected Cost],Pets3446587082[Projected Cost],PersonalCare3648607284[z],Entertainment2638506274[Projected Cost],Loans2739516375[Projected Cost],Taxes3042546678[Projected Cost],Savings3143556779[Projected Cost],Gifts3345576981[Projected Cost],Legal3547597183[Projected Cost])</f>
        <v>69238</v>
      </c>
    </row>
    <row r="64" spans="1:10" x14ac:dyDescent="0.3">
      <c r="B64" s="8" t="s">
        <v>66</v>
      </c>
      <c r="C64" s="9"/>
      <c r="D64" s="9"/>
      <c r="E64" s="9">
        <f>SUBTOTAL(109,PersonalCare3648607284[Difference])</f>
        <v>0</v>
      </c>
      <c r="G64" s="42"/>
      <c r="H64" s="42"/>
      <c r="I64" s="42"/>
      <c r="J64" s="40"/>
    </row>
    <row r="65" spans="2:10" x14ac:dyDescent="0.3">
      <c r="B65" s="41"/>
      <c r="C65" s="41"/>
      <c r="D65" s="41"/>
      <c r="E65" s="41"/>
      <c r="G65" s="42" t="s">
        <v>63</v>
      </c>
      <c r="H65" s="42"/>
      <c r="I65" s="42"/>
      <c r="J65" s="40">
        <f>SUBTOTAL(109,Housing2537496173[Actual Cost],Transportation2840526476[Actual Cost],Insurance2941536577[Actual Cost],Food3244566880[Actual Cost],Pets3446587082[Actual Cost],PersonalCare3648607284[Actual Cost],Entertainment2638506274[Actual Cost],Loans2739516375[Actual Cost],Taxes3042546678[Actual Cost],Savings3143556779[Actual Cost],Gifts3345576981[Actual Cost],Legal3547597183[Actual Cost])</f>
        <v>69238</v>
      </c>
    </row>
    <row r="66" spans="2:10" x14ac:dyDescent="0.3">
      <c r="G66" s="42"/>
      <c r="H66" s="42"/>
      <c r="I66" s="42"/>
      <c r="J66" s="40"/>
    </row>
    <row r="67" spans="2:10" x14ac:dyDescent="0.3">
      <c r="G67" s="42" t="s">
        <v>65</v>
      </c>
      <c r="H67" s="42"/>
      <c r="I67" s="42"/>
      <c r="J67" s="40">
        <f>J63-J65</f>
        <v>0</v>
      </c>
    </row>
    <row r="68" spans="2:10" x14ac:dyDescent="0.3">
      <c r="G68" s="42"/>
      <c r="H68" s="42"/>
      <c r="I68" s="42"/>
      <c r="J68" s="40"/>
    </row>
  </sheetData>
  <mergeCells count="32">
    <mergeCell ref="B65:E65"/>
    <mergeCell ref="G65:I66"/>
    <mergeCell ref="J65:J66"/>
    <mergeCell ref="G67:I68"/>
    <mergeCell ref="J67:J68"/>
    <mergeCell ref="G63:I64"/>
    <mergeCell ref="J63:J64"/>
    <mergeCell ref="G23:J23"/>
    <mergeCell ref="B24:E24"/>
    <mergeCell ref="B34:E34"/>
    <mergeCell ref="G34:J34"/>
    <mergeCell ref="B41:E41"/>
    <mergeCell ref="G41:J41"/>
    <mergeCell ref="B47:E47"/>
    <mergeCell ref="G47:J47"/>
    <mergeCell ref="G53:J53"/>
    <mergeCell ref="B55:E55"/>
    <mergeCell ref="G62:J62"/>
    <mergeCell ref="B8:B10"/>
    <mergeCell ref="C8:D8"/>
    <mergeCell ref="G8:I9"/>
    <mergeCell ref="J8:J9"/>
    <mergeCell ref="C9:D9"/>
    <mergeCell ref="C10:D10"/>
    <mergeCell ref="B4:B6"/>
    <mergeCell ref="C4:D4"/>
    <mergeCell ref="G4:I5"/>
    <mergeCell ref="J4:J5"/>
    <mergeCell ref="C5:D5"/>
    <mergeCell ref="C6:D6"/>
    <mergeCell ref="G6:I7"/>
    <mergeCell ref="J6:J7"/>
  </mergeCells>
  <conditionalFormatting sqref="J8:J9">
    <cfRule type="cellIs" dxfId="423" priority="2" operator="lessThan">
      <formula>0</formula>
    </cfRule>
  </conditionalFormatting>
  <conditionalFormatting sqref="J67:J68">
    <cfRule type="cellIs" dxfId="422" priority="1" operator="lessThan">
      <formula>0</formula>
    </cfRule>
  </conditionalFormatting>
  <printOptions horizontalCentered="1"/>
  <pageMargins left="0.4" right="0.4" top="0.4" bottom="0.4" header="0.3" footer="0.3"/>
  <pageSetup scale="81" fitToHeight="0" orientation="portrait" r:id="rId1"/>
  <headerFooter differentFirst="1">
    <oddFooter>Page &amp;P of &amp;N</oddFooter>
  </headerFooter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DF50C-A6FC-402A-A7A6-581E7BA199DA}">
  <sheetPr>
    <tabColor theme="4"/>
    <pageSetUpPr autoPageBreaks="0" fitToPage="1"/>
  </sheetPr>
  <dimension ref="A1:J68"/>
  <sheetViews>
    <sheetView showGridLines="0" topLeftCell="A28" zoomScale="70" zoomScaleNormal="70" workbookViewId="0">
      <selection activeCell="A13" sqref="A13:XFD13"/>
    </sheetView>
  </sheetViews>
  <sheetFormatPr defaultRowHeight="13" x14ac:dyDescent="0.3"/>
  <cols>
    <col min="1" max="1" width="2.69921875" style="13" customWidth="1"/>
    <col min="2" max="2" width="64.69921875" bestFit="1" customWidth="1"/>
    <col min="3" max="3" width="16" customWidth="1"/>
    <col min="4" max="4" width="13" customWidth="1"/>
    <col min="5" max="5" width="13.5" bestFit="1" customWidth="1"/>
    <col min="6" max="6" width="2.69921875" customWidth="1"/>
    <col min="7" max="7" width="27.09765625" customWidth="1"/>
    <col min="8" max="8" width="16" customWidth="1"/>
    <col min="9" max="9" width="13" customWidth="1"/>
    <col min="10" max="10" width="14.296875" bestFit="1" customWidth="1"/>
    <col min="11" max="11" width="2.69921875" customWidth="1"/>
  </cols>
  <sheetData>
    <row r="1" spans="1:10" s="2" customFormat="1" ht="14.5" x14ac:dyDescent="0.35">
      <c r="A1" s="12" t="s">
        <v>74</v>
      </c>
    </row>
    <row r="2" spans="1:10" s="2" customFormat="1" ht="30.5" thickBot="1" x14ac:dyDescent="0.7">
      <c r="A2" s="12" t="s">
        <v>75</v>
      </c>
      <c r="B2" s="1" t="s">
        <v>105</v>
      </c>
      <c r="C2" s="1"/>
      <c r="D2" s="1"/>
      <c r="E2" s="1"/>
      <c r="F2" s="1"/>
      <c r="G2" s="1"/>
      <c r="H2" s="1"/>
      <c r="I2" s="1"/>
      <c r="J2" s="1"/>
    </row>
    <row r="4" spans="1:10" x14ac:dyDescent="0.3">
      <c r="A4" s="13" t="s">
        <v>77</v>
      </c>
      <c r="B4" s="33" t="s">
        <v>0</v>
      </c>
      <c r="C4" s="36" t="s">
        <v>1</v>
      </c>
      <c r="D4" s="37"/>
      <c r="E4" s="5">
        <v>85000</v>
      </c>
      <c r="G4" s="38" t="s">
        <v>97</v>
      </c>
      <c r="H4" s="39"/>
      <c r="I4" s="39"/>
      <c r="J4" s="40">
        <f>E6-J65</f>
        <v>29020</v>
      </c>
    </row>
    <row r="5" spans="1:10" x14ac:dyDescent="0.3">
      <c r="B5" s="34"/>
      <c r="C5" s="36" t="s">
        <v>111</v>
      </c>
      <c r="D5" s="37"/>
      <c r="E5" s="6">
        <v>23000</v>
      </c>
      <c r="G5" s="39"/>
      <c r="H5" s="39"/>
      <c r="I5" s="39"/>
      <c r="J5" s="40"/>
    </row>
    <row r="6" spans="1:10" x14ac:dyDescent="0.3">
      <c r="A6" s="13" t="s">
        <v>78</v>
      </c>
      <c r="B6" s="35"/>
      <c r="C6" s="36" t="s">
        <v>3</v>
      </c>
      <c r="D6" s="37"/>
      <c r="E6" s="7">
        <f>SUM(E4:E5)</f>
        <v>108000</v>
      </c>
      <c r="G6" s="38" t="s">
        <v>96</v>
      </c>
      <c r="H6" s="39"/>
      <c r="I6" s="39"/>
      <c r="J6" s="40">
        <f>E10-J65</f>
        <v>-78980</v>
      </c>
    </row>
    <row r="7" spans="1:10" x14ac:dyDescent="0.3">
      <c r="B7" s="4"/>
      <c r="C7" s="4"/>
      <c r="D7" s="4"/>
      <c r="E7" s="4"/>
      <c r="G7" s="39"/>
      <c r="H7" s="39"/>
      <c r="I7" s="39"/>
      <c r="J7" s="40"/>
    </row>
    <row r="8" spans="1:10" x14ac:dyDescent="0.3">
      <c r="A8" s="13" t="s">
        <v>79</v>
      </c>
      <c r="B8" s="33" t="s">
        <v>4</v>
      </c>
      <c r="C8" s="36" t="s">
        <v>1</v>
      </c>
      <c r="D8" s="37"/>
      <c r="E8" s="5">
        <v>0</v>
      </c>
      <c r="G8" s="38" t="s">
        <v>67</v>
      </c>
      <c r="H8" s="39"/>
      <c r="I8" s="39"/>
      <c r="J8" s="40">
        <f>J6-J4</f>
        <v>-108000</v>
      </c>
    </row>
    <row r="9" spans="1:10" x14ac:dyDescent="0.3">
      <c r="B9" s="34"/>
      <c r="C9" s="36" t="s">
        <v>2</v>
      </c>
      <c r="D9" s="37"/>
      <c r="E9" s="6">
        <v>0</v>
      </c>
      <c r="G9" s="39"/>
      <c r="H9" s="39"/>
      <c r="I9" s="39"/>
      <c r="J9" s="40"/>
    </row>
    <row r="10" spans="1:10" x14ac:dyDescent="0.3">
      <c r="B10" s="35"/>
      <c r="C10" s="36" t="s">
        <v>3</v>
      </c>
      <c r="D10" s="37"/>
      <c r="E10" s="7">
        <f>SUM(E8:E9)</f>
        <v>0</v>
      </c>
    </row>
    <row r="12" spans="1:10" x14ac:dyDescent="0.3">
      <c r="A12" s="13" t="s">
        <v>80</v>
      </c>
      <c r="B12" s="8" t="s">
        <v>5</v>
      </c>
      <c r="C12" s="8" t="s">
        <v>6</v>
      </c>
      <c r="D12" s="8" t="s">
        <v>7</v>
      </c>
      <c r="E12" s="8" t="s">
        <v>8</v>
      </c>
      <c r="G12" t="s">
        <v>9</v>
      </c>
      <c r="H12" t="s">
        <v>6</v>
      </c>
      <c r="I12" t="s">
        <v>7</v>
      </c>
      <c r="J12" t="s">
        <v>8</v>
      </c>
    </row>
    <row r="13" spans="1:10" x14ac:dyDescent="0.3">
      <c r="B13" s="8" t="s">
        <v>10</v>
      </c>
      <c r="C13" s="9">
        <v>15000</v>
      </c>
      <c r="D13" s="9">
        <v>15000</v>
      </c>
      <c r="E13" s="9">
        <f>Housing25374961[[#This Row],[Projected Cost]]-Housing25374961[[#This Row],[Actual Cost]]</f>
        <v>0</v>
      </c>
      <c r="G13" t="s">
        <v>11</v>
      </c>
      <c r="H13" s="3"/>
      <c r="I13" s="3"/>
      <c r="J13" s="3">
        <f>Entertainment26385062[[#This Row],[Projected Cost]]-Entertainment26385062[[#This Row],[Actual Cost]]</f>
        <v>0</v>
      </c>
    </row>
    <row r="14" spans="1:10" x14ac:dyDescent="0.3">
      <c r="B14" s="8" t="s">
        <v>12</v>
      </c>
      <c r="C14" s="9">
        <v>600</v>
      </c>
      <c r="D14" s="9">
        <v>600</v>
      </c>
      <c r="E14" s="9">
        <f>Housing25374961[[#This Row],[Projected Cost]]-Housing25374961[[#This Row],[Actual Cost]]</f>
        <v>0</v>
      </c>
      <c r="G14" t="s">
        <v>13</v>
      </c>
      <c r="H14" s="3"/>
      <c r="I14" s="3"/>
      <c r="J14" s="3">
        <f>Entertainment26385062[[#This Row],[Projected Cost]]-Entertainment26385062[[#This Row],[Actual Cost]]</f>
        <v>0</v>
      </c>
    </row>
    <row r="15" spans="1:10" x14ac:dyDescent="0.3">
      <c r="B15" s="8" t="s">
        <v>14</v>
      </c>
      <c r="C15" s="9">
        <v>1000</v>
      </c>
      <c r="D15" s="9">
        <v>1000</v>
      </c>
      <c r="E15" s="9">
        <f>Housing25374961[[#This Row],[Projected Cost]]-Housing25374961[[#This Row],[Actual Cost]]</f>
        <v>0</v>
      </c>
      <c r="G15" t="s">
        <v>15</v>
      </c>
      <c r="H15" s="3"/>
      <c r="I15" s="3"/>
      <c r="J15" s="3">
        <f>Entertainment26385062[[#This Row],[Projected Cost]]-Entertainment26385062[[#This Row],[Actual Cost]]</f>
        <v>0</v>
      </c>
    </row>
    <row r="16" spans="1:10" x14ac:dyDescent="0.3">
      <c r="B16" s="8" t="s">
        <v>16</v>
      </c>
      <c r="C16" s="9">
        <v>0</v>
      </c>
      <c r="D16" s="9">
        <v>0</v>
      </c>
      <c r="E16" s="9">
        <f>Housing25374961[[#This Row],[Projected Cost]]-Housing25374961[[#This Row],[Actual Cost]]</f>
        <v>0</v>
      </c>
      <c r="G16" t="s">
        <v>17</v>
      </c>
      <c r="H16" s="3"/>
      <c r="I16" s="3"/>
      <c r="J16" s="3">
        <f>Entertainment26385062[[#This Row],[Projected Cost]]-Entertainment26385062[[#This Row],[Actual Cost]]</f>
        <v>0</v>
      </c>
    </row>
    <row r="17" spans="1:10" x14ac:dyDescent="0.3">
      <c r="B17" s="8" t="s">
        <v>18</v>
      </c>
      <c r="C17" s="9">
        <v>0</v>
      </c>
      <c r="D17" s="9">
        <v>0</v>
      </c>
      <c r="E17" s="9">
        <f>Housing25374961[[#This Row],[Projected Cost]]-Housing25374961[[#This Row],[Actual Cost]]</f>
        <v>0</v>
      </c>
      <c r="G17" t="s">
        <v>19</v>
      </c>
      <c r="H17" s="3"/>
      <c r="I17" s="3"/>
      <c r="J17" s="3">
        <f>Entertainment26385062[[#This Row],[Projected Cost]]-Entertainment26385062[[#This Row],[Actual Cost]]</f>
        <v>0</v>
      </c>
    </row>
    <row r="18" spans="1:10" x14ac:dyDescent="0.3">
      <c r="B18" s="8" t="s">
        <v>20</v>
      </c>
      <c r="C18" s="9">
        <v>1000</v>
      </c>
      <c r="D18" s="9">
        <v>1000</v>
      </c>
      <c r="E18" s="9">
        <f>Housing25374961[[#This Row],[Projected Cost]]-Housing25374961[[#This Row],[Actual Cost]]</f>
        <v>0</v>
      </c>
      <c r="G18" t="s">
        <v>21</v>
      </c>
      <c r="H18" s="3"/>
      <c r="I18" s="3"/>
      <c r="J18" s="3">
        <f>Entertainment26385062[[#This Row],[Projected Cost]]-Entertainment26385062[[#This Row],[Actual Cost]]</f>
        <v>0</v>
      </c>
    </row>
    <row r="19" spans="1:10" x14ac:dyDescent="0.3">
      <c r="B19" s="8" t="s">
        <v>101</v>
      </c>
      <c r="C19" s="9">
        <v>1300</v>
      </c>
      <c r="D19" s="9">
        <v>1300</v>
      </c>
      <c r="E19" s="9">
        <f>Housing25374961[[#This Row],[Projected Cost]]-Housing25374961[[#This Row],[Actual Cost]]</f>
        <v>0</v>
      </c>
      <c r="G19" t="s">
        <v>23</v>
      </c>
      <c r="H19" s="3"/>
      <c r="I19" s="3"/>
      <c r="J19" s="3">
        <f>Entertainment26385062[[#This Row],[Projected Cost]]-Entertainment26385062[[#This Row],[Actual Cost]]</f>
        <v>0</v>
      </c>
    </row>
    <row r="20" spans="1:10" x14ac:dyDescent="0.3">
      <c r="B20" s="8" t="s">
        <v>24</v>
      </c>
      <c r="C20" s="9">
        <v>0</v>
      </c>
      <c r="D20" s="9">
        <v>0</v>
      </c>
      <c r="E20" s="9">
        <f>Housing25374961[[#This Row],[Projected Cost]]-Housing25374961[[#This Row],[Actual Cost]]</f>
        <v>0</v>
      </c>
      <c r="G20" t="s">
        <v>23</v>
      </c>
      <c r="H20" s="3"/>
      <c r="I20" s="3"/>
      <c r="J20" s="3">
        <f>Entertainment26385062[[#This Row],[Projected Cost]]-Entertainment26385062[[#This Row],[Actual Cost]]</f>
        <v>0</v>
      </c>
    </row>
    <row r="21" spans="1:10" x14ac:dyDescent="0.3">
      <c r="B21" s="8" t="s">
        <v>25</v>
      </c>
      <c r="C21" s="9">
        <v>0</v>
      </c>
      <c r="D21" s="9">
        <v>0</v>
      </c>
      <c r="E21" s="9">
        <f>Housing25374961[[#This Row],[Projected Cost]]-Housing25374961[[#This Row],[Actual Cost]]</f>
        <v>0</v>
      </c>
      <c r="G21" t="s">
        <v>23</v>
      </c>
      <c r="H21" s="3"/>
      <c r="I21" s="3"/>
      <c r="J21" s="3">
        <f>Entertainment26385062[[#This Row],[Projected Cost]]-Entertainment26385062[[#This Row],[Actual Cost]]</f>
        <v>0</v>
      </c>
    </row>
    <row r="22" spans="1:10" x14ac:dyDescent="0.3">
      <c r="B22" s="8" t="s">
        <v>23</v>
      </c>
      <c r="C22" s="9">
        <v>0</v>
      </c>
      <c r="D22" s="9">
        <v>0</v>
      </c>
      <c r="E22" s="9">
        <f>Housing25374961[[#This Row],[Projected Cost]]-Housing25374961[[#This Row],[Actual Cost]]</f>
        <v>0</v>
      </c>
      <c r="G22" t="s">
        <v>66</v>
      </c>
      <c r="H22" s="3"/>
      <c r="I22" s="3"/>
      <c r="J22" s="3">
        <f>SUBTOTAL(109,Entertainment26385062[Difference])</f>
        <v>0</v>
      </c>
    </row>
    <row r="23" spans="1:10" x14ac:dyDescent="0.3">
      <c r="B23" s="8" t="s">
        <v>66</v>
      </c>
      <c r="C23" s="9">
        <f>SUBTOTAL(109,Housing25374961[Projected Cost])</f>
        <v>18900</v>
      </c>
      <c r="D23" s="9">
        <f>SUBTOTAL(109,Housing25374961[Actual Cost])</f>
        <v>18900</v>
      </c>
      <c r="E23" s="9">
        <f>SUBTOTAL(109,Housing25374961[Difference])</f>
        <v>0</v>
      </c>
      <c r="G23" s="41"/>
      <c r="H23" s="41"/>
      <c r="I23" s="41"/>
      <c r="J23" s="41"/>
    </row>
    <row r="24" spans="1:10" x14ac:dyDescent="0.3">
      <c r="B24" s="41"/>
      <c r="C24" s="41"/>
      <c r="D24" s="41"/>
      <c r="E24" s="41"/>
      <c r="G24" t="s">
        <v>26</v>
      </c>
      <c r="H24" t="s">
        <v>6</v>
      </c>
      <c r="I24" t="s">
        <v>7</v>
      </c>
      <c r="J24" t="s">
        <v>8</v>
      </c>
    </row>
    <row r="25" spans="1:10" x14ac:dyDescent="0.3">
      <c r="A25" s="13" t="s">
        <v>81</v>
      </c>
      <c r="B25" t="s">
        <v>27</v>
      </c>
      <c r="C25" t="s">
        <v>6</v>
      </c>
      <c r="D25" t="s">
        <v>7</v>
      </c>
      <c r="E25" t="s">
        <v>8</v>
      </c>
      <c r="G25" t="s">
        <v>28</v>
      </c>
      <c r="H25" s="3"/>
      <c r="I25" s="3"/>
      <c r="J25" s="3">
        <f>Loans27395163[[#This Row],[Projected Cost]]-Loans27395163[[#This Row],[Actual Cost]]</f>
        <v>0</v>
      </c>
    </row>
    <row r="26" spans="1:10" x14ac:dyDescent="0.3">
      <c r="B26" t="s">
        <v>29</v>
      </c>
      <c r="C26" s="3">
        <v>3800</v>
      </c>
      <c r="D26" s="3">
        <v>3800</v>
      </c>
      <c r="E26" s="3">
        <f>Transportation28405264[[#This Row],[Projected Cost]]-Transportation28405264[[#This Row],[Actual Cost]]</f>
        <v>0</v>
      </c>
      <c r="G26" t="s">
        <v>95</v>
      </c>
      <c r="H26" s="3">
        <v>21463</v>
      </c>
      <c r="I26" s="3">
        <v>21463</v>
      </c>
      <c r="J26" s="3">
        <f>Loans27395163[[#This Row],[Projected Cost]]-Loans27395163[[#This Row],[Actual Cost]]</f>
        <v>0</v>
      </c>
    </row>
    <row r="27" spans="1:10" x14ac:dyDescent="0.3">
      <c r="B27" t="s">
        <v>30</v>
      </c>
      <c r="C27" s="3">
        <v>0</v>
      </c>
      <c r="D27" s="3">
        <v>0</v>
      </c>
      <c r="E27" s="3">
        <v>0</v>
      </c>
      <c r="G27" t="s">
        <v>88</v>
      </c>
      <c r="H27" s="3">
        <v>0</v>
      </c>
      <c r="I27" s="3">
        <v>0</v>
      </c>
      <c r="J27" s="3">
        <f>Loans27395163[[#This Row],[Projected Cost]]-Loans27395163[[#This Row],[Actual Cost]]</f>
        <v>0</v>
      </c>
    </row>
    <row r="28" spans="1:10" x14ac:dyDescent="0.3">
      <c r="B28" t="s">
        <v>31</v>
      </c>
      <c r="C28" s="3">
        <v>0</v>
      </c>
      <c r="D28" s="3">
        <v>0</v>
      </c>
      <c r="E28" s="3">
        <f>Transportation28405264[[#This Row],[Projected Cost]]-Transportation28405264[[#This Row],[Actual Cost]]</f>
        <v>0</v>
      </c>
      <c r="G28" t="s">
        <v>89</v>
      </c>
      <c r="H28" s="3">
        <v>0</v>
      </c>
      <c r="I28" s="3">
        <v>0</v>
      </c>
      <c r="J28" s="3">
        <f>Loans27395163[[#This Row],[Projected Cost]]-Loans27395163[[#This Row],[Actual Cost]]</f>
        <v>0</v>
      </c>
    </row>
    <row r="29" spans="1:10" x14ac:dyDescent="0.3">
      <c r="B29" t="s">
        <v>32</v>
      </c>
      <c r="C29" s="3">
        <v>0</v>
      </c>
      <c r="D29" s="3">
        <v>0</v>
      </c>
      <c r="E29" s="3">
        <f>Transportation28405264[[#This Row],[Projected Cost]]-Transportation28405264[[#This Row],[Actual Cost]]</f>
        <v>0</v>
      </c>
      <c r="G29" t="s">
        <v>87</v>
      </c>
      <c r="H29" s="3">
        <v>5375</v>
      </c>
      <c r="I29" s="3">
        <v>5375</v>
      </c>
      <c r="J29" s="3">
        <f>Loans27395163[[#This Row],[Projected Cost]]-Loans27395163[[#This Row],[Actual Cost]]</f>
        <v>0</v>
      </c>
    </row>
    <row r="30" spans="1:10" x14ac:dyDescent="0.3">
      <c r="B30" t="s">
        <v>33</v>
      </c>
      <c r="C30" s="3">
        <v>1500</v>
      </c>
      <c r="D30" s="3">
        <v>1500</v>
      </c>
      <c r="E30" s="3">
        <f>Transportation28405264[[#This Row],[Projected Cost]]-Transportation28405264[[#This Row],[Actual Cost]]</f>
        <v>0</v>
      </c>
      <c r="G30" t="s">
        <v>103</v>
      </c>
      <c r="H30" s="3">
        <v>10000</v>
      </c>
      <c r="I30" s="3">
        <v>10000</v>
      </c>
      <c r="J30" s="3">
        <f>Loans27395163[[#This Row],[Projected Cost]]-Loans27395163[[#This Row],[Actual Cost]]</f>
        <v>0</v>
      </c>
    </row>
    <row r="31" spans="1:10" x14ac:dyDescent="0.3">
      <c r="B31" t="s">
        <v>34</v>
      </c>
      <c r="C31" s="3">
        <v>0</v>
      </c>
      <c r="D31" s="3">
        <v>0</v>
      </c>
      <c r="E31" s="3">
        <f>Transportation28405264[[#This Row],[Projected Cost]]-Transportation28405264[[#This Row],[Actual Cost]]</f>
        <v>0</v>
      </c>
      <c r="G31" t="s">
        <v>104</v>
      </c>
      <c r="H31" s="3">
        <v>0</v>
      </c>
      <c r="I31" s="3">
        <v>0</v>
      </c>
      <c r="J31" s="3">
        <f>Loans27395163[[#This Row],[Projected Cost]]-Loans27395163[[#This Row],[Actual Cost]]</f>
        <v>0</v>
      </c>
    </row>
    <row r="32" spans="1:10" x14ac:dyDescent="0.3">
      <c r="B32" t="s">
        <v>23</v>
      </c>
      <c r="C32" s="3">
        <v>0</v>
      </c>
      <c r="D32" s="3">
        <v>0</v>
      </c>
      <c r="E32" s="3">
        <f>Transportation28405264[[#This Row],[Projected Cost]]-Transportation28405264[[#This Row],[Actual Cost]]</f>
        <v>0</v>
      </c>
      <c r="G32" t="s">
        <v>100</v>
      </c>
      <c r="H32" s="3">
        <v>0</v>
      </c>
      <c r="I32" s="3">
        <v>0</v>
      </c>
      <c r="J32" s="3">
        <f>Loans27395163[[#This Row],[Projected Cost]]-Loans27395163[[#This Row],[Actual Cost]]</f>
        <v>0</v>
      </c>
    </row>
    <row r="33" spans="1:10" x14ac:dyDescent="0.3">
      <c r="B33" t="s">
        <v>66</v>
      </c>
      <c r="C33" s="3">
        <f>SUBTOTAL(109,Transportation28405264[Projected Cost])</f>
        <v>5300</v>
      </c>
      <c r="D33" s="3">
        <f>SUBTOTAL(109,Transportation28405264[Actual Cost])</f>
        <v>5300</v>
      </c>
      <c r="E33" s="3">
        <f>SUBTOTAL(109,Transportation28405264[Difference])</f>
        <v>0</v>
      </c>
      <c r="G33" t="s">
        <v>66</v>
      </c>
      <c r="H33" s="3">
        <f>SUBTOTAL(109,Loans27395163[Projected Cost])</f>
        <v>36838</v>
      </c>
      <c r="I33" s="3">
        <f>SUBTOTAL(109,Loans27395163[Actual Cost])</f>
        <v>36838</v>
      </c>
      <c r="J33" s="3">
        <f>SUBTOTAL(109,Loans27395163[Difference])</f>
        <v>0</v>
      </c>
    </row>
    <row r="34" spans="1:10" x14ac:dyDescent="0.3">
      <c r="B34" s="41"/>
      <c r="C34" s="41"/>
      <c r="D34" s="41"/>
      <c r="E34" s="41"/>
      <c r="G34" s="41"/>
      <c r="H34" s="41"/>
      <c r="I34" s="41"/>
      <c r="J34" s="41"/>
    </row>
    <row r="35" spans="1:10" x14ac:dyDescent="0.3">
      <c r="A35" s="13" t="s">
        <v>82</v>
      </c>
      <c r="B35" t="s">
        <v>37</v>
      </c>
      <c r="C35" t="s">
        <v>6</v>
      </c>
      <c r="D35" t="s">
        <v>7</v>
      </c>
      <c r="E35" t="s">
        <v>8</v>
      </c>
      <c r="G35" t="s">
        <v>35</v>
      </c>
      <c r="H35" t="s">
        <v>6</v>
      </c>
      <c r="I35" t="s">
        <v>7</v>
      </c>
      <c r="J35" t="s">
        <v>8</v>
      </c>
    </row>
    <row r="36" spans="1:10" x14ac:dyDescent="0.3">
      <c r="B36" t="s">
        <v>39</v>
      </c>
      <c r="C36" s="3"/>
      <c r="D36" s="3"/>
      <c r="E36" s="3">
        <f>Insurance29415365[[#This Row],[Projected Cost]]-Insurance29415365[[#This Row],[Actual Cost]]</f>
        <v>0</v>
      </c>
      <c r="G36" t="s">
        <v>36</v>
      </c>
      <c r="H36" s="3"/>
      <c r="I36" s="3"/>
      <c r="J36" s="3">
        <f>Taxes30425466[[#This Row],[Projected Cost]]-Taxes30425466[[#This Row],[Actual Cost]]</f>
        <v>0</v>
      </c>
    </row>
    <row r="37" spans="1:10" x14ac:dyDescent="0.3">
      <c r="B37" t="s">
        <v>41</v>
      </c>
      <c r="C37" s="3"/>
      <c r="D37" s="3"/>
      <c r="E37" s="3">
        <f>Insurance29415365[[#This Row],[Projected Cost]]-Insurance29415365[[#This Row],[Actual Cost]]</f>
        <v>0</v>
      </c>
      <c r="G37" t="s">
        <v>38</v>
      </c>
      <c r="H37" s="3"/>
      <c r="I37" s="3"/>
      <c r="J37" s="3">
        <f>Taxes30425466[[#This Row],[Projected Cost]]-Taxes30425466[[#This Row],[Actual Cost]]</f>
        <v>0</v>
      </c>
    </row>
    <row r="38" spans="1:10" x14ac:dyDescent="0.3">
      <c r="B38" t="s">
        <v>42</v>
      </c>
      <c r="C38" s="3"/>
      <c r="D38" s="3"/>
      <c r="E38" s="3">
        <f>Insurance29415365[[#This Row],[Projected Cost]]-Insurance29415365[[#This Row],[Actual Cost]]</f>
        <v>0</v>
      </c>
      <c r="G38" t="s">
        <v>40</v>
      </c>
      <c r="H38" s="3"/>
      <c r="I38" s="3"/>
      <c r="J38" s="3">
        <f>Taxes30425466[[#This Row],[Projected Cost]]-Taxes30425466[[#This Row],[Actual Cost]]</f>
        <v>0</v>
      </c>
    </row>
    <row r="39" spans="1:10" x14ac:dyDescent="0.3">
      <c r="B39" t="s">
        <v>23</v>
      </c>
      <c r="C39" s="3"/>
      <c r="D39" s="3"/>
      <c r="E39" s="3">
        <f>Insurance29415365[[#This Row],[Projected Cost]]-Insurance29415365[[#This Row],[Actual Cost]]</f>
        <v>0</v>
      </c>
      <c r="G39" t="s">
        <v>23</v>
      </c>
      <c r="H39" s="3"/>
      <c r="I39" s="3"/>
      <c r="J39" s="3">
        <f>Taxes30425466[[#This Row],[Projected Cost]]-Taxes30425466[[#This Row],[Actual Cost]]</f>
        <v>0</v>
      </c>
    </row>
    <row r="40" spans="1:10" x14ac:dyDescent="0.3">
      <c r="B40" t="s">
        <v>66</v>
      </c>
      <c r="C40" s="3"/>
      <c r="D40" s="3"/>
      <c r="E40" s="3">
        <f>SUBTOTAL(109,Insurance29415365[Difference])</f>
        <v>0</v>
      </c>
      <c r="G40" t="s">
        <v>66</v>
      </c>
      <c r="H40" s="3"/>
      <c r="I40" s="3"/>
      <c r="J40" s="3">
        <f>SUBTOTAL(109,Taxes30425466[Difference])</f>
        <v>0</v>
      </c>
    </row>
    <row r="41" spans="1:10" x14ac:dyDescent="0.3">
      <c r="B41" s="41"/>
      <c r="C41" s="41"/>
      <c r="D41" s="41"/>
      <c r="E41" s="41"/>
      <c r="G41" s="41"/>
      <c r="H41" s="41"/>
      <c r="I41" s="41"/>
      <c r="J41" s="41"/>
    </row>
    <row r="42" spans="1:10" x14ac:dyDescent="0.3">
      <c r="A42" s="13" t="s">
        <v>83</v>
      </c>
      <c r="B42" t="s">
        <v>45</v>
      </c>
      <c r="C42" t="s">
        <v>6</v>
      </c>
      <c r="D42" t="s">
        <v>7</v>
      </c>
      <c r="E42" t="s">
        <v>8</v>
      </c>
      <c r="G42" t="s">
        <v>43</v>
      </c>
      <c r="H42" t="s">
        <v>6</v>
      </c>
      <c r="I42" t="s">
        <v>7</v>
      </c>
      <c r="J42" t="s">
        <v>8</v>
      </c>
    </row>
    <row r="43" spans="1:10" x14ac:dyDescent="0.3">
      <c r="B43" t="s">
        <v>47</v>
      </c>
      <c r="C43" s="3">
        <v>3000</v>
      </c>
      <c r="D43" s="3">
        <v>3000</v>
      </c>
      <c r="E43" s="3">
        <f>Food32445668[[#This Row],[Projected Cost]]-Food32445668[[#This Row],[Actual Cost]]</f>
        <v>0</v>
      </c>
      <c r="G43" t="s">
        <v>44</v>
      </c>
      <c r="H43" s="3"/>
      <c r="I43" s="3"/>
      <c r="J43" s="3">
        <f>Savings31435567[[#This Row],[Projected Cost]]-Savings31435567[[#This Row],[Actual Cost]]</f>
        <v>0</v>
      </c>
    </row>
    <row r="44" spans="1:10" x14ac:dyDescent="0.3">
      <c r="B44" t="s">
        <v>94</v>
      </c>
      <c r="C44" s="3">
        <v>500</v>
      </c>
      <c r="D44" s="3">
        <v>500</v>
      </c>
      <c r="E44" s="3">
        <f>Food32445668[[#This Row],[Projected Cost]]-Food32445668[[#This Row],[Actual Cost]]</f>
        <v>0</v>
      </c>
      <c r="G44" t="s">
        <v>46</v>
      </c>
      <c r="H44" s="3"/>
      <c r="I44" s="3"/>
      <c r="J44" s="3">
        <f>Savings31435567[[#This Row],[Projected Cost]]-Savings31435567[[#This Row],[Actual Cost]]</f>
        <v>0</v>
      </c>
    </row>
    <row r="45" spans="1:10" x14ac:dyDescent="0.3">
      <c r="B45" t="s">
        <v>98</v>
      </c>
      <c r="C45" s="3">
        <v>2000</v>
      </c>
      <c r="D45" s="3">
        <v>2000</v>
      </c>
      <c r="E45" s="3">
        <f>Food32445668[[#This Row],[Projected Cost]]-Food32445668[[#This Row],[Actual Cost]]</f>
        <v>0</v>
      </c>
      <c r="G45" t="s">
        <v>91</v>
      </c>
      <c r="H45" s="3">
        <v>3000</v>
      </c>
      <c r="I45" s="3">
        <v>3000</v>
      </c>
      <c r="J45" s="3">
        <f>Savings31435567[[#This Row],[Projected Cost]]-Savings31435567[[#This Row],[Actual Cost]]</f>
        <v>0</v>
      </c>
    </row>
    <row r="46" spans="1:10" x14ac:dyDescent="0.3">
      <c r="B46" t="s">
        <v>66</v>
      </c>
      <c r="C46" s="3">
        <f>SUBTOTAL(109,Food32445668[Projected Cost])</f>
        <v>5500</v>
      </c>
      <c r="D46" s="3">
        <f>SUBTOTAL(109,Food32445668[Actual Cost])</f>
        <v>5500</v>
      </c>
      <c r="E46" s="3">
        <f>SUBTOTAL(109,Food32445668[Difference])</f>
        <v>0</v>
      </c>
      <c r="G46" t="s">
        <v>66</v>
      </c>
      <c r="H46" s="3">
        <f>SUBTOTAL(109,Savings31435567[Projected Cost])</f>
        <v>3000</v>
      </c>
      <c r="I46" s="3">
        <f>SUBTOTAL(109,Savings31435567[Actual Cost])</f>
        <v>3000</v>
      </c>
      <c r="J46" s="3">
        <f>SUBTOTAL(109,Savings31435567[Difference])</f>
        <v>0</v>
      </c>
    </row>
    <row r="47" spans="1:10" x14ac:dyDescent="0.3">
      <c r="B47" s="41"/>
      <c r="C47" s="41"/>
      <c r="D47" s="41"/>
      <c r="E47" s="41"/>
      <c r="G47" s="41"/>
      <c r="H47" s="41"/>
      <c r="I47" s="41"/>
      <c r="J47" s="41"/>
    </row>
    <row r="48" spans="1:10" x14ac:dyDescent="0.3">
      <c r="A48" s="13" t="s">
        <v>84</v>
      </c>
      <c r="B48" t="s">
        <v>50</v>
      </c>
      <c r="C48" t="s">
        <v>6</v>
      </c>
      <c r="D48" t="s">
        <v>7</v>
      </c>
      <c r="E48" t="s">
        <v>8</v>
      </c>
      <c r="G48" t="s">
        <v>48</v>
      </c>
      <c r="H48" t="s">
        <v>6</v>
      </c>
      <c r="I48" t="s">
        <v>7</v>
      </c>
      <c r="J48" t="s">
        <v>8</v>
      </c>
    </row>
    <row r="49" spans="1:10" x14ac:dyDescent="0.3">
      <c r="B49" t="s">
        <v>52</v>
      </c>
      <c r="C49" s="3"/>
      <c r="D49" s="3"/>
      <c r="E49" s="3">
        <f>Pets34465870[[#This Row],[Projected Cost]]-Pets34465870[[#This Row],[Actual Cost]]</f>
        <v>0</v>
      </c>
      <c r="G49" t="s">
        <v>49</v>
      </c>
      <c r="H49" s="3"/>
      <c r="I49" s="3"/>
      <c r="J49" s="3">
        <f>Gifts33455769[[#This Row],[Projected Cost]]-Gifts33455769[[#This Row],[Actual Cost]]</f>
        <v>0</v>
      </c>
    </row>
    <row r="50" spans="1:10" x14ac:dyDescent="0.3">
      <c r="B50" t="s">
        <v>54</v>
      </c>
      <c r="C50" s="3"/>
      <c r="D50" s="3"/>
      <c r="E50" s="3">
        <f>Pets34465870[[#This Row],[Projected Cost]]-Pets34465870[[#This Row],[Actual Cost]]</f>
        <v>0</v>
      </c>
      <c r="G50" t="s">
        <v>51</v>
      </c>
      <c r="H50" s="3"/>
      <c r="I50" s="3"/>
      <c r="J50" s="3">
        <f>Gifts33455769[[#This Row],[Projected Cost]]-Gifts33455769[[#This Row],[Actual Cost]]</f>
        <v>0</v>
      </c>
    </row>
    <row r="51" spans="1:10" x14ac:dyDescent="0.3">
      <c r="B51" t="s">
        <v>55</v>
      </c>
      <c r="C51" s="3"/>
      <c r="D51" s="3"/>
      <c r="E51" s="3">
        <f>Pets34465870[[#This Row],[Projected Cost]]-Pets34465870[[#This Row],[Actual Cost]]</f>
        <v>0</v>
      </c>
      <c r="G51" t="s">
        <v>53</v>
      </c>
      <c r="H51" s="3"/>
      <c r="I51" s="3"/>
      <c r="J51" s="3">
        <f>Gifts33455769[[#This Row],[Projected Cost]]-Gifts33455769[[#This Row],[Actual Cost]]</f>
        <v>0</v>
      </c>
    </row>
    <row r="52" spans="1:10" x14ac:dyDescent="0.3">
      <c r="B52" t="s">
        <v>56</v>
      </c>
      <c r="C52" s="3"/>
      <c r="D52" s="3"/>
      <c r="E52" s="3">
        <f>Pets34465870[[#This Row],[Projected Cost]]-Pets34465870[[#This Row],[Actual Cost]]</f>
        <v>0</v>
      </c>
      <c r="G52" t="s">
        <v>66</v>
      </c>
      <c r="H52" s="3"/>
      <c r="I52" s="3"/>
      <c r="J52" s="3">
        <f>SUBTOTAL(109,Gifts33455769[Difference])</f>
        <v>0</v>
      </c>
    </row>
    <row r="53" spans="1:10" x14ac:dyDescent="0.3">
      <c r="B53" t="s">
        <v>23</v>
      </c>
      <c r="C53" s="3"/>
      <c r="D53" s="3"/>
      <c r="E53" s="3">
        <f>Pets34465870[[#This Row],[Projected Cost]]-Pets34465870[[#This Row],[Actual Cost]]</f>
        <v>0</v>
      </c>
      <c r="G53" s="41"/>
      <c r="H53" s="41"/>
      <c r="I53" s="41"/>
      <c r="J53" s="41"/>
    </row>
    <row r="54" spans="1:10" x14ac:dyDescent="0.3">
      <c r="B54" t="s">
        <v>66</v>
      </c>
      <c r="C54" s="3"/>
      <c r="D54" s="3"/>
      <c r="E54" s="3">
        <f>SUBTOTAL(109,Pets34465870[Difference])</f>
        <v>0</v>
      </c>
      <c r="G54" t="s">
        <v>106</v>
      </c>
      <c r="H54" t="s">
        <v>6</v>
      </c>
      <c r="I54" t="s">
        <v>7</v>
      </c>
      <c r="J54" t="s">
        <v>8</v>
      </c>
    </row>
    <row r="55" spans="1:10" x14ac:dyDescent="0.3">
      <c r="B55" s="41"/>
      <c r="C55" s="41"/>
      <c r="D55" s="41"/>
      <c r="E55" s="41"/>
      <c r="G55" t="s">
        <v>125</v>
      </c>
      <c r="H55" s="3">
        <v>0</v>
      </c>
      <c r="I55" s="3">
        <v>0</v>
      </c>
      <c r="J55" s="3">
        <f>Legal35475971[[#This Row],[Projected Cost]]-Legal35475971[[#This Row],[Actual Cost]]</f>
        <v>0</v>
      </c>
    </row>
    <row r="56" spans="1:10" x14ac:dyDescent="0.3">
      <c r="A56" s="13" t="s">
        <v>85</v>
      </c>
      <c r="B56" s="8" t="s">
        <v>57</v>
      </c>
      <c r="C56" s="8" t="s">
        <v>114</v>
      </c>
      <c r="D56" s="8" t="s">
        <v>7</v>
      </c>
      <c r="E56" s="8" t="s">
        <v>8</v>
      </c>
      <c r="G56" t="s">
        <v>108</v>
      </c>
      <c r="H56" s="3">
        <v>6673</v>
      </c>
      <c r="I56" s="3">
        <v>6673</v>
      </c>
      <c r="J56" s="3">
        <f>Legal35475971[[#This Row],[Projected Cost]]-Legal35475971[[#This Row],[Actual Cost]]</f>
        <v>0</v>
      </c>
    </row>
    <row r="57" spans="1:10" x14ac:dyDescent="0.3">
      <c r="B57" s="8" t="s">
        <v>54</v>
      </c>
      <c r="C57" s="9"/>
      <c r="D57" s="9"/>
      <c r="E57" s="9">
        <f>PersonalCare36486072[[#This Row],[z]]-PersonalCare36486072[[#This Row],[Actual Cost]]</f>
        <v>0</v>
      </c>
      <c r="G57" t="s">
        <v>109</v>
      </c>
      <c r="H57" s="3">
        <v>0</v>
      </c>
      <c r="I57" s="3">
        <v>0</v>
      </c>
      <c r="J57" s="3">
        <f>Legal35475971[[#This Row],[Projected Cost]]-Legal35475971[[#This Row],[Actual Cost]]</f>
        <v>0</v>
      </c>
    </row>
    <row r="58" spans="1:10" x14ac:dyDescent="0.3">
      <c r="B58" s="8" t="s">
        <v>58</v>
      </c>
      <c r="C58" s="9"/>
      <c r="D58" s="9"/>
      <c r="E58" s="9">
        <f>PersonalCare36486072[[#This Row],[z]]-PersonalCare36486072[[#This Row],[Actual Cost]]</f>
        <v>0</v>
      </c>
      <c r="G58" t="s">
        <v>122</v>
      </c>
      <c r="H58" s="3">
        <v>2769</v>
      </c>
      <c r="I58" s="3">
        <v>2769</v>
      </c>
      <c r="J58" s="3">
        <f>Legal35475971[[#This Row],[Projected Cost]]-Legal35475971[[#This Row],[Actual Cost]]</f>
        <v>0</v>
      </c>
    </row>
    <row r="59" spans="1:10" x14ac:dyDescent="0.3">
      <c r="A59" s="13" t="s">
        <v>86</v>
      </c>
      <c r="B59" s="8" t="s">
        <v>59</v>
      </c>
      <c r="C59" s="9"/>
      <c r="D59" s="9"/>
      <c r="E59" s="9">
        <f>PersonalCare36486072[[#This Row],[z]]-PersonalCare36486072[[#This Row],[Actual Cost]]</f>
        <v>0</v>
      </c>
      <c r="G59" t="s">
        <v>113</v>
      </c>
      <c r="H59" s="3">
        <v>0</v>
      </c>
      <c r="I59" s="3">
        <v>0</v>
      </c>
      <c r="J59" s="3">
        <f>Legal35475971[[#This Row],[Projected Cost]]-Legal35475971[[#This Row],[Actual Cost]]</f>
        <v>0</v>
      </c>
    </row>
    <row r="60" spans="1:10" x14ac:dyDescent="0.3">
      <c r="B60" s="8" t="s">
        <v>61</v>
      </c>
      <c r="C60" s="9"/>
      <c r="D60" s="9"/>
      <c r="E60" s="9">
        <f>PersonalCare36486072[[#This Row],[z]]-PersonalCare36486072[[#This Row],[Actual Cost]]</f>
        <v>0</v>
      </c>
      <c r="G60" t="s">
        <v>131</v>
      </c>
      <c r="H60" s="3">
        <v>0</v>
      </c>
      <c r="I60" s="3">
        <v>0</v>
      </c>
      <c r="J60" s="3">
        <f>Legal35475971[[#This Row],[Projected Cost]]-Legal35475971[[#This Row],[Actual Cost]]</f>
        <v>0</v>
      </c>
    </row>
    <row r="61" spans="1:10" x14ac:dyDescent="0.3">
      <c r="B61" s="8" t="s">
        <v>62</v>
      </c>
      <c r="C61" s="9"/>
      <c r="D61" s="9"/>
      <c r="E61" s="9">
        <f>PersonalCare36486072[[#This Row],[z]]-PersonalCare36486072[[#This Row],[Actual Cost]]</f>
        <v>0</v>
      </c>
      <c r="G61" t="s">
        <v>66</v>
      </c>
      <c r="H61" s="3">
        <f>SUBTOTAL(109,Legal35475971[Projected Cost])</f>
        <v>9442</v>
      </c>
      <c r="I61" s="3">
        <f>SUBTOTAL(109,Legal35475971[Actual Cost])</f>
        <v>9442</v>
      </c>
      <c r="J61" s="3">
        <f>SUBTOTAL(109,Legal35475971[Difference])</f>
        <v>0</v>
      </c>
    </row>
    <row r="62" spans="1:10" x14ac:dyDescent="0.3">
      <c r="B62" s="8" t="s">
        <v>64</v>
      </c>
      <c r="C62" s="9"/>
      <c r="D62" s="9"/>
      <c r="E62" s="9">
        <f>PersonalCare36486072[[#This Row],[z]]-PersonalCare36486072[[#This Row],[Actual Cost]]</f>
        <v>0</v>
      </c>
      <c r="G62" s="41"/>
      <c r="H62" s="41"/>
      <c r="I62" s="41"/>
      <c r="J62" s="41"/>
    </row>
    <row r="63" spans="1:10" x14ac:dyDescent="0.3">
      <c r="B63" s="8" t="s">
        <v>23</v>
      </c>
      <c r="C63" s="9"/>
      <c r="D63" s="9"/>
      <c r="E63" s="9">
        <f>PersonalCare36486072[[#This Row],[z]]-PersonalCare36486072[[#This Row],[Actual Cost]]</f>
        <v>0</v>
      </c>
      <c r="G63" s="42" t="s">
        <v>60</v>
      </c>
      <c r="H63" s="42"/>
      <c r="I63" s="42"/>
      <c r="J63" s="40">
        <f>SUBTOTAL(109,Housing25374961[Projected Cost],Transportation28405264[Projected Cost],Insurance29415365[Projected Cost],Food32445668[Projected Cost],Pets34465870[Projected Cost],PersonalCare36486072[z],Entertainment26385062[Projected Cost],Loans27395163[Projected Cost],Taxes30425466[Projected Cost],Savings31435567[Projected Cost],Gifts33455769[Projected Cost],Legal35475971[Projected Cost])</f>
        <v>78980</v>
      </c>
    </row>
    <row r="64" spans="1:10" x14ac:dyDescent="0.3">
      <c r="B64" s="8" t="s">
        <v>66</v>
      </c>
      <c r="C64" s="9"/>
      <c r="D64" s="9"/>
      <c r="E64" s="9">
        <f>SUBTOTAL(109,PersonalCare36486072[Difference])</f>
        <v>0</v>
      </c>
      <c r="G64" s="42"/>
      <c r="H64" s="42"/>
      <c r="I64" s="42"/>
      <c r="J64" s="40"/>
    </row>
    <row r="65" spans="2:10" x14ac:dyDescent="0.3">
      <c r="B65" s="41"/>
      <c r="C65" s="41"/>
      <c r="D65" s="41"/>
      <c r="E65" s="41"/>
      <c r="G65" s="42" t="s">
        <v>63</v>
      </c>
      <c r="H65" s="42"/>
      <c r="I65" s="42"/>
      <c r="J65" s="40">
        <f>SUBTOTAL(109,Housing25374961[Actual Cost],Transportation28405264[Actual Cost],Insurance29415365[Actual Cost],Food32445668[Actual Cost],Pets34465870[Actual Cost],PersonalCare36486072[Actual Cost],Entertainment26385062[Actual Cost],Loans27395163[Actual Cost],Taxes30425466[Actual Cost],Savings31435567[Actual Cost],Gifts33455769[Actual Cost],Legal35475971[Actual Cost])</f>
        <v>78980</v>
      </c>
    </row>
    <row r="66" spans="2:10" x14ac:dyDescent="0.3">
      <c r="G66" s="42"/>
      <c r="H66" s="42"/>
      <c r="I66" s="42"/>
      <c r="J66" s="40"/>
    </row>
    <row r="67" spans="2:10" x14ac:dyDescent="0.3">
      <c r="G67" s="42" t="s">
        <v>65</v>
      </c>
      <c r="H67" s="42"/>
      <c r="I67" s="42"/>
      <c r="J67" s="40">
        <f>J63-J65</f>
        <v>0</v>
      </c>
    </row>
    <row r="68" spans="2:10" x14ac:dyDescent="0.3">
      <c r="G68" s="42"/>
      <c r="H68" s="42"/>
      <c r="I68" s="42"/>
      <c r="J68" s="40"/>
    </row>
  </sheetData>
  <mergeCells count="32">
    <mergeCell ref="B65:E65"/>
    <mergeCell ref="G65:I66"/>
    <mergeCell ref="J65:J66"/>
    <mergeCell ref="G67:I68"/>
    <mergeCell ref="J67:J68"/>
    <mergeCell ref="G63:I64"/>
    <mergeCell ref="J63:J64"/>
    <mergeCell ref="G23:J23"/>
    <mergeCell ref="B24:E24"/>
    <mergeCell ref="B34:E34"/>
    <mergeCell ref="G34:J34"/>
    <mergeCell ref="B41:E41"/>
    <mergeCell ref="G41:J41"/>
    <mergeCell ref="B47:E47"/>
    <mergeCell ref="G47:J47"/>
    <mergeCell ref="G53:J53"/>
    <mergeCell ref="B55:E55"/>
    <mergeCell ref="G62:J62"/>
    <mergeCell ref="B8:B10"/>
    <mergeCell ref="C8:D8"/>
    <mergeCell ref="G8:I9"/>
    <mergeCell ref="J8:J9"/>
    <mergeCell ref="C9:D9"/>
    <mergeCell ref="C10:D10"/>
    <mergeCell ref="B4:B6"/>
    <mergeCell ref="C4:D4"/>
    <mergeCell ref="G4:I5"/>
    <mergeCell ref="J4:J5"/>
    <mergeCell ref="C5:D5"/>
    <mergeCell ref="C6:D6"/>
    <mergeCell ref="G6:I7"/>
    <mergeCell ref="J6:J7"/>
  </mergeCells>
  <conditionalFormatting sqref="J8:J9">
    <cfRule type="cellIs" dxfId="353" priority="2" operator="lessThan">
      <formula>0</formula>
    </cfRule>
  </conditionalFormatting>
  <conditionalFormatting sqref="J67:J68">
    <cfRule type="cellIs" dxfId="352" priority="1" operator="lessThan">
      <formula>0</formula>
    </cfRule>
  </conditionalFormatting>
  <printOptions horizontalCentered="1"/>
  <pageMargins left="0.4" right="0.4" top="0.4" bottom="0.4" header="0.3" footer="0.3"/>
  <pageSetup scale="81" fitToHeight="0" orientation="portrait" r:id="rId1"/>
  <headerFooter differentFirst="1">
    <oddFooter>Page &amp;P of &amp;N</oddFooter>
  </headerFooter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8C0A-B22E-4AD1-BCB4-9E1A0B22865E}">
  <sheetPr>
    <tabColor theme="4"/>
  </sheetPr>
  <dimension ref="A1:L12"/>
  <sheetViews>
    <sheetView workbookViewId="0">
      <selection activeCell="I5" sqref="I5"/>
    </sheetView>
  </sheetViews>
  <sheetFormatPr defaultRowHeight="13" x14ac:dyDescent="0.3"/>
  <cols>
    <col min="1" max="1" width="10.296875" bestFit="1" customWidth="1"/>
    <col min="2" max="2" width="6.8984375" bestFit="1" customWidth="1"/>
    <col min="4" max="4" width="10.3984375" bestFit="1" customWidth="1"/>
    <col min="8" max="8" width="10.8984375" bestFit="1" customWidth="1"/>
    <col min="9" max="9" width="5.8984375" bestFit="1" customWidth="1"/>
  </cols>
  <sheetData>
    <row r="1" spans="1:12" x14ac:dyDescent="0.3">
      <c r="A1" t="s">
        <v>158</v>
      </c>
      <c r="B1">
        <v>32000</v>
      </c>
      <c r="D1" t="s">
        <v>165</v>
      </c>
      <c r="E1">
        <v>143000</v>
      </c>
      <c r="H1" t="s">
        <v>167</v>
      </c>
      <c r="I1">
        <v>6673</v>
      </c>
      <c r="L1">
        <v>102000</v>
      </c>
    </row>
    <row r="2" spans="1:12" x14ac:dyDescent="0.3">
      <c r="A2" t="s">
        <v>128</v>
      </c>
      <c r="B2">
        <v>36000</v>
      </c>
      <c r="D2" t="s">
        <v>162</v>
      </c>
      <c r="E2">
        <v>0</v>
      </c>
      <c r="H2" t="s">
        <v>168</v>
      </c>
      <c r="I2">
        <f>20642</f>
        <v>20642</v>
      </c>
      <c r="L2">
        <v>39022</v>
      </c>
    </row>
    <row r="3" spans="1:12" x14ac:dyDescent="0.3">
      <c r="A3" t="s">
        <v>155</v>
      </c>
      <c r="B3">
        <v>10000</v>
      </c>
      <c r="D3" t="s">
        <v>159</v>
      </c>
      <c r="E3">
        <v>0</v>
      </c>
      <c r="H3" t="s">
        <v>169</v>
      </c>
      <c r="I3">
        <v>2700</v>
      </c>
    </row>
    <row r="4" spans="1:12" x14ac:dyDescent="0.3">
      <c r="A4" t="s">
        <v>118</v>
      </c>
      <c r="B4">
        <v>10000</v>
      </c>
      <c r="D4" t="s">
        <v>164</v>
      </c>
      <c r="E4">
        <v>0</v>
      </c>
      <c r="H4" t="s">
        <v>170</v>
      </c>
      <c r="I4">
        <v>5000</v>
      </c>
    </row>
    <row r="5" spans="1:12" x14ac:dyDescent="0.3">
      <c r="A5" t="s">
        <v>175</v>
      </c>
      <c r="B5">
        <v>5222</v>
      </c>
      <c r="D5" t="s">
        <v>135</v>
      </c>
      <c r="E5">
        <f>SUM(E1:E4)</f>
        <v>143000</v>
      </c>
      <c r="H5" t="s">
        <v>171</v>
      </c>
      <c r="I5">
        <v>4007</v>
      </c>
    </row>
    <row r="6" spans="1:12" x14ac:dyDescent="0.3">
      <c r="A6" t="s">
        <v>159</v>
      </c>
      <c r="B6">
        <v>32000</v>
      </c>
    </row>
    <row r="7" spans="1:12" x14ac:dyDescent="0.3">
      <c r="A7" t="s">
        <v>123</v>
      </c>
      <c r="B7">
        <v>10000</v>
      </c>
      <c r="D7" t="s">
        <v>163</v>
      </c>
      <c r="E7">
        <f>E5-B12</f>
        <v>3778</v>
      </c>
      <c r="H7" t="s">
        <v>172</v>
      </c>
      <c r="I7">
        <f>SUM(I1:I5)</f>
        <v>39022</v>
      </c>
    </row>
    <row r="8" spans="1:12" x14ac:dyDescent="0.3">
      <c r="A8" t="s">
        <v>160</v>
      </c>
      <c r="B8">
        <v>0</v>
      </c>
    </row>
    <row r="9" spans="1:12" x14ac:dyDescent="0.3">
      <c r="A9" t="s">
        <v>120</v>
      </c>
      <c r="B9">
        <v>4000</v>
      </c>
    </row>
    <row r="10" spans="1:12" x14ac:dyDescent="0.3">
      <c r="A10" t="s">
        <v>161</v>
      </c>
      <c r="B10">
        <v>0</v>
      </c>
    </row>
    <row r="12" spans="1:12" x14ac:dyDescent="0.3">
      <c r="A12" t="s">
        <v>135</v>
      </c>
      <c r="B12">
        <f>SUM(B1:B10)</f>
        <v>139222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BC0D4-A220-4FD3-B43B-BCEC4F1C3E6C}">
  <sheetPr>
    <tabColor theme="4"/>
    <pageSetUpPr autoPageBreaks="0" fitToPage="1"/>
  </sheetPr>
  <dimension ref="A1:J68"/>
  <sheetViews>
    <sheetView showGridLines="0" tabSelected="1" zoomScale="80" zoomScaleNormal="80" workbookViewId="0">
      <selection activeCell="H61" sqref="H61"/>
    </sheetView>
  </sheetViews>
  <sheetFormatPr defaultRowHeight="13" x14ac:dyDescent="0.3"/>
  <cols>
    <col min="1" max="1" width="2.69921875" style="13" customWidth="1"/>
    <col min="2" max="2" width="64.69921875" bestFit="1" customWidth="1"/>
    <col min="3" max="3" width="16" customWidth="1"/>
    <col min="4" max="4" width="13" customWidth="1"/>
    <col min="5" max="5" width="13.5" bestFit="1" customWidth="1"/>
    <col min="6" max="6" width="2.69921875" customWidth="1"/>
    <col min="7" max="7" width="27.09765625" customWidth="1"/>
    <col min="8" max="8" width="16" customWidth="1"/>
    <col min="9" max="9" width="13" customWidth="1"/>
    <col min="10" max="10" width="14.296875" bestFit="1" customWidth="1"/>
    <col min="11" max="11" width="2.69921875" customWidth="1"/>
  </cols>
  <sheetData>
    <row r="1" spans="1:10" s="2" customFormat="1" ht="14.5" x14ac:dyDescent="0.35">
      <c r="A1" s="12" t="s">
        <v>74</v>
      </c>
    </row>
    <row r="2" spans="1:10" s="2" customFormat="1" ht="30.5" thickBot="1" x14ac:dyDescent="0.7">
      <c r="A2" s="12" t="s">
        <v>75</v>
      </c>
      <c r="B2" s="1" t="s">
        <v>102</v>
      </c>
      <c r="C2" s="1"/>
      <c r="D2" s="1"/>
      <c r="E2" s="1"/>
      <c r="F2" s="1"/>
      <c r="G2" s="1"/>
      <c r="H2" s="1"/>
      <c r="I2" s="1"/>
      <c r="J2" s="1"/>
    </row>
    <row r="4" spans="1:10" x14ac:dyDescent="0.3">
      <c r="A4" s="13" t="s">
        <v>77</v>
      </c>
      <c r="B4" s="33" t="s">
        <v>0</v>
      </c>
      <c r="C4" s="36" t="s">
        <v>1</v>
      </c>
      <c r="D4" s="37"/>
      <c r="E4" s="5">
        <v>85000</v>
      </c>
      <c r="G4" s="38" t="s">
        <v>97</v>
      </c>
      <c r="H4" s="39"/>
      <c r="I4" s="39"/>
      <c r="J4" s="40">
        <f>E6-J65</f>
        <v>33539</v>
      </c>
    </row>
    <row r="5" spans="1:10" x14ac:dyDescent="0.3">
      <c r="B5" s="34"/>
      <c r="C5" s="36" t="s">
        <v>111</v>
      </c>
      <c r="D5" s="37"/>
      <c r="E5" s="6">
        <v>14000</v>
      </c>
      <c r="G5" s="39"/>
      <c r="H5" s="39"/>
      <c r="I5" s="39"/>
      <c r="J5" s="40"/>
    </row>
    <row r="6" spans="1:10" x14ac:dyDescent="0.3">
      <c r="A6" s="13" t="s">
        <v>78</v>
      </c>
      <c r="B6" s="35"/>
      <c r="C6" s="36" t="s">
        <v>3</v>
      </c>
      <c r="D6" s="37"/>
      <c r="E6" s="7">
        <f>SUM(E4:E5)</f>
        <v>99000</v>
      </c>
      <c r="G6" s="38" t="s">
        <v>96</v>
      </c>
      <c r="H6" s="39"/>
      <c r="I6" s="39"/>
      <c r="J6" s="40">
        <f>E10-J65</f>
        <v>-65461</v>
      </c>
    </row>
    <row r="7" spans="1:10" x14ac:dyDescent="0.3">
      <c r="B7" s="4"/>
      <c r="C7" s="4"/>
      <c r="D7" s="4"/>
      <c r="E7" s="4"/>
      <c r="G7" s="39"/>
      <c r="H7" s="39"/>
      <c r="I7" s="39"/>
      <c r="J7" s="40"/>
    </row>
    <row r="8" spans="1:10" x14ac:dyDescent="0.3">
      <c r="A8" s="13" t="s">
        <v>79</v>
      </c>
      <c r="B8" s="33" t="s">
        <v>4</v>
      </c>
      <c r="C8" s="36" t="s">
        <v>1</v>
      </c>
      <c r="D8" s="37"/>
      <c r="E8" s="5">
        <v>0</v>
      </c>
      <c r="G8" s="38" t="s">
        <v>67</v>
      </c>
      <c r="H8" s="39"/>
      <c r="I8" s="39"/>
      <c r="J8" s="40">
        <f>J6-J4</f>
        <v>-99000</v>
      </c>
    </row>
    <row r="9" spans="1:10" x14ac:dyDescent="0.3">
      <c r="B9" s="34"/>
      <c r="C9" s="36" t="s">
        <v>2</v>
      </c>
      <c r="D9" s="37"/>
      <c r="E9" s="6">
        <v>0</v>
      </c>
      <c r="G9" s="39"/>
      <c r="H9" s="39"/>
      <c r="I9" s="39"/>
      <c r="J9" s="40"/>
    </row>
    <row r="10" spans="1:10" x14ac:dyDescent="0.3">
      <c r="B10" s="35"/>
      <c r="C10" s="36" t="s">
        <v>3</v>
      </c>
      <c r="D10" s="37"/>
      <c r="E10" s="7">
        <f>SUM(E8:E9)</f>
        <v>0</v>
      </c>
    </row>
    <row r="12" spans="1:10" x14ac:dyDescent="0.3">
      <c r="A12" s="13" t="s">
        <v>80</v>
      </c>
      <c r="B12" s="8" t="s">
        <v>5</v>
      </c>
      <c r="C12" s="8" t="s">
        <v>6</v>
      </c>
      <c r="D12" s="8" t="s">
        <v>7</v>
      </c>
      <c r="E12" s="8" t="s">
        <v>8</v>
      </c>
      <c r="G12" t="s">
        <v>9</v>
      </c>
      <c r="H12" t="s">
        <v>6</v>
      </c>
      <c r="I12" t="s">
        <v>7</v>
      </c>
      <c r="J12" t="s">
        <v>8</v>
      </c>
    </row>
    <row r="13" spans="1:10" x14ac:dyDescent="0.3">
      <c r="B13" s="8" t="s">
        <v>10</v>
      </c>
      <c r="C13" s="9">
        <v>0</v>
      </c>
      <c r="D13" s="9">
        <v>0</v>
      </c>
      <c r="E13" s="9">
        <f>Housing253749[[#This Row],[Projected Cost]]-Housing253749[[#This Row],[Actual Cost]]</f>
        <v>0</v>
      </c>
      <c r="G13" t="s">
        <v>11</v>
      </c>
      <c r="H13" s="3"/>
      <c r="I13" s="3"/>
      <c r="J13" s="3">
        <f>Entertainment263850[[#This Row],[Projected Cost]]-Entertainment263850[[#This Row],[Actual Cost]]</f>
        <v>0</v>
      </c>
    </row>
    <row r="14" spans="1:10" x14ac:dyDescent="0.3">
      <c r="B14" s="8" t="s">
        <v>12</v>
      </c>
      <c r="C14" s="9">
        <v>600</v>
      </c>
      <c r="D14" s="9">
        <v>600</v>
      </c>
      <c r="E14" s="9">
        <f>Housing253749[[#This Row],[Projected Cost]]-Housing253749[[#This Row],[Actual Cost]]</f>
        <v>0</v>
      </c>
      <c r="G14" t="s">
        <v>13</v>
      </c>
      <c r="H14" s="3"/>
      <c r="I14" s="3"/>
      <c r="J14" s="3">
        <f>Entertainment263850[[#This Row],[Projected Cost]]-Entertainment263850[[#This Row],[Actual Cost]]</f>
        <v>0</v>
      </c>
    </row>
    <row r="15" spans="1:10" x14ac:dyDescent="0.3">
      <c r="B15" s="8" t="s">
        <v>14</v>
      </c>
      <c r="C15" s="9">
        <v>1000</v>
      </c>
      <c r="D15" s="9">
        <v>1000</v>
      </c>
      <c r="E15" s="9">
        <f>Housing253749[[#This Row],[Projected Cost]]-Housing253749[[#This Row],[Actual Cost]]</f>
        <v>0</v>
      </c>
      <c r="G15" t="s">
        <v>15</v>
      </c>
      <c r="H15" s="3"/>
      <c r="I15" s="3"/>
      <c r="J15" s="3">
        <f>Entertainment263850[[#This Row],[Projected Cost]]-Entertainment263850[[#This Row],[Actual Cost]]</f>
        <v>0</v>
      </c>
    </row>
    <row r="16" spans="1:10" x14ac:dyDescent="0.3">
      <c r="B16" s="8" t="s">
        <v>16</v>
      </c>
      <c r="C16" s="9">
        <v>0</v>
      </c>
      <c r="D16" s="9">
        <v>0</v>
      </c>
      <c r="E16" s="9">
        <f>Housing253749[[#This Row],[Projected Cost]]-Housing253749[[#This Row],[Actual Cost]]</f>
        <v>0</v>
      </c>
      <c r="G16" t="s">
        <v>17</v>
      </c>
      <c r="H16" s="3"/>
      <c r="I16" s="3"/>
      <c r="J16" s="3">
        <f>Entertainment263850[[#This Row],[Projected Cost]]-Entertainment263850[[#This Row],[Actual Cost]]</f>
        <v>0</v>
      </c>
    </row>
    <row r="17" spans="1:10" x14ac:dyDescent="0.3">
      <c r="B17" s="8" t="s">
        <v>18</v>
      </c>
      <c r="C17" s="9">
        <v>0</v>
      </c>
      <c r="D17" s="9">
        <v>0</v>
      </c>
      <c r="E17" s="9">
        <f>Housing253749[[#This Row],[Projected Cost]]-Housing253749[[#This Row],[Actual Cost]]</f>
        <v>0</v>
      </c>
      <c r="G17" t="s">
        <v>19</v>
      </c>
      <c r="H17" s="3"/>
      <c r="I17" s="3"/>
      <c r="J17" s="3">
        <f>Entertainment263850[[#This Row],[Projected Cost]]-Entertainment263850[[#This Row],[Actual Cost]]</f>
        <v>0</v>
      </c>
    </row>
    <row r="18" spans="1:10" x14ac:dyDescent="0.3">
      <c r="B18" s="8" t="s">
        <v>101</v>
      </c>
      <c r="C18" s="9">
        <v>1300</v>
      </c>
      <c r="D18" s="9">
        <v>1300</v>
      </c>
      <c r="E18" s="9">
        <f>Housing253749[[#This Row],[Projected Cost]]-Housing253749[[#This Row],[Actual Cost]]</f>
        <v>0</v>
      </c>
      <c r="G18" t="s">
        <v>21</v>
      </c>
      <c r="H18" s="3"/>
      <c r="I18" s="3"/>
      <c r="J18" s="3">
        <f>Entertainment263850[[#This Row],[Projected Cost]]-Entertainment263850[[#This Row],[Actual Cost]]</f>
        <v>0</v>
      </c>
    </row>
    <row r="19" spans="1:10" x14ac:dyDescent="0.3">
      <c r="B19" s="8" t="s">
        <v>22</v>
      </c>
      <c r="C19" s="9">
        <v>0</v>
      </c>
      <c r="D19" s="9">
        <v>0</v>
      </c>
      <c r="E19" s="9">
        <f>Housing253749[[#This Row],[Projected Cost]]-Housing253749[[#This Row],[Actual Cost]]</f>
        <v>0</v>
      </c>
      <c r="G19" t="s">
        <v>23</v>
      </c>
      <c r="H19" s="3"/>
      <c r="I19" s="3"/>
      <c r="J19" s="3">
        <f>Entertainment263850[[#This Row],[Projected Cost]]-Entertainment263850[[#This Row],[Actual Cost]]</f>
        <v>0</v>
      </c>
    </row>
    <row r="20" spans="1:10" x14ac:dyDescent="0.3">
      <c r="B20" s="8" t="s">
        <v>24</v>
      </c>
      <c r="C20" s="9">
        <v>0</v>
      </c>
      <c r="D20" s="9">
        <v>0</v>
      </c>
      <c r="E20" s="9">
        <f>Housing253749[[#This Row],[Projected Cost]]-Housing253749[[#This Row],[Actual Cost]]</f>
        <v>0</v>
      </c>
      <c r="G20" t="s">
        <v>23</v>
      </c>
      <c r="H20" s="3"/>
      <c r="I20" s="3"/>
      <c r="J20" s="3">
        <f>Entertainment263850[[#This Row],[Projected Cost]]-Entertainment263850[[#This Row],[Actual Cost]]</f>
        <v>0</v>
      </c>
    </row>
    <row r="21" spans="1:10" x14ac:dyDescent="0.3">
      <c r="B21" s="8" t="s">
        <v>25</v>
      </c>
      <c r="C21" s="9">
        <v>0</v>
      </c>
      <c r="D21" s="9">
        <v>0</v>
      </c>
      <c r="E21" s="9">
        <f>Housing253749[[#This Row],[Projected Cost]]-Housing253749[[#This Row],[Actual Cost]]</f>
        <v>0</v>
      </c>
      <c r="G21" t="s">
        <v>23</v>
      </c>
      <c r="H21" s="3"/>
      <c r="I21" s="3"/>
      <c r="J21" s="3">
        <f>Entertainment263850[[#This Row],[Projected Cost]]-Entertainment263850[[#This Row],[Actual Cost]]</f>
        <v>0</v>
      </c>
    </row>
    <row r="22" spans="1:10" x14ac:dyDescent="0.3">
      <c r="B22" s="8" t="s">
        <v>23</v>
      </c>
      <c r="C22" s="9">
        <v>0</v>
      </c>
      <c r="D22" s="9">
        <v>0</v>
      </c>
      <c r="E22" s="9">
        <f>Housing253749[[#This Row],[Projected Cost]]-Housing253749[[#This Row],[Actual Cost]]</f>
        <v>0</v>
      </c>
      <c r="G22" t="s">
        <v>66</v>
      </c>
      <c r="H22" s="3"/>
      <c r="I22" s="3"/>
      <c r="J22" s="3">
        <f>SUBTOTAL(109,Entertainment263850[Difference])</f>
        <v>0</v>
      </c>
    </row>
    <row r="23" spans="1:10" x14ac:dyDescent="0.3">
      <c r="B23" s="8" t="s">
        <v>66</v>
      </c>
      <c r="C23" s="9">
        <f>SUBTOTAL(109,Housing253749[Projected Cost])</f>
        <v>2900</v>
      </c>
      <c r="D23" s="9">
        <f>SUBTOTAL(109,Housing253749[Actual Cost])</f>
        <v>2900</v>
      </c>
      <c r="E23" s="9">
        <f>SUBTOTAL(109,Housing253749[Difference])</f>
        <v>0</v>
      </c>
      <c r="G23" s="41"/>
      <c r="H23" s="41"/>
      <c r="I23" s="41"/>
      <c r="J23" s="41"/>
    </row>
    <row r="24" spans="1:10" x14ac:dyDescent="0.3">
      <c r="B24" s="41"/>
      <c r="C24" s="41"/>
      <c r="D24" s="41"/>
      <c r="E24" s="41"/>
      <c r="G24" t="s">
        <v>26</v>
      </c>
      <c r="H24" t="s">
        <v>6</v>
      </c>
      <c r="I24" t="s">
        <v>7</v>
      </c>
      <c r="J24" t="s">
        <v>8</v>
      </c>
    </row>
    <row r="25" spans="1:10" x14ac:dyDescent="0.3">
      <c r="A25" s="13" t="s">
        <v>81</v>
      </c>
      <c r="B25" t="s">
        <v>27</v>
      </c>
      <c r="C25" t="s">
        <v>6</v>
      </c>
      <c r="D25" t="s">
        <v>7</v>
      </c>
      <c r="E25" t="s">
        <v>8</v>
      </c>
      <c r="G25" t="s">
        <v>28</v>
      </c>
      <c r="H25" s="3"/>
      <c r="I25" s="3"/>
      <c r="J25" s="3">
        <f>Loans273951[[#This Row],[Projected Cost]]-Loans273951[[#This Row],[Actual Cost]]</f>
        <v>0</v>
      </c>
    </row>
    <row r="26" spans="1:10" x14ac:dyDescent="0.3">
      <c r="B26" t="s">
        <v>29</v>
      </c>
      <c r="C26" s="3">
        <v>3800</v>
      </c>
      <c r="D26" s="3">
        <v>3800</v>
      </c>
      <c r="E26" s="3">
        <f>Transportation284052[[#This Row],[Projected Cost]]-Transportation284052[[#This Row],[Actual Cost]]</f>
        <v>0</v>
      </c>
      <c r="G26" t="s">
        <v>95</v>
      </c>
      <c r="H26" s="3">
        <v>21463</v>
      </c>
      <c r="I26" s="3">
        <v>21463</v>
      </c>
      <c r="J26" s="3">
        <f>Loans273951[[#This Row],[Projected Cost]]-Loans273951[[#This Row],[Actual Cost]]</f>
        <v>0</v>
      </c>
    </row>
    <row r="27" spans="1:10" x14ac:dyDescent="0.3">
      <c r="B27" t="s">
        <v>30</v>
      </c>
      <c r="C27" s="3">
        <v>0</v>
      </c>
      <c r="D27" s="3">
        <v>0</v>
      </c>
      <c r="E27" s="3">
        <v>0</v>
      </c>
      <c r="G27" t="s">
        <v>88</v>
      </c>
      <c r="H27" s="3">
        <v>0</v>
      </c>
      <c r="I27" s="3">
        <v>0</v>
      </c>
      <c r="J27" s="3">
        <f>Loans273951[[#This Row],[Projected Cost]]-Loans273951[[#This Row],[Actual Cost]]</f>
        <v>0</v>
      </c>
    </row>
    <row r="28" spans="1:10" x14ac:dyDescent="0.3">
      <c r="B28" t="s">
        <v>31</v>
      </c>
      <c r="C28" s="3">
        <v>0</v>
      </c>
      <c r="D28" s="3">
        <v>0</v>
      </c>
      <c r="E28" s="3">
        <f>Transportation284052[[#This Row],[Projected Cost]]-Transportation284052[[#This Row],[Actual Cost]]</f>
        <v>0</v>
      </c>
      <c r="G28" t="s">
        <v>89</v>
      </c>
      <c r="H28" s="3">
        <v>0</v>
      </c>
      <c r="I28" s="3">
        <v>0</v>
      </c>
      <c r="J28" s="3">
        <f>Loans273951[[#This Row],[Projected Cost]]-Loans273951[[#This Row],[Actual Cost]]</f>
        <v>0</v>
      </c>
    </row>
    <row r="29" spans="1:10" x14ac:dyDescent="0.3">
      <c r="B29" t="s">
        <v>32</v>
      </c>
      <c r="C29" s="3">
        <v>0</v>
      </c>
      <c r="D29" s="3">
        <v>0</v>
      </c>
      <c r="E29" s="3">
        <f>Transportation284052[[#This Row],[Projected Cost]]-Transportation284052[[#This Row],[Actual Cost]]</f>
        <v>0</v>
      </c>
      <c r="G29" t="s">
        <v>87</v>
      </c>
      <c r="H29" s="3">
        <v>5375</v>
      </c>
      <c r="I29" s="3">
        <v>5375</v>
      </c>
      <c r="J29" s="3">
        <f>Loans273951[[#This Row],[Projected Cost]]-Loans273951[[#This Row],[Actual Cost]]</f>
        <v>0</v>
      </c>
    </row>
    <row r="30" spans="1:10" x14ac:dyDescent="0.3">
      <c r="B30" t="s">
        <v>33</v>
      </c>
      <c r="C30" s="3">
        <v>1500</v>
      </c>
      <c r="D30" s="3">
        <v>1500</v>
      </c>
      <c r="E30" s="3">
        <f>Transportation284052[[#This Row],[Projected Cost]]-Transportation284052[[#This Row],[Actual Cost]]</f>
        <v>0</v>
      </c>
      <c r="G30" t="s">
        <v>103</v>
      </c>
      <c r="H30" s="3">
        <v>0</v>
      </c>
      <c r="I30" s="3">
        <v>0</v>
      </c>
      <c r="J30" s="3">
        <f>Loans273951[[#This Row],[Projected Cost]]-Loans273951[[#This Row],[Actual Cost]]</f>
        <v>0</v>
      </c>
    </row>
    <row r="31" spans="1:10" x14ac:dyDescent="0.3">
      <c r="B31" t="s">
        <v>34</v>
      </c>
      <c r="C31" s="3">
        <v>0</v>
      </c>
      <c r="D31" s="3">
        <v>0</v>
      </c>
      <c r="E31" s="3">
        <f>Transportation284052[[#This Row],[Projected Cost]]-Transportation284052[[#This Row],[Actual Cost]]</f>
        <v>0</v>
      </c>
      <c r="G31" t="s">
        <v>104</v>
      </c>
      <c r="H31" s="3">
        <v>10000</v>
      </c>
      <c r="I31" s="3">
        <v>10000</v>
      </c>
      <c r="J31" s="3">
        <f>Loans273951[[#This Row],[Projected Cost]]-Loans273951[[#This Row],[Actual Cost]]</f>
        <v>0</v>
      </c>
    </row>
    <row r="32" spans="1:10" x14ac:dyDescent="0.3">
      <c r="B32" t="s">
        <v>23</v>
      </c>
      <c r="C32" s="3">
        <v>0</v>
      </c>
      <c r="D32" s="3">
        <v>0</v>
      </c>
      <c r="E32" s="3">
        <f>Transportation284052[[#This Row],[Projected Cost]]-Transportation284052[[#This Row],[Actual Cost]]</f>
        <v>0</v>
      </c>
      <c r="G32" t="s">
        <v>100</v>
      </c>
      <c r="H32" s="3">
        <v>0</v>
      </c>
      <c r="I32" s="3">
        <v>0</v>
      </c>
      <c r="J32" s="3">
        <f>Loans273951[[#This Row],[Projected Cost]]-Loans273951[[#This Row],[Actual Cost]]</f>
        <v>0</v>
      </c>
    </row>
    <row r="33" spans="1:10" x14ac:dyDescent="0.3">
      <c r="B33" t="s">
        <v>66</v>
      </c>
      <c r="C33" s="3">
        <f>SUBTOTAL(109,Transportation284052[Projected Cost])</f>
        <v>5300</v>
      </c>
      <c r="D33" s="3">
        <f>SUBTOTAL(109,Transportation284052[Actual Cost])</f>
        <v>5300</v>
      </c>
      <c r="E33" s="3">
        <f>SUBTOTAL(109,Transportation284052[Difference])</f>
        <v>0</v>
      </c>
      <c r="G33" t="s">
        <v>66</v>
      </c>
      <c r="H33" s="3">
        <f>SUBTOTAL(109,Loans273951[Projected Cost])</f>
        <v>36838</v>
      </c>
      <c r="I33" s="3">
        <f>SUBTOTAL(109,Loans273951[Actual Cost])</f>
        <v>36838</v>
      </c>
      <c r="J33" s="3">
        <f>SUBTOTAL(109,Loans273951[Difference])</f>
        <v>0</v>
      </c>
    </row>
    <row r="34" spans="1:10" x14ac:dyDescent="0.3">
      <c r="B34" s="41"/>
      <c r="C34" s="41"/>
      <c r="D34" s="41"/>
      <c r="E34" s="41"/>
      <c r="G34" s="41"/>
      <c r="H34" s="41"/>
      <c r="I34" s="41"/>
      <c r="J34" s="41"/>
    </row>
    <row r="35" spans="1:10" x14ac:dyDescent="0.3">
      <c r="A35" s="13" t="s">
        <v>82</v>
      </c>
      <c r="B35" t="s">
        <v>37</v>
      </c>
      <c r="C35" t="s">
        <v>6</v>
      </c>
      <c r="D35" t="s">
        <v>7</v>
      </c>
      <c r="E35" t="s">
        <v>8</v>
      </c>
      <c r="G35" t="s">
        <v>35</v>
      </c>
      <c r="H35" t="s">
        <v>6</v>
      </c>
      <c r="I35" t="s">
        <v>7</v>
      </c>
      <c r="J35" t="s">
        <v>8</v>
      </c>
    </row>
    <row r="36" spans="1:10" x14ac:dyDescent="0.3">
      <c r="B36" t="s">
        <v>39</v>
      </c>
      <c r="C36" s="3"/>
      <c r="D36" s="3"/>
      <c r="E36" s="3">
        <f>Insurance294153[[#This Row],[Projected Cost]]-Insurance294153[[#This Row],[Actual Cost]]</f>
        <v>0</v>
      </c>
      <c r="G36" t="s">
        <v>36</v>
      </c>
      <c r="H36" s="3"/>
      <c r="I36" s="3"/>
      <c r="J36" s="3">
        <f>Taxes304254[[#This Row],[Projected Cost]]-Taxes304254[[#This Row],[Actual Cost]]</f>
        <v>0</v>
      </c>
    </row>
    <row r="37" spans="1:10" x14ac:dyDescent="0.3">
      <c r="B37" t="s">
        <v>41</v>
      </c>
      <c r="C37" s="3"/>
      <c r="D37" s="3"/>
      <c r="E37" s="3">
        <f>Insurance294153[[#This Row],[Projected Cost]]-Insurance294153[[#This Row],[Actual Cost]]</f>
        <v>0</v>
      </c>
      <c r="G37" t="s">
        <v>38</v>
      </c>
      <c r="H37" s="3"/>
      <c r="I37" s="3"/>
      <c r="J37" s="3">
        <f>Taxes304254[[#This Row],[Projected Cost]]-Taxes304254[[#This Row],[Actual Cost]]</f>
        <v>0</v>
      </c>
    </row>
    <row r="38" spans="1:10" x14ac:dyDescent="0.3">
      <c r="B38" t="s">
        <v>42</v>
      </c>
      <c r="C38" s="3">
        <v>2050</v>
      </c>
      <c r="D38" s="3">
        <v>2050</v>
      </c>
      <c r="E38" s="3">
        <f>Insurance294153[[#This Row],[Projected Cost]]-Insurance294153[[#This Row],[Actual Cost]]</f>
        <v>0</v>
      </c>
      <c r="G38" t="s">
        <v>40</v>
      </c>
      <c r="H38" s="3"/>
      <c r="I38" s="3"/>
      <c r="J38" s="3">
        <f>Taxes304254[[#This Row],[Projected Cost]]-Taxes304254[[#This Row],[Actual Cost]]</f>
        <v>0</v>
      </c>
    </row>
    <row r="39" spans="1:10" x14ac:dyDescent="0.3">
      <c r="B39" t="s">
        <v>176</v>
      </c>
      <c r="C39" s="3">
        <v>3000</v>
      </c>
      <c r="D39" s="3">
        <v>3000</v>
      </c>
      <c r="E39" s="3">
        <f>Insurance294153[[#This Row],[Projected Cost]]-Insurance294153[[#This Row],[Actual Cost]]</f>
        <v>0</v>
      </c>
      <c r="G39" t="s">
        <v>23</v>
      </c>
      <c r="H39" s="3"/>
      <c r="I39" s="3"/>
      <c r="J39" s="3">
        <f>Taxes304254[[#This Row],[Projected Cost]]-Taxes304254[[#This Row],[Actual Cost]]</f>
        <v>0</v>
      </c>
    </row>
    <row r="40" spans="1:10" x14ac:dyDescent="0.3">
      <c r="B40" t="s">
        <v>66</v>
      </c>
      <c r="C40" s="3">
        <f>SUBTOTAL(109,Insurance294153[Projected Cost])</f>
        <v>5050</v>
      </c>
      <c r="D40" s="3">
        <f>SUBTOTAL(109,Insurance294153[Actual Cost])</f>
        <v>5050</v>
      </c>
      <c r="E40" s="3">
        <f>SUBTOTAL(109,Insurance294153[Difference])</f>
        <v>0</v>
      </c>
      <c r="G40" t="s">
        <v>66</v>
      </c>
      <c r="H40" s="3"/>
      <c r="I40" s="3"/>
      <c r="J40" s="3">
        <f>SUBTOTAL(109,Taxes304254[Difference])</f>
        <v>0</v>
      </c>
    </row>
    <row r="41" spans="1:10" x14ac:dyDescent="0.3">
      <c r="B41" s="41"/>
      <c r="C41" s="41"/>
      <c r="D41" s="41"/>
      <c r="E41" s="41"/>
      <c r="G41" s="41"/>
      <c r="H41" s="41"/>
      <c r="I41" s="41"/>
      <c r="J41" s="41"/>
    </row>
    <row r="42" spans="1:10" x14ac:dyDescent="0.3">
      <c r="A42" s="13" t="s">
        <v>83</v>
      </c>
      <c r="B42" t="s">
        <v>45</v>
      </c>
      <c r="C42" t="s">
        <v>6</v>
      </c>
      <c r="D42" t="s">
        <v>7</v>
      </c>
      <c r="E42" t="s">
        <v>8</v>
      </c>
      <c r="G42" t="s">
        <v>43</v>
      </c>
      <c r="H42" t="s">
        <v>6</v>
      </c>
      <c r="I42" t="s">
        <v>7</v>
      </c>
      <c r="J42" t="s">
        <v>8</v>
      </c>
    </row>
    <row r="43" spans="1:10" x14ac:dyDescent="0.3">
      <c r="B43" t="s">
        <v>47</v>
      </c>
      <c r="C43" s="3">
        <v>300</v>
      </c>
      <c r="D43" s="3">
        <v>300</v>
      </c>
      <c r="E43" s="3">
        <v>0</v>
      </c>
      <c r="G43" t="s">
        <v>44</v>
      </c>
      <c r="H43" s="3"/>
      <c r="I43" s="3"/>
      <c r="J43" s="3">
        <f>Savings314355[[#This Row],[Projected Cost]]-Savings314355[[#This Row],[Actual Cost]]</f>
        <v>0</v>
      </c>
    </row>
    <row r="44" spans="1:10" x14ac:dyDescent="0.3">
      <c r="B44" t="s">
        <v>94</v>
      </c>
      <c r="C44" s="3">
        <v>700</v>
      </c>
      <c r="D44" s="3">
        <v>700</v>
      </c>
      <c r="E44" s="3">
        <f>Food324456[[#This Row],[Projected Cost]]-Food324456[[#This Row],[Actual Cost]]</f>
        <v>0</v>
      </c>
      <c r="G44" t="s">
        <v>46</v>
      </c>
      <c r="H44" s="3"/>
      <c r="I44" s="3"/>
      <c r="J44" s="3">
        <f>Savings314355[[#This Row],[Projected Cost]]-Savings314355[[#This Row],[Actual Cost]]</f>
        <v>0</v>
      </c>
    </row>
    <row r="45" spans="1:10" x14ac:dyDescent="0.3">
      <c r="B45" t="s">
        <v>98</v>
      </c>
      <c r="C45" s="3">
        <v>2000</v>
      </c>
      <c r="D45" s="3">
        <v>2000</v>
      </c>
      <c r="E45" s="3">
        <f>Food324456[[#This Row],[Projected Cost]]-Food324456[[#This Row],[Actual Cost]]</f>
        <v>0</v>
      </c>
      <c r="G45" t="s">
        <v>91</v>
      </c>
      <c r="H45" s="3">
        <v>3000</v>
      </c>
      <c r="I45" s="3">
        <v>3000</v>
      </c>
      <c r="J45" s="3">
        <f>Savings314355[[#This Row],[Projected Cost]]-Savings314355[[#This Row],[Actual Cost]]</f>
        <v>0</v>
      </c>
    </row>
    <row r="46" spans="1:10" x14ac:dyDescent="0.3">
      <c r="B46" t="s">
        <v>66</v>
      </c>
      <c r="C46" s="3">
        <f>SUBTOTAL(109,Food324456[Projected Cost])</f>
        <v>3000</v>
      </c>
      <c r="D46" s="3">
        <f>SUBTOTAL(109,Food324456[Actual Cost])</f>
        <v>3000</v>
      </c>
      <c r="E46" s="3">
        <f>SUBTOTAL(109,Food324456[Difference])</f>
        <v>0</v>
      </c>
      <c r="G46" t="s">
        <v>66</v>
      </c>
      <c r="H46" s="3">
        <f>SUBTOTAL(109,Savings314355[Projected Cost])</f>
        <v>3000</v>
      </c>
      <c r="I46" s="3">
        <f>SUBTOTAL(109,Savings314355[Actual Cost])</f>
        <v>3000</v>
      </c>
      <c r="J46" s="3">
        <f>SUBTOTAL(109,Savings314355[Difference])</f>
        <v>0</v>
      </c>
    </row>
    <row r="47" spans="1:10" x14ac:dyDescent="0.3">
      <c r="B47" s="41"/>
      <c r="C47" s="41"/>
      <c r="D47" s="41"/>
      <c r="E47" s="41"/>
      <c r="G47" s="41"/>
      <c r="H47" s="41"/>
      <c r="I47" s="41"/>
      <c r="J47" s="41"/>
    </row>
    <row r="48" spans="1:10" x14ac:dyDescent="0.3">
      <c r="A48" s="13" t="s">
        <v>84</v>
      </c>
      <c r="B48" t="s">
        <v>50</v>
      </c>
      <c r="C48" t="s">
        <v>6</v>
      </c>
      <c r="D48" t="s">
        <v>7</v>
      </c>
      <c r="E48" t="s">
        <v>8</v>
      </c>
      <c r="G48" t="s">
        <v>48</v>
      </c>
      <c r="H48" t="s">
        <v>6</v>
      </c>
      <c r="I48" t="s">
        <v>7</v>
      </c>
      <c r="J48" t="s">
        <v>8</v>
      </c>
    </row>
    <row r="49" spans="1:10" x14ac:dyDescent="0.3">
      <c r="B49" t="s">
        <v>52</v>
      </c>
      <c r="C49" s="3"/>
      <c r="D49" s="3"/>
      <c r="E49" s="3">
        <f>Pets344658[[#This Row],[Projected Cost]]-Pets344658[[#This Row],[Actual Cost]]</f>
        <v>0</v>
      </c>
      <c r="G49" t="s">
        <v>49</v>
      </c>
      <c r="H49" s="3"/>
      <c r="I49" s="3"/>
      <c r="J49" s="3">
        <f>Gifts334557[[#This Row],[Projected Cost]]-Gifts334557[[#This Row],[Actual Cost]]</f>
        <v>0</v>
      </c>
    </row>
    <row r="50" spans="1:10" x14ac:dyDescent="0.3">
      <c r="B50" t="s">
        <v>54</v>
      </c>
      <c r="C50" s="3"/>
      <c r="D50" s="3"/>
      <c r="E50" s="3">
        <f>Pets344658[[#This Row],[Projected Cost]]-Pets344658[[#This Row],[Actual Cost]]</f>
        <v>0</v>
      </c>
      <c r="G50" t="s">
        <v>51</v>
      </c>
      <c r="H50" s="3"/>
      <c r="I50" s="3"/>
      <c r="J50" s="3">
        <f>Gifts334557[[#This Row],[Projected Cost]]-Gifts334557[[#This Row],[Actual Cost]]</f>
        <v>0</v>
      </c>
    </row>
    <row r="51" spans="1:10" x14ac:dyDescent="0.3">
      <c r="B51" t="s">
        <v>55</v>
      </c>
      <c r="C51" s="3"/>
      <c r="D51" s="3"/>
      <c r="E51" s="3">
        <f>Pets344658[[#This Row],[Projected Cost]]-Pets344658[[#This Row],[Actual Cost]]</f>
        <v>0</v>
      </c>
      <c r="G51" t="s">
        <v>53</v>
      </c>
      <c r="H51" s="3"/>
      <c r="I51" s="3"/>
      <c r="J51" s="3">
        <f>Gifts334557[[#This Row],[Projected Cost]]-Gifts334557[[#This Row],[Actual Cost]]</f>
        <v>0</v>
      </c>
    </row>
    <row r="52" spans="1:10" x14ac:dyDescent="0.3">
      <c r="B52" t="s">
        <v>56</v>
      </c>
      <c r="C52" s="3"/>
      <c r="D52" s="3"/>
      <c r="E52" s="3">
        <f>Pets344658[[#This Row],[Projected Cost]]-Pets344658[[#This Row],[Actual Cost]]</f>
        <v>0</v>
      </c>
      <c r="G52" t="s">
        <v>66</v>
      </c>
      <c r="H52" s="3"/>
      <c r="I52" s="3"/>
      <c r="J52" s="3">
        <f>SUBTOTAL(109,Gifts334557[Difference])</f>
        <v>0</v>
      </c>
    </row>
    <row r="53" spans="1:10" x14ac:dyDescent="0.3">
      <c r="B53" t="s">
        <v>23</v>
      </c>
      <c r="C53" s="3"/>
      <c r="D53" s="3"/>
      <c r="E53" s="3">
        <f>Pets344658[[#This Row],[Projected Cost]]-Pets344658[[#This Row],[Actual Cost]]</f>
        <v>0</v>
      </c>
      <c r="G53" s="41"/>
      <c r="H53" s="41"/>
      <c r="I53" s="41"/>
      <c r="J53" s="41"/>
    </row>
    <row r="54" spans="1:10" x14ac:dyDescent="0.3">
      <c r="B54" t="s">
        <v>66</v>
      </c>
      <c r="C54" s="3"/>
      <c r="D54" s="3"/>
      <c r="E54" s="3">
        <f>SUBTOTAL(109,Pets344658[Difference])</f>
        <v>0</v>
      </c>
      <c r="G54" t="s">
        <v>106</v>
      </c>
      <c r="H54" t="s">
        <v>6</v>
      </c>
      <c r="I54" t="s">
        <v>7</v>
      </c>
      <c r="J54" t="s">
        <v>8</v>
      </c>
    </row>
    <row r="55" spans="1:10" x14ac:dyDescent="0.3">
      <c r="B55" s="41"/>
      <c r="C55" s="41"/>
      <c r="D55" s="41"/>
      <c r="E55" s="41"/>
      <c r="G55" t="s">
        <v>125</v>
      </c>
      <c r="H55" s="3">
        <v>0</v>
      </c>
      <c r="I55" s="3">
        <v>0</v>
      </c>
      <c r="J55" s="3">
        <f>Legal354759[[#This Row],[Projected Cost]]-Legal354759[[#This Row],[Actual Cost]]</f>
        <v>0</v>
      </c>
    </row>
    <row r="56" spans="1:10" x14ac:dyDescent="0.3">
      <c r="A56" s="13" t="s">
        <v>85</v>
      </c>
      <c r="B56" s="8" t="s">
        <v>57</v>
      </c>
      <c r="C56" s="8" t="s">
        <v>114</v>
      </c>
      <c r="D56" s="8" t="s">
        <v>7</v>
      </c>
      <c r="E56" s="8" t="s">
        <v>8</v>
      </c>
      <c r="G56" t="s">
        <v>108</v>
      </c>
      <c r="H56" s="3">
        <v>6673</v>
      </c>
      <c r="I56" s="3">
        <v>6673</v>
      </c>
      <c r="J56" s="3">
        <f>Legal354759[[#This Row],[Projected Cost]]-Legal354759[[#This Row],[Actual Cost]]</f>
        <v>0</v>
      </c>
    </row>
    <row r="57" spans="1:10" x14ac:dyDescent="0.3">
      <c r="B57" s="8" t="s">
        <v>54</v>
      </c>
      <c r="C57" s="9"/>
      <c r="D57" s="9"/>
      <c r="E57" s="9">
        <f>PersonalCare364860[[#This Row],[z]]-PersonalCare364860[[#This Row],[Actual Cost]]</f>
        <v>0</v>
      </c>
      <c r="G57" t="s">
        <v>109</v>
      </c>
      <c r="H57" s="3">
        <v>0</v>
      </c>
      <c r="I57" s="3">
        <v>0</v>
      </c>
      <c r="J57" s="3">
        <f>Legal354759[[#This Row],[Projected Cost]]-Legal354759[[#This Row],[Actual Cost]]</f>
        <v>0</v>
      </c>
    </row>
    <row r="58" spans="1:10" x14ac:dyDescent="0.3">
      <c r="B58" s="8" t="s">
        <v>58</v>
      </c>
      <c r="C58" s="9"/>
      <c r="D58" s="9"/>
      <c r="E58" s="9">
        <f>PersonalCare364860[[#This Row],[z]]-PersonalCare364860[[#This Row],[Actual Cost]]</f>
        <v>0</v>
      </c>
      <c r="G58" t="s">
        <v>122</v>
      </c>
      <c r="H58" s="3">
        <v>2700</v>
      </c>
      <c r="I58" s="3">
        <v>2700</v>
      </c>
      <c r="J58" s="3">
        <f>Legal354759[[#This Row],[Projected Cost]]-Legal354759[[#This Row],[Actual Cost]]</f>
        <v>0</v>
      </c>
    </row>
    <row r="59" spans="1:10" x14ac:dyDescent="0.3">
      <c r="A59" s="13" t="s">
        <v>86</v>
      </c>
      <c r="B59" s="8" t="s">
        <v>59</v>
      </c>
      <c r="C59" s="9"/>
      <c r="D59" s="9"/>
      <c r="E59" s="9">
        <f>PersonalCare364860[[#This Row],[z]]-PersonalCare364860[[#This Row],[Actual Cost]]</f>
        <v>0</v>
      </c>
      <c r="G59" t="s">
        <v>113</v>
      </c>
      <c r="H59" s="3">
        <v>0</v>
      </c>
      <c r="I59" s="3">
        <v>0</v>
      </c>
      <c r="J59" s="3">
        <f>Legal354759[[#This Row],[Projected Cost]]-Legal354759[[#This Row],[Actual Cost]]</f>
        <v>0</v>
      </c>
    </row>
    <row r="60" spans="1:10" x14ac:dyDescent="0.3">
      <c r="B60" s="8" t="s">
        <v>61</v>
      </c>
      <c r="C60" s="9"/>
      <c r="D60" s="9"/>
      <c r="E60" s="9">
        <f>PersonalCare364860[[#This Row],[z]]-PersonalCare364860[[#This Row],[Actual Cost]]</f>
        <v>0</v>
      </c>
      <c r="G60" t="s">
        <v>131</v>
      </c>
      <c r="H60" s="3">
        <v>0</v>
      </c>
      <c r="I60" s="3">
        <v>0</v>
      </c>
      <c r="J60" s="3">
        <f>Legal354759[[#This Row],[Projected Cost]]-Legal354759[[#This Row],[Actual Cost]]</f>
        <v>0</v>
      </c>
    </row>
    <row r="61" spans="1:10" x14ac:dyDescent="0.3">
      <c r="B61" s="8" t="s">
        <v>62</v>
      </c>
      <c r="C61" s="9"/>
      <c r="D61" s="9"/>
      <c r="E61" s="9">
        <f>PersonalCare364860[[#This Row],[z]]-PersonalCare364860[[#This Row],[Actual Cost]]</f>
        <v>0</v>
      </c>
      <c r="G61" t="s">
        <v>66</v>
      </c>
      <c r="H61" s="3">
        <f>SUBTOTAL(109,Legal354759[Projected Cost])</f>
        <v>9373</v>
      </c>
      <c r="I61" s="3">
        <f>SUBTOTAL(109,Legal354759[Actual Cost])</f>
        <v>9373</v>
      </c>
      <c r="J61" s="3">
        <f>SUBTOTAL(109,Legal354759[Difference])</f>
        <v>0</v>
      </c>
    </row>
    <row r="62" spans="1:10" x14ac:dyDescent="0.3">
      <c r="B62" s="8" t="s">
        <v>64</v>
      </c>
      <c r="C62" s="9"/>
      <c r="D62" s="9"/>
      <c r="E62" s="9">
        <f>PersonalCare364860[[#This Row],[z]]-PersonalCare364860[[#This Row],[Actual Cost]]</f>
        <v>0</v>
      </c>
      <c r="G62" s="41"/>
      <c r="H62" s="41"/>
      <c r="I62" s="41"/>
      <c r="J62" s="41"/>
    </row>
    <row r="63" spans="1:10" x14ac:dyDescent="0.3">
      <c r="B63" s="8" t="s">
        <v>23</v>
      </c>
      <c r="C63" s="9"/>
      <c r="D63" s="9"/>
      <c r="E63" s="9">
        <f>PersonalCare364860[[#This Row],[z]]-PersonalCare364860[[#This Row],[Actual Cost]]</f>
        <v>0</v>
      </c>
      <c r="G63" s="42" t="s">
        <v>60</v>
      </c>
      <c r="H63" s="42"/>
      <c r="I63" s="42"/>
      <c r="J63" s="40">
        <f>SUBTOTAL(109,Housing253749[Projected Cost],Transportation284052[Projected Cost],Insurance294153[Projected Cost],Food324456[Projected Cost],Pets344658[Projected Cost],PersonalCare364860[z],Entertainment263850[Projected Cost],Loans273951[Projected Cost],Taxes304254[Projected Cost],Savings314355[Projected Cost],Gifts334557[Projected Cost],Legal354759[Projected Cost])</f>
        <v>65461</v>
      </c>
    </row>
    <row r="64" spans="1:10" x14ac:dyDescent="0.3">
      <c r="B64" s="8" t="s">
        <v>66</v>
      </c>
      <c r="C64" s="9"/>
      <c r="D64" s="9"/>
      <c r="E64" s="9">
        <f>SUBTOTAL(109,PersonalCare364860[Difference])</f>
        <v>0</v>
      </c>
      <c r="G64" s="42"/>
      <c r="H64" s="42"/>
      <c r="I64" s="42"/>
      <c r="J64" s="40"/>
    </row>
    <row r="65" spans="2:10" x14ac:dyDescent="0.3">
      <c r="B65" s="41"/>
      <c r="C65" s="41"/>
      <c r="D65" s="41"/>
      <c r="E65" s="41"/>
      <c r="G65" s="42" t="s">
        <v>63</v>
      </c>
      <c r="H65" s="42"/>
      <c r="I65" s="42"/>
      <c r="J65" s="40">
        <f>SUBTOTAL(109,Housing253749[Actual Cost],Transportation284052[Actual Cost],Insurance294153[Actual Cost],Food324456[Actual Cost],Pets344658[Actual Cost],PersonalCare364860[Actual Cost],Entertainment263850[Actual Cost],Loans273951[Actual Cost],Taxes304254[Actual Cost],Savings314355[Actual Cost],Gifts334557[Actual Cost],Legal354759[Actual Cost])</f>
        <v>65461</v>
      </c>
    </row>
    <row r="66" spans="2:10" x14ac:dyDescent="0.3">
      <c r="G66" s="42"/>
      <c r="H66" s="42"/>
      <c r="I66" s="42"/>
      <c r="J66" s="40"/>
    </row>
    <row r="67" spans="2:10" x14ac:dyDescent="0.3">
      <c r="G67" s="42" t="s">
        <v>65</v>
      </c>
      <c r="H67" s="42"/>
      <c r="I67" s="42"/>
      <c r="J67" s="40">
        <f>J63-J65</f>
        <v>0</v>
      </c>
    </row>
    <row r="68" spans="2:10" x14ac:dyDescent="0.3">
      <c r="G68" s="42"/>
      <c r="H68" s="42"/>
      <c r="I68" s="42"/>
      <c r="J68" s="40"/>
    </row>
  </sheetData>
  <mergeCells count="32">
    <mergeCell ref="B65:E65"/>
    <mergeCell ref="G65:I66"/>
    <mergeCell ref="J65:J66"/>
    <mergeCell ref="G67:I68"/>
    <mergeCell ref="J67:J68"/>
    <mergeCell ref="G63:I64"/>
    <mergeCell ref="J63:J64"/>
    <mergeCell ref="G23:J23"/>
    <mergeCell ref="B24:E24"/>
    <mergeCell ref="B34:E34"/>
    <mergeCell ref="G34:J34"/>
    <mergeCell ref="B41:E41"/>
    <mergeCell ref="G41:J41"/>
    <mergeCell ref="B47:E47"/>
    <mergeCell ref="G47:J47"/>
    <mergeCell ref="G53:J53"/>
    <mergeCell ref="B55:E55"/>
    <mergeCell ref="G62:J62"/>
    <mergeCell ref="B8:B10"/>
    <mergeCell ref="C8:D8"/>
    <mergeCell ref="G8:I9"/>
    <mergeCell ref="J8:J9"/>
    <mergeCell ref="C9:D9"/>
    <mergeCell ref="C10:D10"/>
    <mergeCell ref="B4:B6"/>
    <mergeCell ref="C4:D4"/>
    <mergeCell ref="G4:I5"/>
    <mergeCell ref="J4:J5"/>
    <mergeCell ref="C5:D5"/>
    <mergeCell ref="C6:D6"/>
    <mergeCell ref="G6:I7"/>
    <mergeCell ref="J6:J7"/>
  </mergeCells>
  <conditionalFormatting sqref="J8:J9">
    <cfRule type="cellIs" dxfId="283" priority="2" operator="lessThan">
      <formula>0</formula>
    </cfRule>
  </conditionalFormatting>
  <conditionalFormatting sqref="J67:J68">
    <cfRule type="cellIs" dxfId="282" priority="1" operator="lessThan">
      <formula>0</formula>
    </cfRule>
  </conditionalFormatting>
  <printOptions horizontalCentered="1"/>
  <pageMargins left="0.4" right="0.4" top="0.4" bottom="0.4" header="0.3" footer="0.3"/>
  <pageSetup scale="81" fitToHeight="0" orientation="portrait" r:id="rId1"/>
  <headerFooter differentFirst="1">
    <oddFooter>Page &amp;P of &amp;N</oddFooter>
  </headerFooter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77210f24a1be23c92c90fd886aa0a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60e05723c5c1908df1a1a4ebf11d344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B974BBE-4C65-41A4-8B89-193EE10AAB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0B7602-3435-4CB4-90DC-F527DC1F048D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3.xml><?xml version="1.0" encoding="utf-8"?>
<ds:datastoreItem xmlns:ds="http://schemas.openxmlformats.org/officeDocument/2006/customXml" ds:itemID="{B4DE4676-C32B-444D-BC55-FAD6AF00F75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TM04101071</Template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START</vt:lpstr>
      <vt:lpstr>debts</vt:lpstr>
      <vt:lpstr>jun 26 - jul 26</vt:lpstr>
      <vt:lpstr>may 26 - jun 26</vt:lpstr>
      <vt:lpstr>apr 26 - may 26</vt:lpstr>
      <vt:lpstr>mar 26 - apr 26</vt:lpstr>
      <vt:lpstr>feb 26 - mar 26</vt:lpstr>
      <vt:lpstr>Sheet1</vt:lpstr>
      <vt:lpstr>jan 26 - feb 26</vt:lpstr>
      <vt:lpstr>dec 26 - jan 26.2023</vt:lpstr>
      <vt:lpstr>nov 26 - dec 26</vt:lpstr>
      <vt:lpstr>oct 26 - nov 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2019-07-07T23:05:09Z</dcterms:created>
  <dcterms:modified xsi:type="dcterms:W3CDTF">2022-12-29T17:19:40Z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  <property fmtid="{D5CDD505-2E9C-101B-9397-08002B2CF9AE}" pid="3" name="MSIP_Label_3c9bec58-8084-492e-8360-0e1cfe36408c_Enabled">
    <vt:lpwstr>true</vt:lpwstr>
  </property>
  <property fmtid="{D5CDD505-2E9C-101B-9397-08002B2CF9AE}" pid="4" name="MSIP_Label_3c9bec58-8084-492e-8360-0e1cfe36408c_SetDate">
    <vt:lpwstr>2022-10-27T11:53:50Z</vt:lpwstr>
  </property>
  <property fmtid="{D5CDD505-2E9C-101B-9397-08002B2CF9AE}" pid="5" name="MSIP_Label_3c9bec58-8084-492e-8360-0e1cfe36408c_Method">
    <vt:lpwstr>Standard</vt:lpwstr>
  </property>
  <property fmtid="{D5CDD505-2E9C-101B-9397-08002B2CF9AE}" pid="6" name="MSIP_Label_3c9bec58-8084-492e-8360-0e1cfe36408c_Name">
    <vt:lpwstr>Not Protected -Pilot</vt:lpwstr>
  </property>
  <property fmtid="{D5CDD505-2E9C-101B-9397-08002B2CF9AE}" pid="7" name="MSIP_Label_3c9bec58-8084-492e-8360-0e1cfe36408c_SiteId">
    <vt:lpwstr>f35a6974-607f-47d4-82d7-ff31d7dc53a5</vt:lpwstr>
  </property>
  <property fmtid="{D5CDD505-2E9C-101B-9397-08002B2CF9AE}" pid="8" name="MSIP_Label_3c9bec58-8084-492e-8360-0e1cfe36408c_ActionId">
    <vt:lpwstr>eeb4bc1c-2ec1-4911-9c6d-2e4aee05e116</vt:lpwstr>
  </property>
  <property fmtid="{D5CDD505-2E9C-101B-9397-08002B2CF9AE}" pid="9" name="MSIP_Label_3c9bec58-8084-492e-8360-0e1cfe36408c_ContentBits">
    <vt:lpwstr>0</vt:lpwstr>
  </property>
</Properties>
</file>