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0D79B515-3C79-49E3-A2CD-4E40AA7AE34C}" xr6:coauthVersionLast="47" xr6:coauthVersionMax="47" xr10:uidLastSave="{00000000-0000-0000-0000-000000000000}"/>
  <bookViews>
    <workbookView xWindow="-110" yWindow="-110" windowWidth="19420" windowHeight="10560" tabRatio="488" firstSheet="7" activeTab="8" xr2:uid="{00000000-000D-0000-FFFF-FFFF00000000}"/>
  </bookViews>
  <sheets>
    <sheet name="START" sheetId="2" r:id="rId1"/>
    <sheet name="debts" sheetId="23" r:id="rId2"/>
    <sheet name="Sep 26 - Oct 26" sheetId="27" r:id="rId3"/>
    <sheet name="Aug 26 - Sep 26" sheetId="26" r:id="rId4"/>
    <sheet name="Jul 26- Aug 26" sheetId="25" r:id="rId5"/>
    <sheet name="Jun 26 - Jul 26" sheetId="24" r:id="rId6"/>
    <sheet name="May 26 - Jun 26" sheetId="22" r:id="rId7"/>
    <sheet name="Apr 26 - May 26" sheetId="21" r:id="rId8"/>
    <sheet name="mar 26 - apr 26" sheetId="15" r:id="rId9"/>
    <sheet name="feb 26 - mar 26" sheetId="14" r:id="rId10"/>
    <sheet name="jan 26 - feb 26" sheetId="13" r:id="rId11"/>
    <sheet name="dec 26 - jan 26.2023" sheetId="12" r:id="rId12"/>
    <sheet name="Sheet1" sheetId="18" r:id="rId13"/>
    <sheet name="nov 26 - dec 26" sheetId="11" r:id="rId14"/>
    <sheet name="oct 26 - nov 26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3" l="1"/>
  <c r="C23" i="13"/>
  <c r="E4" i="13"/>
  <c r="E6" i="27"/>
  <c r="E5" i="27"/>
  <c r="E4" i="27"/>
  <c r="E5" i="26"/>
  <c r="E4" i="26"/>
  <c r="E5" i="22"/>
  <c r="E4" i="22"/>
  <c r="E5" i="21"/>
  <c r="E4" i="21"/>
  <c r="E4" i="15"/>
  <c r="E5" i="15"/>
  <c r="D40" i="14"/>
  <c r="C40" i="14"/>
  <c r="C13" i="14"/>
  <c r="D13" i="14"/>
  <c r="E13" i="14" s="1"/>
  <c r="E5" i="25"/>
  <c r="E4" i="25"/>
  <c r="E5" i="24"/>
  <c r="E4" i="24"/>
  <c r="E6" i="24" s="1"/>
  <c r="J65" i="27"/>
  <c r="J63" i="27"/>
  <c r="E63" i="27"/>
  <c r="E62" i="27"/>
  <c r="I61" i="27"/>
  <c r="H61" i="27"/>
  <c r="E61" i="27"/>
  <c r="J60" i="27"/>
  <c r="E60" i="27"/>
  <c r="J59" i="27"/>
  <c r="E59" i="27"/>
  <c r="J58" i="27"/>
  <c r="E58" i="27"/>
  <c r="J57" i="27"/>
  <c r="E57" i="27"/>
  <c r="E64" i="27" s="1"/>
  <c r="J56" i="27"/>
  <c r="J55" i="27"/>
  <c r="J61" i="27" s="1"/>
  <c r="E53" i="27"/>
  <c r="J52" i="27"/>
  <c r="E52" i="27"/>
  <c r="J51" i="27"/>
  <c r="E51" i="27"/>
  <c r="J50" i="27"/>
  <c r="E50" i="27"/>
  <c r="E54" i="27" s="1"/>
  <c r="J49" i="27"/>
  <c r="E49" i="27"/>
  <c r="I46" i="27"/>
  <c r="H46" i="27"/>
  <c r="D46" i="27"/>
  <c r="C46" i="27"/>
  <c r="J45" i="27"/>
  <c r="E45" i="27"/>
  <c r="J44" i="27"/>
  <c r="J46" i="27" s="1"/>
  <c r="E44" i="27"/>
  <c r="E46" i="27" s="1"/>
  <c r="J43" i="27"/>
  <c r="E43" i="27"/>
  <c r="J39" i="27"/>
  <c r="E39" i="27"/>
  <c r="J38" i="27"/>
  <c r="E38" i="27"/>
  <c r="J37" i="27"/>
  <c r="E37" i="27"/>
  <c r="J36" i="27"/>
  <c r="J40" i="27" s="1"/>
  <c r="E36" i="27"/>
  <c r="E40" i="27" s="1"/>
  <c r="I33" i="27"/>
  <c r="H33" i="27"/>
  <c r="E33" i="27"/>
  <c r="D33" i="27"/>
  <c r="C33" i="27"/>
  <c r="J32" i="27"/>
  <c r="E32" i="27"/>
  <c r="J31" i="27"/>
  <c r="E31" i="27"/>
  <c r="J30" i="27"/>
  <c r="E30" i="27"/>
  <c r="J29" i="27"/>
  <c r="E29" i="27"/>
  <c r="J28" i="27"/>
  <c r="E28" i="27"/>
  <c r="J27" i="27"/>
  <c r="J26" i="27"/>
  <c r="E26" i="27"/>
  <c r="J25" i="27"/>
  <c r="D23" i="27"/>
  <c r="C23" i="27"/>
  <c r="E22" i="27"/>
  <c r="J21" i="27"/>
  <c r="E21" i="27"/>
  <c r="J20" i="27"/>
  <c r="E20" i="27"/>
  <c r="J19" i="27"/>
  <c r="E19" i="27"/>
  <c r="J18" i="27"/>
  <c r="E18" i="27"/>
  <c r="J17" i="27"/>
  <c r="E17" i="27"/>
  <c r="J16" i="27"/>
  <c r="E16" i="27"/>
  <c r="J15" i="27"/>
  <c r="E15" i="27"/>
  <c r="J14" i="27"/>
  <c r="J22" i="27" s="1"/>
  <c r="E14" i="27"/>
  <c r="J13" i="27"/>
  <c r="E13" i="27"/>
  <c r="E23" i="27" s="1"/>
  <c r="E10" i="27"/>
  <c r="J65" i="26"/>
  <c r="J63" i="26"/>
  <c r="E63" i="26"/>
  <c r="E62" i="26"/>
  <c r="I61" i="26"/>
  <c r="H61" i="26"/>
  <c r="E61" i="26"/>
  <c r="J60" i="26"/>
  <c r="E60" i="26"/>
  <c r="J59" i="26"/>
  <c r="E59" i="26"/>
  <c r="J58" i="26"/>
  <c r="E58" i="26"/>
  <c r="E64" i="26" s="1"/>
  <c r="J57" i="26"/>
  <c r="E57" i="26"/>
  <c r="J56" i="26"/>
  <c r="J55" i="26"/>
  <c r="J61" i="26" s="1"/>
  <c r="E53" i="26"/>
  <c r="E52" i="26"/>
  <c r="J51" i="26"/>
  <c r="E51" i="26"/>
  <c r="J50" i="26"/>
  <c r="J52" i="26" s="1"/>
  <c r="E50" i="26"/>
  <c r="E54" i="26" s="1"/>
  <c r="J49" i="26"/>
  <c r="E49" i="26"/>
  <c r="I46" i="26"/>
  <c r="H46" i="26"/>
  <c r="D46" i="26"/>
  <c r="C46" i="26"/>
  <c r="J45" i="26"/>
  <c r="E45" i="26"/>
  <c r="J44" i="26"/>
  <c r="E44" i="26"/>
  <c r="J43" i="26"/>
  <c r="J46" i="26" s="1"/>
  <c r="E43" i="26"/>
  <c r="E46" i="26" s="1"/>
  <c r="E40" i="26"/>
  <c r="J39" i="26"/>
  <c r="E39" i="26"/>
  <c r="J38" i="26"/>
  <c r="E38" i="26"/>
  <c r="J37" i="26"/>
  <c r="E37" i="26"/>
  <c r="J36" i="26"/>
  <c r="J40" i="26" s="1"/>
  <c r="E36" i="26"/>
  <c r="I33" i="26"/>
  <c r="H33" i="26"/>
  <c r="D33" i="26"/>
  <c r="C33" i="26"/>
  <c r="J32" i="26"/>
  <c r="E32" i="26"/>
  <c r="J31" i="26"/>
  <c r="E31" i="26"/>
  <c r="J30" i="26"/>
  <c r="E30" i="26"/>
  <c r="J29" i="26"/>
  <c r="E29" i="26"/>
  <c r="J28" i="26"/>
  <c r="E28" i="26"/>
  <c r="E33" i="26" s="1"/>
  <c r="J27" i="26"/>
  <c r="J26" i="26"/>
  <c r="E26" i="26"/>
  <c r="J25" i="26"/>
  <c r="D23" i="26"/>
  <c r="C23" i="26"/>
  <c r="E22" i="26"/>
  <c r="J21" i="26"/>
  <c r="E21" i="26"/>
  <c r="J20" i="26"/>
  <c r="E20" i="26"/>
  <c r="J19" i="26"/>
  <c r="E19" i="26"/>
  <c r="J18" i="26"/>
  <c r="E18" i="26"/>
  <c r="J17" i="26"/>
  <c r="E17" i="26"/>
  <c r="J16" i="26"/>
  <c r="E16" i="26"/>
  <c r="E23" i="26" s="1"/>
  <c r="J15" i="26"/>
  <c r="E15" i="26"/>
  <c r="J14" i="26"/>
  <c r="J22" i="26" s="1"/>
  <c r="E14" i="26"/>
  <c r="J13" i="26"/>
  <c r="E13" i="26"/>
  <c r="E10" i="26"/>
  <c r="E6" i="26"/>
  <c r="J65" i="25"/>
  <c r="J4" i="25" s="1"/>
  <c r="J63" i="25"/>
  <c r="E63" i="25"/>
  <c r="E62" i="25"/>
  <c r="I61" i="25"/>
  <c r="H61" i="25"/>
  <c r="E61" i="25"/>
  <c r="J60" i="25"/>
  <c r="E60" i="25"/>
  <c r="J59" i="25"/>
  <c r="E59" i="25"/>
  <c r="J58" i="25"/>
  <c r="E58" i="25"/>
  <c r="J57" i="25"/>
  <c r="E57" i="25"/>
  <c r="E64" i="25" s="1"/>
  <c r="J56" i="25"/>
  <c r="J55" i="25"/>
  <c r="E53" i="25"/>
  <c r="E52" i="25"/>
  <c r="J51" i="25"/>
  <c r="E51" i="25"/>
  <c r="J50" i="25"/>
  <c r="J52" i="25" s="1"/>
  <c r="E50" i="25"/>
  <c r="E54" i="25" s="1"/>
  <c r="J49" i="25"/>
  <c r="E49" i="25"/>
  <c r="I46" i="25"/>
  <c r="H46" i="25"/>
  <c r="D46" i="25"/>
  <c r="C46" i="25"/>
  <c r="J45" i="25"/>
  <c r="E45" i="25"/>
  <c r="J44" i="25"/>
  <c r="E44" i="25"/>
  <c r="J43" i="25"/>
  <c r="E43" i="25"/>
  <c r="E46" i="25" s="1"/>
  <c r="J39" i="25"/>
  <c r="E39" i="25"/>
  <c r="J38" i="25"/>
  <c r="E38" i="25"/>
  <c r="J37" i="25"/>
  <c r="E37" i="25"/>
  <c r="J36" i="25"/>
  <c r="J40" i="25" s="1"/>
  <c r="E36" i="25"/>
  <c r="E40" i="25" s="1"/>
  <c r="I33" i="25"/>
  <c r="H33" i="25"/>
  <c r="D33" i="25"/>
  <c r="C33" i="25"/>
  <c r="J32" i="25"/>
  <c r="E32" i="25"/>
  <c r="J31" i="25"/>
  <c r="E31" i="25"/>
  <c r="J30" i="25"/>
  <c r="E30" i="25"/>
  <c r="E33" i="25" s="1"/>
  <c r="J29" i="25"/>
  <c r="E29" i="25"/>
  <c r="J28" i="25"/>
  <c r="E28" i="25"/>
  <c r="J27" i="25"/>
  <c r="J26" i="25"/>
  <c r="E26" i="25"/>
  <c r="J25" i="25"/>
  <c r="D23" i="25"/>
  <c r="C23" i="25"/>
  <c r="E22" i="25"/>
  <c r="J21" i="25"/>
  <c r="E21" i="25"/>
  <c r="J20" i="25"/>
  <c r="E20" i="25"/>
  <c r="J19" i="25"/>
  <c r="E19" i="25"/>
  <c r="J18" i="25"/>
  <c r="E18" i="25"/>
  <c r="J17" i="25"/>
  <c r="E17" i="25"/>
  <c r="J16" i="25"/>
  <c r="E16" i="25"/>
  <c r="J15" i="25"/>
  <c r="E15" i="25"/>
  <c r="J14" i="25"/>
  <c r="J22" i="25" s="1"/>
  <c r="E14" i="25"/>
  <c r="J13" i="25"/>
  <c r="E13" i="25"/>
  <c r="E23" i="25" s="1"/>
  <c r="E10" i="25"/>
  <c r="E6" i="25"/>
  <c r="J65" i="24"/>
  <c r="J63" i="24"/>
  <c r="E63" i="24"/>
  <c r="E62" i="24"/>
  <c r="I61" i="24"/>
  <c r="H61" i="24"/>
  <c r="E61" i="24"/>
  <c r="J60" i="24"/>
  <c r="E60" i="24"/>
  <c r="J59" i="24"/>
  <c r="E59" i="24"/>
  <c r="J58" i="24"/>
  <c r="J61" i="24" s="1"/>
  <c r="E58" i="24"/>
  <c r="J57" i="24"/>
  <c r="E57" i="24"/>
  <c r="E64" i="24" s="1"/>
  <c r="J56" i="24"/>
  <c r="J55" i="24"/>
  <c r="E53" i="24"/>
  <c r="J52" i="24"/>
  <c r="E52" i="24"/>
  <c r="J51" i="24"/>
  <c r="E51" i="24"/>
  <c r="J50" i="24"/>
  <c r="E50" i="24"/>
  <c r="J49" i="24"/>
  <c r="E49" i="24"/>
  <c r="E54" i="24" s="1"/>
  <c r="I46" i="24"/>
  <c r="H46" i="24"/>
  <c r="D46" i="24"/>
  <c r="C46" i="24"/>
  <c r="J45" i="24"/>
  <c r="E45" i="24"/>
  <c r="J44" i="24"/>
  <c r="J46" i="24" s="1"/>
  <c r="E44" i="24"/>
  <c r="J43" i="24"/>
  <c r="E43" i="24"/>
  <c r="E46" i="24" s="1"/>
  <c r="J39" i="24"/>
  <c r="E39" i="24"/>
  <c r="J38" i="24"/>
  <c r="E38" i="24"/>
  <c r="J37" i="24"/>
  <c r="E37" i="24"/>
  <c r="J36" i="24"/>
  <c r="J40" i="24" s="1"/>
  <c r="E36" i="24"/>
  <c r="E40" i="24" s="1"/>
  <c r="I33" i="24"/>
  <c r="H33" i="24"/>
  <c r="E33" i="24"/>
  <c r="D33" i="24"/>
  <c r="C33" i="24"/>
  <c r="J32" i="24"/>
  <c r="E32" i="24"/>
  <c r="J31" i="24"/>
  <c r="E31" i="24"/>
  <c r="J30" i="24"/>
  <c r="E30" i="24"/>
  <c r="J29" i="24"/>
  <c r="E29" i="24"/>
  <c r="J28" i="24"/>
  <c r="E28" i="24"/>
  <c r="J27" i="24"/>
  <c r="J26" i="24"/>
  <c r="E26" i="24"/>
  <c r="J25" i="24"/>
  <c r="D23" i="24"/>
  <c r="C23" i="24"/>
  <c r="E22" i="24"/>
  <c r="J21" i="24"/>
  <c r="E21" i="24"/>
  <c r="J20" i="24"/>
  <c r="E20" i="24"/>
  <c r="J19" i="24"/>
  <c r="E19" i="24"/>
  <c r="J18" i="24"/>
  <c r="E18" i="24"/>
  <c r="J17" i="24"/>
  <c r="E17" i="24"/>
  <c r="J16" i="24"/>
  <c r="E16" i="24"/>
  <c r="J15" i="24"/>
  <c r="E15" i="24"/>
  <c r="J14" i="24"/>
  <c r="E14" i="24"/>
  <c r="J13" i="24"/>
  <c r="J22" i="24" s="1"/>
  <c r="E13" i="24"/>
  <c r="E23" i="24" s="1"/>
  <c r="E10" i="24"/>
  <c r="J65" i="23"/>
  <c r="E64" i="23"/>
  <c r="J63" i="23"/>
  <c r="E63" i="23"/>
  <c r="E62" i="23"/>
  <c r="I61" i="23"/>
  <c r="H61" i="23"/>
  <c r="E61" i="23"/>
  <c r="J60" i="23"/>
  <c r="E60" i="23"/>
  <c r="J59" i="23"/>
  <c r="E59" i="23"/>
  <c r="J58" i="23"/>
  <c r="E58" i="23"/>
  <c r="J57" i="23"/>
  <c r="E57" i="23"/>
  <c r="J56" i="23"/>
  <c r="J55" i="23"/>
  <c r="J61" i="23" s="1"/>
  <c r="E53" i="23"/>
  <c r="J52" i="23"/>
  <c r="E52" i="23"/>
  <c r="J51" i="23"/>
  <c r="E51" i="23"/>
  <c r="J50" i="23"/>
  <c r="E50" i="23"/>
  <c r="E54" i="23" s="1"/>
  <c r="J49" i="23"/>
  <c r="E49" i="23"/>
  <c r="I46" i="23"/>
  <c r="H46" i="23"/>
  <c r="D46" i="23"/>
  <c r="C46" i="23"/>
  <c r="J45" i="23"/>
  <c r="E45" i="23"/>
  <c r="J44" i="23"/>
  <c r="J46" i="23" s="1"/>
  <c r="E44" i="23"/>
  <c r="J43" i="23"/>
  <c r="E43" i="23"/>
  <c r="E46" i="23" s="1"/>
  <c r="J39" i="23"/>
  <c r="E39" i="23"/>
  <c r="J38" i="23"/>
  <c r="E38" i="23"/>
  <c r="J37" i="23"/>
  <c r="E37" i="23"/>
  <c r="J36" i="23"/>
  <c r="J40" i="23" s="1"/>
  <c r="E36" i="23"/>
  <c r="E40" i="23" s="1"/>
  <c r="I33" i="23"/>
  <c r="H33" i="23"/>
  <c r="D33" i="23"/>
  <c r="C33" i="23"/>
  <c r="J32" i="23"/>
  <c r="E32" i="23"/>
  <c r="J31" i="23"/>
  <c r="E31" i="23"/>
  <c r="J30" i="23"/>
  <c r="E30" i="23"/>
  <c r="J29" i="23"/>
  <c r="E29" i="23"/>
  <c r="J28" i="23"/>
  <c r="E28" i="23"/>
  <c r="J27" i="23"/>
  <c r="J26" i="23"/>
  <c r="E26" i="23"/>
  <c r="E33" i="23" s="1"/>
  <c r="J25" i="23"/>
  <c r="D23" i="23"/>
  <c r="C23" i="23"/>
  <c r="E22" i="23"/>
  <c r="J21" i="23"/>
  <c r="E21" i="23"/>
  <c r="J20" i="23"/>
  <c r="E20" i="23"/>
  <c r="J19" i="23"/>
  <c r="E19" i="23"/>
  <c r="J18" i="23"/>
  <c r="E18" i="23"/>
  <c r="J17" i="23"/>
  <c r="E17" i="23"/>
  <c r="J16" i="23"/>
  <c r="E16" i="23"/>
  <c r="J15" i="23"/>
  <c r="E15" i="23"/>
  <c r="J14" i="23"/>
  <c r="J22" i="23" s="1"/>
  <c r="E14" i="23"/>
  <c r="J13" i="23"/>
  <c r="E13" i="23"/>
  <c r="E23" i="23" s="1"/>
  <c r="E10" i="23"/>
  <c r="E6" i="23"/>
  <c r="J4" i="23" s="1"/>
  <c r="J65" i="22"/>
  <c r="J63" i="22"/>
  <c r="E63" i="22"/>
  <c r="E62" i="22"/>
  <c r="I61" i="22"/>
  <c r="H61" i="22"/>
  <c r="E61" i="22"/>
  <c r="J60" i="22"/>
  <c r="E60" i="22"/>
  <c r="J59" i="22"/>
  <c r="E59" i="22"/>
  <c r="J58" i="22"/>
  <c r="E58" i="22"/>
  <c r="J57" i="22"/>
  <c r="E57" i="22"/>
  <c r="E64" i="22" s="1"/>
  <c r="J56" i="22"/>
  <c r="J55" i="22"/>
  <c r="E53" i="22"/>
  <c r="E52" i="22"/>
  <c r="J51" i="22"/>
  <c r="E51" i="22"/>
  <c r="J50" i="22"/>
  <c r="E50" i="22"/>
  <c r="E54" i="22" s="1"/>
  <c r="J49" i="22"/>
  <c r="J52" i="22" s="1"/>
  <c r="E49" i="22"/>
  <c r="I46" i="22"/>
  <c r="H46" i="22"/>
  <c r="E46" i="22"/>
  <c r="D46" i="22"/>
  <c r="C46" i="22"/>
  <c r="J45" i="22"/>
  <c r="E45" i="22"/>
  <c r="J44" i="22"/>
  <c r="J46" i="22" s="1"/>
  <c r="E44" i="22"/>
  <c r="J43" i="22"/>
  <c r="E43" i="22"/>
  <c r="J39" i="22"/>
  <c r="E39" i="22"/>
  <c r="J38" i="22"/>
  <c r="E38" i="22"/>
  <c r="J37" i="22"/>
  <c r="E37" i="22"/>
  <c r="J36" i="22"/>
  <c r="J40" i="22" s="1"/>
  <c r="E36" i="22"/>
  <c r="E40" i="22" s="1"/>
  <c r="I33" i="22"/>
  <c r="H33" i="22"/>
  <c r="D33" i="22"/>
  <c r="C33" i="22"/>
  <c r="J32" i="22"/>
  <c r="E32" i="22"/>
  <c r="J31" i="22"/>
  <c r="E31" i="22"/>
  <c r="J30" i="22"/>
  <c r="E30" i="22"/>
  <c r="J29" i="22"/>
  <c r="E29" i="22"/>
  <c r="J28" i="22"/>
  <c r="E28" i="22"/>
  <c r="J27" i="22"/>
  <c r="J33" i="22" s="1"/>
  <c r="J26" i="22"/>
  <c r="E26" i="22"/>
  <c r="E33" i="22" s="1"/>
  <c r="J25" i="22"/>
  <c r="D23" i="22"/>
  <c r="C23" i="22"/>
  <c r="E22" i="22"/>
  <c r="J21" i="22"/>
  <c r="E21" i="22"/>
  <c r="J20" i="22"/>
  <c r="E20" i="22"/>
  <c r="J19" i="22"/>
  <c r="E19" i="22"/>
  <c r="J18" i="22"/>
  <c r="E18" i="22"/>
  <c r="J17" i="22"/>
  <c r="E17" i="22"/>
  <c r="J16" i="22"/>
  <c r="E16" i="22"/>
  <c r="J15" i="22"/>
  <c r="E15" i="22"/>
  <c r="J14" i="22"/>
  <c r="J22" i="22" s="1"/>
  <c r="E14" i="22"/>
  <c r="J13" i="22"/>
  <c r="E13" i="22"/>
  <c r="E23" i="22" s="1"/>
  <c r="E10" i="22"/>
  <c r="J65" i="21"/>
  <c r="J6" i="21" s="1"/>
  <c r="J63" i="21"/>
  <c r="E63" i="21"/>
  <c r="E62" i="21"/>
  <c r="I61" i="21"/>
  <c r="H61" i="21"/>
  <c r="E61" i="21"/>
  <c r="J60" i="21"/>
  <c r="E60" i="21"/>
  <c r="E64" i="21" s="1"/>
  <c r="J59" i="21"/>
  <c r="E59" i="21"/>
  <c r="J58" i="21"/>
  <c r="E58" i="21"/>
  <c r="J57" i="21"/>
  <c r="E57" i="21"/>
  <c r="J56" i="21"/>
  <c r="J55" i="21"/>
  <c r="E53" i="21"/>
  <c r="E52" i="21"/>
  <c r="J51" i="21"/>
  <c r="E51" i="21"/>
  <c r="J50" i="21"/>
  <c r="E50" i="21"/>
  <c r="E54" i="21" s="1"/>
  <c r="J49" i="21"/>
  <c r="J52" i="21" s="1"/>
  <c r="E49" i="21"/>
  <c r="I46" i="21"/>
  <c r="H46" i="21"/>
  <c r="D46" i="21"/>
  <c r="C46" i="21"/>
  <c r="J45" i="21"/>
  <c r="E45" i="21"/>
  <c r="J44" i="21"/>
  <c r="E44" i="21"/>
  <c r="J43" i="21"/>
  <c r="J46" i="21" s="1"/>
  <c r="E43" i="21"/>
  <c r="E46" i="21" s="1"/>
  <c r="J40" i="21"/>
  <c r="J39" i="21"/>
  <c r="E39" i="21"/>
  <c r="J38" i="21"/>
  <c r="E38" i="21"/>
  <c r="J37" i="21"/>
  <c r="E37" i="21"/>
  <c r="J36" i="21"/>
  <c r="E36" i="21"/>
  <c r="E40" i="21" s="1"/>
  <c r="I33" i="21"/>
  <c r="H33" i="21"/>
  <c r="D33" i="21"/>
  <c r="C33" i="21"/>
  <c r="J32" i="21"/>
  <c r="E32" i="21"/>
  <c r="J31" i="21"/>
  <c r="E31" i="21"/>
  <c r="J30" i="21"/>
  <c r="E30" i="21"/>
  <c r="J29" i="21"/>
  <c r="E29" i="21"/>
  <c r="J28" i="21"/>
  <c r="E28" i="21"/>
  <c r="J27" i="21"/>
  <c r="J33" i="21" s="1"/>
  <c r="J26" i="21"/>
  <c r="E26" i="21"/>
  <c r="E33" i="21" s="1"/>
  <c r="J25" i="21"/>
  <c r="D23" i="21"/>
  <c r="C23" i="21"/>
  <c r="E22" i="21"/>
  <c r="J21" i="21"/>
  <c r="E21" i="21"/>
  <c r="J20" i="21"/>
  <c r="E20" i="21"/>
  <c r="J19" i="21"/>
  <c r="E19" i="21"/>
  <c r="J18" i="21"/>
  <c r="E18" i="21"/>
  <c r="J17" i="21"/>
  <c r="E17" i="21"/>
  <c r="J16" i="21"/>
  <c r="E16" i="21"/>
  <c r="J15" i="21"/>
  <c r="E15" i="21"/>
  <c r="E23" i="21" s="1"/>
  <c r="J14" i="21"/>
  <c r="J22" i="21" s="1"/>
  <c r="E14" i="21"/>
  <c r="J13" i="21"/>
  <c r="E13" i="21"/>
  <c r="E10" i="21"/>
  <c r="E6" i="21"/>
  <c r="J4" i="21" s="1"/>
  <c r="E43" i="14"/>
  <c r="E44" i="14"/>
  <c r="E45" i="14"/>
  <c r="E4" i="12"/>
  <c r="M1" i="18"/>
  <c r="M2" i="18"/>
  <c r="D14" i="12"/>
  <c r="C14" i="12"/>
  <c r="D40" i="12"/>
  <c r="C40" i="12"/>
  <c r="D40" i="13"/>
  <c r="C40" i="13"/>
  <c r="E17" i="12"/>
  <c r="I2" i="18"/>
  <c r="I7" i="18"/>
  <c r="E5" i="18"/>
  <c r="B12" i="18"/>
  <c r="J58" i="12"/>
  <c r="E2" i="11"/>
  <c r="E5" i="11"/>
  <c r="D13" i="11"/>
  <c r="C13" i="11"/>
  <c r="C23" i="11" s="1"/>
  <c r="C43" i="11"/>
  <c r="D45" i="11"/>
  <c r="C45" i="11"/>
  <c r="D30" i="11"/>
  <c r="C30" i="11"/>
  <c r="E6" i="11"/>
  <c r="E4" i="11"/>
  <c r="E44" i="11"/>
  <c r="D43" i="11"/>
  <c r="C46" i="11"/>
  <c r="J60" i="11"/>
  <c r="J55" i="12"/>
  <c r="H33" i="11"/>
  <c r="J65" i="15"/>
  <c r="J6" i="15" s="1"/>
  <c r="E64" i="15"/>
  <c r="J63" i="15"/>
  <c r="E63" i="15"/>
  <c r="E62" i="15"/>
  <c r="I61" i="15"/>
  <c r="H61" i="15"/>
  <c r="E61" i="15"/>
  <c r="J60" i="15"/>
  <c r="E60" i="15"/>
  <c r="J59" i="15"/>
  <c r="E59" i="15"/>
  <c r="J58" i="15"/>
  <c r="E58" i="15"/>
  <c r="J57" i="15"/>
  <c r="E57" i="15"/>
  <c r="J56" i="15"/>
  <c r="J55" i="15"/>
  <c r="E53" i="15"/>
  <c r="J52" i="15"/>
  <c r="E52" i="15"/>
  <c r="J51" i="15"/>
  <c r="E51" i="15"/>
  <c r="J50" i="15"/>
  <c r="E50" i="15"/>
  <c r="J49" i="15"/>
  <c r="E49" i="15"/>
  <c r="E54" i="15" s="1"/>
  <c r="I46" i="15"/>
  <c r="H46" i="15"/>
  <c r="D46" i="15"/>
  <c r="C46" i="15"/>
  <c r="J45" i="15"/>
  <c r="E45" i="15"/>
  <c r="J44" i="15"/>
  <c r="J46" i="15" s="1"/>
  <c r="E44" i="15"/>
  <c r="J43" i="15"/>
  <c r="E43" i="15"/>
  <c r="J39" i="15"/>
  <c r="E39" i="15"/>
  <c r="J38" i="15"/>
  <c r="E38" i="15"/>
  <c r="J37" i="15"/>
  <c r="E37" i="15"/>
  <c r="J36" i="15"/>
  <c r="J40" i="15" s="1"/>
  <c r="E36" i="15"/>
  <c r="I33" i="15"/>
  <c r="H33" i="15"/>
  <c r="D33" i="15"/>
  <c r="C33" i="15"/>
  <c r="J32" i="15"/>
  <c r="E32" i="15"/>
  <c r="J31" i="15"/>
  <c r="E31" i="15"/>
  <c r="J30" i="15"/>
  <c r="E30" i="15"/>
  <c r="J29" i="15"/>
  <c r="E29" i="15"/>
  <c r="J28" i="15"/>
  <c r="E28" i="15"/>
  <c r="J27" i="15"/>
  <c r="J26" i="15"/>
  <c r="E26" i="15"/>
  <c r="J25" i="15"/>
  <c r="D23" i="15"/>
  <c r="C23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J14" i="15"/>
  <c r="E14" i="15"/>
  <c r="J13" i="15"/>
  <c r="J22" i="15" s="1"/>
  <c r="E13" i="15"/>
  <c r="E10" i="15"/>
  <c r="J65" i="14"/>
  <c r="J63" i="14"/>
  <c r="E63" i="14"/>
  <c r="E62" i="14"/>
  <c r="I61" i="14"/>
  <c r="H61" i="14"/>
  <c r="E61" i="14"/>
  <c r="J60" i="14"/>
  <c r="E60" i="14"/>
  <c r="J59" i="14"/>
  <c r="E59" i="14"/>
  <c r="J58" i="14"/>
  <c r="E58" i="14"/>
  <c r="J57" i="14"/>
  <c r="E57" i="14"/>
  <c r="E64" i="14" s="1"/>
  <c r="J56" i="14"/>
  <c r="J55" i="14"/>
  <c r="E54" i="14"/>
  <c r="E53" i="14"/>
  <c r="E52" i="14"/>
  <c r="J51" i="14"/>
  <c r="E51" i="14"/>
  <c r="J50" i="14"/>
  <c r="E50" i="14"/>
  <c r="J49" i="14"/>
  <c r="J52" i="14" s="1"/>
  <c r="E49" i="14"/>
  <c r="I46" i="14"/>
  <c r="H46" i="14"/>
  <c r="D46" i="14"/>
  <c r="C46" i="14"/>
  <c r="J45" i="14"/>
  <c r="J44" i="14"/>
  <c r="J43" i="14"/>
  <c r="J39" i="14"/>
  <c r="E39" i="14"/>
  <c r="J38" i="14"/>
  <c r="E38" i="14"/>
  <c r="J37" i="14"/>
  <c r="E37" i="14"/>
  <c r="J36" i="14"/>
  <c r="J40" i="14" s="1"/>
  <c r="E36" i="14"/>
  <c r="E40" i="14" s="1"/>
  <c r="I33" i="14"/>
  <c r="H33" i="14"/>
  <c r="D33" i="14"/>
  <c r="C33" i="14"/>
  <c r="J32" i="14"/>
  <c r="E32" i="14"/>
  <c r="J31" i="14"/>
  <c r="E31" i="14"/>
  <c r="J30" i="14"/>
  <c r="E30" i="14"/>
  <c r="J29" i="14"/>
  <c r="E29" i="14"/>
  <c r="J28" i="14"/>
  <c r="E28" i="14"/>
  <c r="J27" i="14"/>
  <c r="J26" i="14"/>
  <c r="E26" i="14"/>
  <c r="J25" i="14"/>
  <c r="C23" i="14"/>
  <c r="E22" i="14"/>
  <c r="J21" i="14"/>
  <c r="E21" i="14"/>
  <c r="J20" i="14"/>
  <c r="E20" i="14"/>
  <c r="J19" i="14"/>
  <c r="E19" i="14"/>
  <c r="J18" i="14"/>
  <c r="E18" i="14"/>
  <c r="J17" i="14"/>
  <c r="E17" i="14"/>
  <c r="J16" i="14"/>
  <c r="E16" i="14"/>
  <c r="J15" i="14"/>
  <c r="E15" i="14"/>
  <c r="J14" i="14"/>
  <c r="J22" i="14" s="1"/>
  <c r="E14" i="14"/>
  <c r="J13" i="14"/>
  <c r="E10" i="14"/>
  <c r="E6" i="14"/>
  <c r="J65" i="13"/>
  <c r="J6" i="13" s="1"/>
  <c r="J63" i="13"/>
  <c r="E63" i="13"/>
  <c r="E62" i="13"/>
  <c r="I61" i="13"/>
  <c r="H61" i="13"/>
  <c r="E61" i="13"/>
  <c r="J60" i="13"/>
  <c r="E60" i="13"/>
  <c r="J59" i="13"/>
  <c r="E59" i="13"/>
  <c r="J58" i="13"/>
  <c r="E58" i="13"/>
  <c r="J57" i="13"/>
  <c r="E57" i="13"/>
  <c r="E64" i="13" s="1"/>
  <c r="J56" i="13"/>
  <c r="J55" i="13"/>
  <c r="E54" i="13"/>
  <c r="E53" i="13"/>
  <c r="E52" i="13"/>
  <c r="J51" i="13"/>
  <c r="E51" i="13"/>
  <c r="J50" i="13"/>
  <c r="E50" i="13"/>
  <c r="J49" i="13"/>
  <c r="J52" i="13" s="1"/>
  <c r="E49" i="13"/>
  <c r="I46" i="13"/>
  <c r="H46" i="13"/>
  <c r="D46" i="13"/>
  <c r="C46" i="13"/>
  <c r="J45" i="13"/>
  <c r="E45" i="13"/>
  <c r="J44" i="13"/>
  <c r="E44" i="13"/>
  <c r="E46" i="13" s="1"/>
  <c r="J43" i="13"/>
  <c r="J46" i="13" s="1"/>
  <c r="J39" i="13"/>
  <c r="E39" i="13"/>
  <c r="J38" i="13"/>
  <c r="E38" i="13"/>
  <c r="J37" i="13"/>
  <c r="E37" i="13"/>
  <c r="J36" i="13"/>
  <c r="J40" i="13" s="1"/>
  <c r="E36" i="13"/>
  <c r="I33" i="13"/>
  <c r="H33" i="13"/>
  <c r="D33" i="13"/>
  <c r="C33" i="13"/>
  <c r="J32" i="13"/>
  <c r="E32" i="13"/>
  <c r="J31" i="13"/>
  <c r="E31" i="13"/>
  <c r="J30" i="13"/>
  <c r="E30" i="13"/>
  <c r="J29" i="13"/>
  <c r="E29" i="13"/>
  <c r="J28" i="13"/>
  <c r="E28" i="13"/>
  <c r="J27" i="13"/>
  <c r="J26" i="13"/>
  <c r="E26" i="13"/>
  <c r="J25" i="13"/>
  <c r="E22" i="13"/>
  <c r="J21" i="13"/>
  <c r="E21" i="13"/>
  <c r="J20" i="13"/>
  <c r="J19" i="13"/>
  <c r="E19" i="13"/>
  <c r="J18" i="13"/>
  <c r="E18" i="13"/>
  <c r="J17" i="13"/>
  <c r="E17" i="13"/>
  <c r="J16" i="13"/>
  <c r="E16" i="13"/>
  <c r="J15" i="13"/>
  <c r="E15" i="13"/>
  <c r="J14" i="13"/>
  <c r="J22" i="13" s="1"/>
  <c r="E14" i="13"/>
  <c r="J13" i="13"/>
  <c r="E13" i="13"/>
  <c r="E10" i="13"/>
  <c r="E6" i="13"/>
  <c r="J64" i="12"/>
  <c r="E63" i="12"/>
  <c r="E62" i="12"/>
  <c r="I60" i="12"/>
  <c r="H60" i="12"/>
  <c r="E61" i="12"/>
  <c r="E60" i="12"/>
  <c r="E59" i="12"/>
  <c r="J59" i="12"/>
  <c r="E58" i="12"/>
  <c r="J57" i="12"/>
  <c r="E57" i="12"/>
  <c r="J56" i="12"/>
  <c r="E53" i="12"/>
  <c r="E52" i="12"/>
  <c r="J51" i="12"/>
  <c r="E51" i="12"/>
  <c r="J50" i="12"/>
  <c r="E50" i="12"/>
  <c r="J49" i="12"/>
  <c r="E49" i="12"/>
  <c r="I46" i="12"/>
  <c r="H46" i="12"/>
  <c r="D46" i="12"/>
  <c r="C46" i="12"/>
  <c r="J45" i="12"/>
  <c r="E45" i="12"/>
  <c r="J44" i="12"/>
  <c r="E44" i="12"/>
  <c r="J43" i="12"/>
  <c r="E43" i="12"/>
  <c r="J39" i="12"/>
  <c r="E39" i="12"/>
  <c r="J38" i="12"/>
  <c r="E38" i="12"/>
  <c r="J37" i="12"/>
  <c r="E37" i="12"/>
  <c r="J36" i="12"/>
  <c r="E36" i="12"/>
  <c r="I33" i="12"/>
  <c r="H33" i="12"/>
  <c r="D33" i="12"/>
  <c r="C33" i="12"/>
  <c r="J32" i="12"/>
  <c r="E32" i="12"/>
  <c r="J31" i="12"/>
  <c r="E31" i="12"/>
  <c r="J30" i="12"/>
  <c r="E30" i="12"/>
  <c r="J29" i="12"/>
  <c r="E29" i="12"/>
  <c r="J28" i="12"/>
  <c r="E28" i="12"/>
  <c r="J27" i="12"/>
  <c r="J26" i="12"/>
  <c r="E26" i="12"/>
  <c r="J25" i="12"/>
  <c r="D23" i="12"/>
  <c r="C23" i="12"/>
  <c r="E22" i="12"/>
  <c r="J21" i="12"/>
  <c r="E21" i="12"/>
  <c r="J20" i="12"/>
  <c r="E20" i="12"/>
  <c r="J19" i="12"/>
  <c r="E19" i="12"/>
  <c r="J18" i="12"/>
  <c r="E18" i="12"/>
  <c r="J17" i="12"/>
  <c r="J16" i="12"/>
  <c r="E16" i="12"/>
  <c r="J15" i="12"/>
  <c r="E15" i="12"/>
  <c r="J14" i="12"/>
  <c r="J13" i="12"/>
  <c r="E13" i="12"/>
  <c r="E10" i="12"/>
  <c r="I33" i="11"/>
  <c r="J65" i="11"/>
  <c r="E63" i="11"/>
  <c r="E62" i="11"/>
  <c r="I61" i="11"/>
  <c r="H61" i="11"/>
  <c r="E61" i="11"/>
  <c r="J59" i="11"/>
  <c r="E60" i="11"/>
  <c r="E59" i="11"/>
  <c r="J58" i="11"/>
  <c r="E58" i="11"/>
  <c r="J57" i="11"/>
  <c r="E57" i="11"/>
  <c r="J56" i="11"/>
  <c r="J55" i="11"/>
  <c r="E53" i="11"/>
  <c r="E52" i="11"/>
  <c r="J51" i="11"/>
  <c r="E51" i="11"/>
  <c r="J50" i="11"/>
  <c r="E50" i="11"/>
  <c r="J49" i="11"/>
  <c r="E49" i="11"/>
  <c r="I46" i="11"/>
  <c r="H46" i="11"/>
  <c r="D46" i="11"/>
  <c r="J45" i="11"/>
  <c r="E45" i="11"/>
  <c r="J44" i="11"/>
  <c r="J43" i="11"/>
  <c r="J39" i="11"/>
  <c r="E39" i="11"/>
  <c r="J38" i="11"/>
  <c r="E38" i="11"/>
  <c r="J37" i="11"/>
  <c r="E37" i="11"/>
  <c r="J36" i="11"/>
  <c r="E36" i="11"/>
  <c r="D33" i="11"/>
  <c r="C33" i="11"/>
  <c r="J32" i="11"/>
  <c r="E32" i="11"/>
  <c r="J31" i="11"/>
  <c r="E31" i="11"/>
  <c r="J30" i="11"/>
  <c r="E30" i="11"/>
  <c r="J29" i="11"/>
  <c r="E29" i="11"/>
  <c r="J28" i="11"/>
  <c r="E28" i="11"/>
  <c r="J27" i="11"/>
  <c r="J26" i="11"/>
  <c r="E26" i="11"/>
  <c r="J25" i="11"/>
  <c r="D23" i="11"/>
  <c r="E22" i="11"/>
  <c r="J21" i="11"/>
  <c r="E21" i="11"/>
  <c r="J20" i="11"/>
  <c r="E20" i="11"/>
  <c r="J19" i="11"/>
  <c r="E19" i="11"/>
  <c r="J18" i="11"/>
  <c r="E18" i="11"/>
  <c r="J17" i="11"/>
  <c r="E17" i="11"/>
  <c r="J16" i="11"/>
  <c r="E16" i="11"/>
  <c r="J15" i="11"/>
  <c r="E15" i="11"/>
  <c r="J14" i="11"/>
  <c r="E14" i="11"/>
  <c r="J13" i="11"/>
  <c r="E13" i="11"/>
  <c r="E10" i="11"/>
  <c r="J63" i="1"/>
  <c r="J65" i="1"/>
  <c r="J4" i="1" s="1"/>
  <c r="I61" i="1"/>
  <c r="H61" i="1"/>
  <c r="J60" i="1"/>
  <c r="J59" i="1"/>
  <c r="J32" i="1"/>
  <c r="D46" i="1"/>
  <c r="C46" i="1"/>
  <c r="J31" i="1"/>
  <c r="I46" i="1"/>
  <c r="H46" i="1"/>
  <c r="H33" i="1"/>
  <c r="D33" i="1"/>
  <c r="C33" i="1"/>
  <c r="C23" i="1"/>
  <c r="D23" i="1"/>
  <c r="E10" i="1"/>
  <c r="E6" i="1"/>
  <c r="J55" i="1"/>
  <c r="J56" i="1"/>
  <c r="J57" i="1"/>
  <c r="J58" i="1"/>
  <c r="J49" i="1"/>
  <c r="J50" i="1"/>
  <c r="J51" i="1"/>
  <c r="J43" i="1"/>
  <c r="J44" i="1"/>
  <c r="J45" i="1"/>
  <c r="J36" i="1"/>
  <c r="J37" i="1"/>
  <c r="J38" i="1"/>
  <c r="J39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6" i="27" l="1"/>
  <c r="J67" i="25"/>
  <c r="J61" i="25"/>
  <c r="J67" i="21"/>
  <c r="J61" i="21"/>
  <c r="D23" i="13"/>
  <c r="J4" i="27"/>
  <c r="J8" i="27" s="1"/>
  <c r="J4" i="26"/>
  <c r="E6" i="22"/>
  <c r="J4" i="22" s="1"/>
  <c r="D23" i="14"/>
  <c r="E6" i="15"/>
  <c r="J8" i="21"/>
  <c r="J67" i="22"/>
  <c r="J61" i="22"/>
  <c r="J33" i="27"/>
  <c r="J67" i="27"/>
  <c r="J6" i="26"/>
  <c r="J67" i="26"/>
  <c r="J33" i="26"/>
  <c r="J46" i="25"/>
  <c r="J6" i="25"/>
  <c r="J8" i="25" s="1"/>
  <c r="J33" i="25"/>
  <c r="J6" i="24"/>
  <c r="J67" i="24"/>
  <c r="J4" i="24"/>
  <c r="J33" i="24"/>
  <c r="J8" i="24"/>
  <c r="J33" i="23"/>
  <c r="J67" i="23"/>
  <c r="J6" i="23"/>
  <c r="J8" i="23" s="1"/>
  <c r="J6" i="22"/>
  <c r="E40" i="15"/>
  <c r="E14" i="12"/>
  <c r="E40" i="13"/>
  <c r="E33" i="15"/>
  <c r="E33" i="13"/>
  <c r="E6" i="12"/>
  <c r="J4" i="12" s="1"/>
  <c r="E7" i="18"/>
  <c r="E23" i="15"/>
  <c r="E46" i="15"/>
  <c r="E46" i="14"/>
  <c r="E54" i="12"/>
  <c r="E43" i="11"/>
  <c r="E46" i="11" s="1"/>
  <c r="J63" i="11"/>
  <c r="J67" i="11" s="1"/>
  <c r="J40" i="12"/>
  <c r="J52" i="12"/>
  <c r="J22" i="12"/>
  <c r="E64" i="12"/>
  <c r="E33" i="12"/>
  <c r="E40" i="12"/>
  <c r="E46" i="12"/>
  <c r="J46" i="12"/>
  <c r="E23" i="13"/>
  <c r="J62" i="12"/>
  <c r="J66" i="12" s="1"/>
  <c r="E23" i="12"/>
  <c r="J22" i="11"/>
  <c r="J46" i="11"/>
  <c r="J52" i="11"/>
  <c r="E54" i="11"/>
  <c r="E64" i="11"/>
  <c r="E40" i="11"/>
  <c r="J40" i="11"/>
  <c r="J4" i="11"/>
  <c r="J46" i="14"/>
  <c r="E23" i="14"/>
  <c r="E33" i="11"/>
  <c r="E23" i="11"/>
  <c r="J33" i="14"/>
  <c r="J33" i="15"/>
  <c r="J4" i="14"/>
  <c r="J33" i="13"/>
  <c r="J6" i="12"/>
  <c r="J33" i="12"/>
  <c r="J4" i="15"/>
  <c r="J8" i="15" s="1"/>
  <c r="J67" i="15"/>
  <c r="J61" i="15"/>
  <c r="J6" i="14"/>
  <c r="E33" i="14"/>
  <c r="J61" i="14"/>
  <c r="J60" i="12"/>
  <c r="J67" i="13"/>
  <c r="J4" i="13"/>
  <c r="J8" i="13" s="1"/>
  <c r="J61" i="13"/>
  <c r="J67" i="14"/>
  <c r="J61" i="11"/>
  <c r="J6" i="11"/>
  <c r="J33" i="11"/>
  <c r="J40" i="1"/>
  <c r="J33" i="1"/>
  <c r="J6" i="1"/>
  <c r="J8" i="1" s="1"/>
  <c r="E46" i="1"/>
  <c r="E23" i="1"/>
  <c r="E64" i="1"/>
  <c r="J46" i="1"/>
  <c r="J67" i="1"/>
  <c r="E40" i="1"/>
  <c r="E54" i="1"/>
  <c r="J52" i="1"/>
  <c r="J61" i="1"/>
  <c r="E33" i="1"/>
  <c r="J22" i="1"/>
  <c r="J8" i="26" l="1"/>
  <c r="J8" i="22"/>
  <c r="J8" i="12"/>
  <c r="J8" i="11"/>
  <c r="J8" i="14"/>
</calcChain>
</file>

<file path=xl/sharedStrings.xml><?xml version="1.0" encoding="utf-8"?>
<sst xmlns="http://schemas.openxmlformats.org/spreadsheetml/2006/main" count="2070" uniqueCount="183">
  <si>
    <t>PROJECTED MONTHLY INCOME</t>
  </si>
  <si>
    <t>Income 1</t>
  </si>
  <si>
    <t>Extra income</t>
  </si>
  <si>
    <t>Total monthly income</t>
  </si>
  <si>
    <t>ACTUAL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</si>
  <si>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</si>
  <si>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</si>
  <si>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</si>
  <si>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</si>
  <si>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</si>
  <si>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</si>
  <si>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</si>
  <si>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</si>
  <si>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</si>
  <si>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</si>
  <si>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</si>
  <si>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</si>
  <si>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</si>
  <si>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</si>
  <si>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</si>
  <si>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</si>
  <si>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</si>
  <si>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</si>
  <si>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</si>
  <si>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</si>
  <si>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</si>
  <si>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</si>
  <si>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</si>
  <si>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</si>
  <si>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</si>
  <si>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Bus/taxi fare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</si>
  <si>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</si>
  <si>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</si>
  <si>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</si>
  <si>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</si>
  <si>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</si>
  <si>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</si>
  <si>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</si>
  <si>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</si>
  <si>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</si>
  <si>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</si>
  <si>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</si>
  <si>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</si>
  <si>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</si>
  <si>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</si>
  <si>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</si>
  <si>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</si>
  <si>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</si>
  <si>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</si>
  <si>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</si>
  <si>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</si>
  <si>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</si>
  <si>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</si>
  <si>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</si>
  <si>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</si>
  <si>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</si>
  <si>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</si>
  <si>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PERSONAL CARE</t>
  </si>
  <si>
    <t>Hair/nails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</si>
  <si>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</si>
  <si>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</si>
  <si>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</si>
  <si>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</si>
  <si>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</si>
  <si>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</si>
  <si>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</si>
  <si>
    <t>Subtotal</t>
  </si>
  <si>
    <t>DIFFERENCE 
(Actual minus projected)</t>
  </si>
  <si>
    <t>Use this Personal Monthly Budget worksheet to track your Projected and Actual Monthly Income and Projected and Actual Cost.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</si>
  <si>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</si>
  <si>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</si>
  <si>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</si>
  <si>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</si>
  <si>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</si>
  <si>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</si>
  <si>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</si>
  <si>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Projected Balance, Actual Balance, and Difference are auto calculated.</t>
  </si>
  <si>
    <t>Projected Monthly Income label is in cell at right. Enter Income 1 in cell E4 and Extra Income in E5 to calculate Total monthly income in E6. Next instruction is in cell A6.</t>
  </si>
  <si>
    <t>Projected Balance is auto calculated in cell J4, Actual Balance in J6, and Difference in J8. Next instruction is in cell A8.</t>
  </si>
  <si>
    <t>Actual Monthly Income label is in cell at right. Enter Income 1 in cell E8 and Extra Income in E9 to calculate Total monthly income in E10. Next instruction is in cell A12.</t>
  </si>
  <si>
    <t>Enter details in Housing table starting in cell at right and in Entertainment table starting in cell G12. Next instruction is in cell A25.</t>
  </si>
  <si>
    <t>Enter details in Transportation table starting in cell at right and in Loans table starting in cell G24. Next instruction is in cell A35.</t>
  </si>
  <si>
    <t>Enter details in Insurance table starting in cell at right and in Taxes table starting in cell G33. Next instruction is in cell A42.</t>
  </si>
  <si>
    <t>Enter details in Food table starting in cell at right and in Savings table starting in cell G40. Next instruction is in cell A48.</t>
  </si>
  <si>
    <t>Enter details in Pets table starting in cell at right and in Gifts table starting in cell G46. Next instruction is in cell A56.</t>
  </si>
  <si>
    <t>Enter details in Personal Care table starting in cell at right and in Legal table starting in cell G52. Next instruction is in cell A59.</t>
  </si>
  <si>
    <t>Total Projected Cost is auto calculated in cell J59, Total Actual Cost in J61, and Total Difference in J63.</t>
  </si>
  <si>
    <t>Tv</t>
  </si>
  <si>
    <t>ICICI Credit card</t>
  </si>
  <si>
    <t>RBL Credit card</t>
  </si>
  <si>
    <t>PERSONAL MONTHLY BUDGET OCT 26 - NOV 26</t>
  </si>
  <si>
    <t>Gold</t>
  </si>
  <si>
    <t>PERSONAL MONTHLY BUDGET NOV 26 - DEC 26</t>
  </si>
  <si>
    <t>Lazy Pay</t>
  </si>
  <si>
    <t>Veggies</t>
  </si>
  <si>
    <t>Cash E</t>
  </si>
  <si>
    <t>TOTAL SPENT
(Actual income minus expenses)</t>
  </si>
  <si>
    <t>REAMING BALANCE
(Projected income minus expenses)</t>
  </si>
  <si>
    <t>Milk</t>
  </si>
  <si>
    <t>IPAD</t>
  </si>
  <si>
    <t>Others</t>
  </si>
  <si>
    <t>ACT</t>
  </si>
  <si>
    <t>PERSONAL MONTHLY BUDGET JAN 26 - FEB 26</t>
  </si>
  <si>
    <t>Pinni</t>
  </si>
  <si>
    <t>Satya</t>
  </si>
  <si>
    <t>PERSONAL MONTHLY BUDGET FEB 26 - MAR 26</t>
  </si>
  <si>
    <t>CHINNI EXPENSES</t>
  </si>
  <si>
    <t>PG RENT</t>
  </si>
  <si>
    <t>CASHE</t>
  </si>
  <si>
    <t>Early Salary</t>
  </si>
  <si>
    <t>Simple</t>
  </si>
  <si>
    <t>Chinni income</t>
  </si>
  <si>
    <t>Paytm</t>
  </si>
  <si>
    <t>Zest</t>
  </si>
  <si>
    <t>z</t>
  </si>
  <si>
    <t>PERSONAL MONTHLY BUDGET DEC 26 - JAN 26.2023</t>
  </si>
  <si>
    <t>glass door</t>
  </si>
  <si>
    <t>Personal Gold</t>
  </si>
  <si>
    <t>satya</t>
  </si>
  <si>
    <t>meena</t>
  </si>
  <si>
    <t>moneyview</t>
  </si>
  <si>
    <t>Bava</t>
  </si>
  <si>
    <t>Money View</t>
  </si>
  <si>
    <t>Zest new</t>
  </si>
  <si>
    <t>simple</t>
  </si>
  <si>
    <t>rbl</t>
  </si>
  <si>
    <t>Zest New</t>
  </si>
  <si>
    <t>Column1</t>
  </si>
  <si>
    <t>-</t>
  </si>
  <si>
    <t>ttl</t>
  </si>
  <si>
    <t>rental agreement</t>
  </si>
  <si>
    <t>cpu</t>
  </si>
  <si>
    <t>ACT (15/12/22)</t>
  </si>
  <si>
    <t>Rent Advance</t>
  </si>
  <si>
    <t>tiffin</t>
  </si>
  <si>
    <t>Shifting</t>
  </si>
  <si>
    <t>chinni bus ticket</t>
  </si>
  <si>
    <t>1k advance paid</t>
  </si>
  <si>
    <t>Tablets</t>
  </si>
  <si>
    <t>Act</t>
  </si>
  <si>
    <t>Rm : 3</t>
  </si>
  <si>
    <t>Rm : 5</t>
  </si>
  <si>
    <t>Rm : 2</t>
  </si>
  <si>
    <t>Rm : 4</t>
  </si>
  <si>
    <t>Rm : 0</t>
  </si>
  <si>
    <t>PERSONAL MONTHLY BUDGET MAR 26 - APR 26</t>
  </si>
  <si>
    <t>CMR</t>
  </si>
  <si>
    <t>Remaining</t>
  </si>
  <si>
    <t>keerthi</t>
  </si>
  <si>
    <t>Phone Recharge</t>
  </si>
  <si>
    <t>icici</t>
  </si>
  <si>
    <t>chinni</t>
  </si>
  <si>
    <t>sindu mom</t>
  </si>
  <si>
    <t>yshu</t>
  </si>
  <si>
    <t>salary</t>
  </si>
  <si>
    <t>rm</t>
  </si>
  <si>
    <t>res</t>
  </si>
  <si>
    <t>Cashe</t>
  </si>
  <si>
    <t xml:space="preserve">cashe </t>
  </si>
  <si>
    <t>zest</t>
  </si>
  <si>
    <t xml:space="preserve">moneyview </t>
  </si>
  <si>
    <t xml:space="preserve">simple </t>
  </si>
  <si>
    <t>es</t>
  </si>
  <si>
    <t>sum</t>
  </si>
  <si>
    <t>Keerthi</t>
  </si>
  <si>
    <t>RBL</t>
  </si>
  <si>
    <t>Airtel</t>
  </si>
  <si>
    <t>Mediciens</t>
  </si>
  <si>
    <t>rd</t>
  </si>
  <si>
    <t>My Income + Prev Blnc</t>
  </si>
  <si>
    <t>Personal Trip</t>
  </si>
  <si>
    <t>RD</t>
  </si>
  <si>
    <t>PERSONAL MONTHLY BUDGET APR 26 - MAY 26</t>
  </si>
  <si>
    <t>PERSONAL MONTHLY BUDGET  MAY 26 - JUN 26</t>
  </si>
  <si>
    <t>bava</t>
  </si>
  <si>
    <t>bank</t>
  </si>
  <si>
    <t>PERSONAL MONTHLY BUDGET  JUN 26 - JUL 26</t>
  </si>
  <si>
    <t>DEBTS ON JAN 2023</t>
  </si>
  <si>
    <t>PERSONAL MONTHLY BUDGET  AUG 26 - SEP 26</t>
  </si>
  <si>
    <t>PERSONAL MONTHLY BUDGET  JUL 26 - AUG 26</t>
  </si>
  <si>
    <t>PERSONAL MONTHLY BUDGET  SEP 26 - OCT 26</t>
  </si>
  <si>
    <t>Airtel Tv</t>
  </si>
  <si>
    <t>AC + TV + Purifier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</si>
</sst>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46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8" fontId="2" fillId="0" borderId="2" xfId="0" applyNumberFormat="1" applyFont="1" applyFill="1" applyBorder="1"/>
    <xf numFmtId="8" fontId="2" fillId="0" borderId="3" xfId="0" applyNumberFormat="1" applyFont="1" applyFill="1" applyBorder="1"/>
    <xf numFmtId="8" fontId="3" fillId="2" borderId="4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8" fillId="3" borderId="0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ont="1" applyFill="1" applyBorder="1"/>
    <xf numFmtId="0" fontId="0" fillId="4" borderId="0" xfId="0" applyFill="1"/>
    <xf numFmtId="0" fontId="0" fillId="4" borderId="10" xfId="0" applyFill="1" applyBorder="1"/>
    <xf numFmtId="0" fontId="0" fillId="0" borderId="10" xfId="0" applyBorder="1"/>
    <xf numFmtId="8" fontId="2" fillId="0" borderId="10" xfId="0" applyNumberFormat="1" applyFont="1" applyFill="1" applyBorder="1"/>
    <xf numFmtId="6" fontId="4" fillId="0" borderId="7" xfId="1" applyNumberFormat="1"/>
    <xf numFmtId="0" fontId="0" fillId="5" borderId="0" xfId="0" applyFill="1"/>
    <xf numFmtId="164" fontId="0" fillId="5" borderId="0" xfId="0" applyNumberFormat="1" applyFill="1"/>
    <xf numFmtId="0" fontId="0" fillId="0" borderId="0" xfId="0" applyFill="1"/>
    <xf numFmtId="0" fontId="0" fillId="6" borderId="0" xfId="0" applyFont="1" applyFill="1" applyBorder="1"/>
    <xf numFmtId="164" fontId="0" fillId="6" borderId="0" xfId="0" applyNumberFormat="1" applyFont="1" applyFill="1" applyBorder="1"/>
    <xf numFmtId="0" fontId="0" fillId="7" borderId="0" xfId="0" applyFill="1"/>
    <xf numFmtId="164" fontId="0" fillId="7" borderId="0" xfId="0" applyNumberFormat="1" applyFill="1"/>
    <xf numFmtId="0" fontId="0" fillId="7" borderId="0" xfId="0" applyFont="1" applyFill="1" applyBorder="1"/>
    <xf numFmtId="164" fontId="0" fillId="7" borderId="0" xfId="0" applyNumberFormat="1" applyFont="1" applyFill="1" applyBorder="1"/>
    <xf numFmtId="0" fontId="0" fillId="8" borderId="0" xfId="0" applyFill="1"/>
    <xf numFmtId="164" fontId="0" fillId="8" borderId="0" xfId="0" applyNumberFormat="1" applyFill="1"/>
    <xf numFmtId="164" fontId="0" fillId="4" borderId="0" xfId="0" applyNumberFormat="1" applyFont="1" applyFill="1" applyBorder="1"/>
    <xf numFmtId="164" fontId="0" fillId="4" borderId="0" xfId="0" applyNumberFormat="1" applyFill="1"/>
    <xf numFmtId="0" fontId="0" fillId="0" borderId="0" xfId="0" applyAlignment="1">
      <alignment horizontal="center"/>
    </xf>
    <xf numFmtId="0" fontId="3" fillId="0" borderId="1" xfId="3" applyBorder="1" applyAlignment="1">
      <alignment horizontal="left" vertical="center"/>
    </xf>
    <xf numFmtId="8" fontId="3" fillId="2" borderId="1" xfId="0" applyNumberFormat="1" applyFont="1" applyFill="1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  <xf numFmtId="0" fontId="2" fillId="0" borderId="11" xfId="2" applyBorder="1" applyAlignment="1">
      <alignment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921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920"/>
      <tableStyleElement type="headerRow" dxfId="919"/>
      <tableStyleElement type="totalRow" dxfId="918"/>
      <tableStyleElement type="firstColumn" dxfId="917"/>
      <tableStyleElement type="lastColumn" dxfId="916"/>
      <tableStyleElement type="firstRowStripe" dxfId="915"/>
      <tableStyleElement type="firstColumnStripe" dxfId="9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851280F-9CD6-4042-82BB-49C41F99882D}" name="Housing2537496173148698" displayName="Housing2537496173148698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F8FCB82E-B63B-4947-8E9E-CEE3B482E143}" name="HOUSING" totalsRowLabel="Subtotal" totalsRowDxfId="911"/>
    <tableColumn id="2" xr3:uid="{167F3000-51E3-454A-AEEF-44FA0E016991}" name="Projected Cost" totalsRowFunction="sum" totalsRowDxfId="910"/>
    <tableColumn id="3" xr3:uid="{EE87AB3F-2152-4BAF-8949-B63C98A985F5}" name="Actual Cost" totalsRowFunction="sum" totalsRowDxfId="909"/>
    <tableColumn id="4" xr3:uid="{FB8A67AC-5F86-4360-BB07-55BA32894C19}" name="Difference" totalsRowFunction="sum" totalsRowDxfId="908">
      <calculatedColumnFormula>Housing2537496173148698[[#This Row],[Projected Cost]]-Housing2537496173148698[[#This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EAE64E76-DFB8-46CE-B8FE-9D3015BC0208}" name="Pets34465870822395107" displayName="Pets34465870822395107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BA230821-0730-4476-9DB4-9C7507500D72}" name="PETS" totalsRowLabel="Subtotal"/>
    <tableColumn id="2" xr3:uid="{38E87705-0AED-4122-A104-E17987FAE0A4}" name="Projected Cost" dataDxfId="859" totalsRowDxfId="858"/>
    <tableColumn id="3" xr3:uid="{8D8DD570-C320-4F9E-8BC8-0ADA2E5A1A2E}" name="Actual Cost" dataDxfId="857" totalsRowDxfId="856"/>
    <tableColumn id="4" xr3:uid="{E24208CA-2BFC-4B5E-822A-9935F2EBD972}" name="Difference" totalsRowFunction="sum" dataDxfId="855" totalsRowDxfId="854">
      <calculatedColumnFormula>Pets34465870822395107[[#This Row],[Projected Cost]]-Pets34465870822395107[[#This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DEF4A7F-2ED0-495F-9F65-DE0247AEA378}" name="Transportation28405264" displayName="Transportation28405264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1C574388-3B78-4F10-8878-A30DD9CE6C9E}" name="TRANSPORTATION" totalsRowLabel="Subtotal"/>
    <tableColumn id="2" xr3:uid="{6811B7DA-1BCE-4E3E-AADA-5CA5A47DFC99}" name="Projected Cost" totalsRowFunction="sum" dataDxfId="350" totalsRowDxfId="349"/>
    <tableColumn id="3" xr3:uid="{3A352037-3121-4A02-94E3-DD0CB758DE44}" name="Actual Cost" totalsRowFunction="sum" dataDxfId="348" totalsRowDxfId="347"/>
    <tableColumn id="4" xr3:uid="{187086F3-511A-4FE0-984D-36942243BACD}" name="Difference" totalsRowFunction="sum" dataDxfId="346" totalsRowDxfId="345">
      <calculatedColumnFormula>Transportation28405264[[#This Row],[Projected Cost]]-Transportation28405264[[#This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F5C8729-C37D-4701-947F-2FA49A7BDD50}" name="Insurance29415365" displayName="Insurance29415365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E353F520-B71E-42A1-A293-404968AF9306}" name="INSURANCE" totalsRowLabel="Subtotal"/>
    <tableColumn id="2" xr3:uid="{DE9748D4-152E-4852-ACBF-0B70A2B819D3}" name="Projected Cost" totalsRowFunction="sum" dataDxfId="344" totalsRowDxfId="343"/>
    <tableColumn id="3" xr3:uid="{CFDD1970-FFD6-4097-AC88-F32D4DCB4E6F}" name="Actual Cost" totalsRowFunction="sum" dataDxfId="342" totalsRowDxfId="341"/>
    <tableColumn id="4" xr3:uid="{CE950E71-9BA3-429F-BD05-ED801209B438}" name="Difference" totalsRowFunction="sum" dataDxfId="340" totalsRowDxfId="339">
      <calculatedColumnFormula>Insurance29415365[[#This Row],[Projected Cost]]-Insurance29415365[[#This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710373B3-B49E-495D-8B87-3269BD5D1053}" name="Taxes30425466" displayName="Taxes30425466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8441527E-9579-4F6E-AF3F-8D7FFB6AD47A}" name="TAXES" totalsRowLabel="Subtotal"/>
    <tableColumn id="2" xr3:uid="{589D66E5-695E-4A16-B477-5E0DDD26B793}" name="Projected Cost" dataDxfId="338" totalsRowDxfId="337"/>
    <tableColumn id="3" xr3:uid="{B6FA4B5C-6AC4-4E22-9EA0-DCA80BAD89D8}" name="Actual Cost" dataDxfId="336" totalsRowDxfId="335"/>
    <tableColumn id="4" xr3:uid="{C0B30FC3-9DEB-4C14-AC7D-881FD118F54F}" name="Difference" totalsRowFunction="sum" dataDxfId="334" totalsRowDxfId="333">
      <calculatedColumnFormula>Taxes30425466[[#This Row],[Projected Cost]]-Taxes30425466[[#This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A5B1CDA4-4276-4140-9134-16BD09A959AD}" name="Savings31435567" displayName="Savings31435567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D5860B58-BB7C-4A8E-885F-0CACC7802BFE}" name="SAVINGS OR INVESTMENTS" totalsRowLabel="Subtotal"/>
    <tableColumn id="2" xr3:uid="{DD92CA3F-C742-4AE9-8444-1812D18317E8}" name="Projected Cost" totalsRowFunction="sum" dataDxfId="332" totalsRowDxfId="331"/>
    <tableColumn id="3" xr3:uid="{4B9B08D4-13E3-4884-B7AA-49DF6850983B}" name="Actual Cost" totalsRowFunction="sum" dataDxfId="330" totalsRowDxfId="329"/>
    <tableColumn id="4" xr3:uid="{E10AC0B0-C241-494F-9ACC-ABB739976651}" name="Difference" totalsRowFunction="sum" dataDxfId="328" totalsRowDxfId="327">
      <calculatedColumnFormula>Savings31435567[[#This Row],[Projected Cost]]-Savings31435567[[#This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CC2F3083-541A-42C7-A7B6-7B0878CA2DB0}" name="Food32445668" displayName="Food32445668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5FE6C868-E0F4-4AB1-BB1F-164EC1915D4C}" name="FOOD" totalsRowLabel="Subtotal"/>
    <tableColumn id="2" xr3:uid="{6B8F3FF0-7B11-4ADA-89BD-77FC59AC9953}" name="Projected Cost" totalsRowFunction="sum" dataDxfId="326" totalsRowDxfId="325"/>
    <tableColumn id="3" xr3:uid="{415CEB3A-7CE8-4177-B45D-2D77F750C8D0}" name="Actual Cost" totalsRowFunction="sum" dataDxfId="324" totalsRowDxfId="323"/>
    <tableColumn id="4" xr3:uid="{DFA093DC-353A-4938-8830-8F285A0F2D59}" name="Difference" totalsRowFunction="sum" dataDxfId="322" totalsRowDxfId="321">
      <calculatedColumnFormula>F45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F40B6AEF-24CD-4C3F-8EF0-4B8C3A3D5E60}" name="Gifts33455769" displayName="Gifts33455769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60AD645A-C08E-40A8-BA41-1E601ADE3CB6}" name="GIFTS AND DONATIONS" totalsRowLabel="Subtotal"/>
    <tableColumn id="2" xr3:uid="{39BA8AB0-62B3-434C-BF6E-248E39F29443}" name="Projected Cost" dataDxfId="320" totalsRowDxfId="319"/>
    <tableColumn id="3" xr3:uid="{C5E9CC83-67D1-47AB-B694-F34F5EBD7DBC}" name="Actual Cost" dataDxfId="318" totalsRowDxfId="317"/>
    <tableColumn id="4" xr3:uid="{27A307D5-911B-4095-B549-91AC6A52C186}" name="Difference" totalsRowFunction="sum" dataDxfId="316" totalsRowDxfId="315">
      <calculatedColumnFormula>Gifts33455769[[#This Row],[Projected Cost]]-Gifts33455769[[#This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2B25A915-D47B-450F-9DAF-87AD9DA6667A}" name="Pets34465870" displayName="Pets34465870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C3969B78-72AD-499C-A639-055882A444AA}" name="PETS" totalsRowLabel="Subtotal"/>
    <tableColumn id="2" xr3:uid="{1FB210A8-7029-4909-A96C-8374D83A0826}" name="Projected Cost" dataDxfId="314" totalsRowDxfId="313"/>
    <tableColumn id="3" xr3:uid="{03DA05A0-9BF9-44A1-9041-5F2A93588A90}" name="Actual Cost" dataDxfId="312" totalsRowDxfId="311"/>
    <tableColumn id="4" xr3:uid="{E6603F9F-73C6-44D6-81F0-2417E5521BA7}" name="Difference" totalsRowFunction="sum" dataDxfId="310" totalsRowDxfId="309">
      <calculatedColumnFormula>Pets34465870[[#This Row],[Projected Cost]]-Pets34465870[[#This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52F027E-B678-413F-AC30-22700B76FB02}" name="Legal35475971" displayName="Legal35475971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DDEE72A8-8DE6-4A7C-AC4C-AD9285A603FC}" name="CHINNI EXPENSES" totalsRowLabel="Subtotal"/>
    <tableColumn id="2" xr3:uid="{88CA30C2-ABE0-49F9-9428-8272D28BA600}" name="Projected Cost" totalsRowFunction="sum" dataDxfId="308" totalsRowDxfId="307"/>
    <tableColumn id="3" xr3:uid="{C53D831D-5D62-4855-A18C-77782E163CB0}" name="Actual Cost" totalsRowFunction="sum" dataDxfId="306" totalsRowDxfId="305"/>
    <tableColumn id="4" xr3:uid="{DC4D6219-B3BE-44A5-AD77-0209E7C1DB1F}" name="Difference" totalsRowFunction="sum" dataDxfId="304" totalsRowDxfId="303">
      <calculatedColumnFormula>Legal35475971[[#This Row],[Projected Cost]]-Legal35475971[[#This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6D0F6C2-063D-4E0A-9E94-C1F61CE8C50C}" name="PersonalCare36486072" displayName="PersonalCare36486072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B532C2F4-813A-4037-9C8B-3A65898EA46F}" name="PERSONAL CARE" totalsRowLabel="Subtotal" totalsRowDxfId="302"/>
    <tableColumn id="2" xr3:uid="{42BE7614-C07E-490A-89F7-1BCA17CB5F0C}" name="z" totalsRowDxfId="301"/>
    <tableColumn id="3" xr3:uid="{746CA2E2-8566-4B2E-BCE0-ACCB2921CECA}" name="Actual Cost" totalsRowDxfId="300"/>
    <tableColumn id="4" xr3:uid="{0C376482-42C0-4B4F-B3E1-569A6DB80BA2}" name="Difference" totalsRowFunction="sum" totalsRowDxfId="299">
      <calculatedColumnFormula>PersonalCare36486072[[#This Row],[z]]-PersonalCare36486072[[#This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5F6706C-BE1E-4BFD-B7F3-22E5C9D6733A}" name="Housing253749" displayName="Housing253749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3CBC56E8-F429-44A1-B298-278F5A41ECF2}" name="HOUSING" totalsRowLabel="Subtotal" totalsRowDxfId="296"/>
    <tableColumn id="2" xr3:uid="{CE52CF13-FB35-4DE2-8CAC-C7181233B01A}" name="Projected Cost" totalsRowFunction="sum" totalsRowDxfId="295"/>
    <tableColumn id="3" xr3:uid="{4667402B-62D8-455E-B177-1A5ED2B9F336}" name="Actual Cost" totalsRowFunction="sum" totalsRowDxfId="294"/>
    <tableColumn id="4" xr3:uid="{FF0E82E5-D09F-499B-9E1E-6BC81A32674C}" name="Difference" totalsRowFunction="sum" totalsRowDxfId="293">
      <calculatedColumnFormula>Housing253749[[#This Row],[Projected Cost]]-Housing253749[[#This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A7D744C1-74A7-48CC-9317-40B46BCD4165}" name="Legal35475971832496108" displayName="Legal35475971832496108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84D29897-6C49-48FB-B490-00B04652F719}" name="CHINNI EXPENSES" totalsRowLabel="Subtotal"/>
    <tableColumn id="2" xr3:uid="{64D49BC1-66B4-4F2F-8F4B-9170EFF7267D}" name="Projected Cost" totalsRowFunction="sum" dataDxfId="853" totalsRowDxfId="852"/>
    <tableColumn id="3" xr3:uid="{7517A49C-4DB9-4BC7-A87B-03AAC806E022}" name="Actual Cost" totalsRowFunction="sum" dataDxfId="851" totalsRowDxfId="850"/>
    <tableColumn id="4" xr3:uid="{3915EB78-C7D0-435A-9981-E1E6C43EA1FA}" name="Difference" totalsRowFunction="sum" dataDxfId="849" totalsRowDxfId="848">
      <calculatedColumnFormula>Legal35475971832496108[[#This Row],[Projected Cost]]-Legal35475971832496108[[#This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AB42BC2-BD56-4223-9725-8D11B079221A}" name="Entertainment263850" displayName="Entertainment263850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8B5A9DE0-E116-4611-AC6D-B0466BD58146}" name="ENTERTAINMENT" totalsRowLabel="Subtotal"/>
    <tableColumn id="2" xr3:uid="{31E8AD86-DE73-4B0A-9C92-F375F5F32D2B}" name="Projected Cost" dataDxfId="292" totalsRowDxfId="291"/>
    <tableColumn id="3" xr3:uid="{06BA4106-7EB3-447B-A6B9-BB22A0E9A508}" name="Actual Cost" dataDxfId="290" totalsRowDxfId="289"/>
    <tableColumn id="4" xr3:uid="{0AE74DBB-E4F3-4921-84F7-0EE8E32AC578}" name="Difference" totalsRowFunction="sum" dataDxfId="288" totalsRowDxfId="287">
      <calculatedColumnFormula>Entertainment263850[[#This Row],[Projected Cost]]-Entertainment263850[[#This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5EFE4DE-586D-452C-87AE-E54B319ED701}" name="Loans273951" displayName="Loans273951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56E4C5B2-37CA-430C-8CE0-954C14D27ED9}" name="LOANS" totalsRowLabel="Subtotal"/>
    <tableColumn id="2" xr3:uid="{5C360673-74FF-4FEB-B086-F344D635C18E}" name="Projected Cost" totalsRowFunction="sum" dataDxfId="286" totalsRowDxfId="285"/>
    <tableColumn id="3" xr3:uid="{015B34FB-D09D-4C38-9B04-C3766A331CBE}" name="Actual Cost" totalsRowFunction="sum" dataDxfId="284" totalsRowDxfId="283"/>
    <tableColumn id="4" xr3:uid="{ECA9C00E-606E-485F-B704-0C5E48453142}" name="Difference" totalsRowFunction="sum" dataDxfId="282" totalsRowDxfId="281">
      <calculatedColumnFormula>Loans273951[[#This Row],[Projected Cost]]-Loans273951[[#This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08755D3-A95B-4820-AFF6-58DF3448E6E2}" name="Transportation284052" displayName="Transportation284052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2457F05A-5107-4B57-9B61-435ECD97E32D}" name="TRANSPORTATION" totalsRowLabel="Subtotal"/>
    <tableColumn id="2" xr3:uid="{790AF92A-8DBC-44D6-A3B6-D6E9835ED9D3}" name="Projected Cost" totalsRowFunction="sum" dataDxfId="280" totalsRowDxfId="279"/>
    <tableColumn id="3" xr3:uid="{7D576DE1-DF36-4417-90FF-A2EF4BCA3BB6}" name="Actual Cost" totalsRowFunction="sum" dataDxfId="278" totalsRowDxfId="277"/>
    <tableColumn id="4" xr3:uid="{C6EC5AFA-5880-42B5-896F-895F33333018}" name="Difference" totalsRowFunction="sum" dataDxfId="276" totalsRowDxfId="275">
      <calculatedColumnFormula>Transportation284052[[#This Row],[Projected Cost]]-Transportation284052[[#This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FFE31E4-4BE4-4AA8-A7A2-63DB21EE582E}" name="Insurance294153" displayName="Insurance294153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8F20BCA1-3044-466E-8BF8-091F5FC2DDBE}" name="INSURANCE" totalsRowLabel="Subtotal"/>
    <tableColumn id="2" xr3:uid="{C59A26BF-58FA-47E9-ACE8-7E45B9F85B62}" name="Projected Cost" totalsRowFunction="sum" dataDxfId="274" totalsRowDxfId="273"/>
    <tableColumn id="3" xr3:uid="{1A0FB637-376D-462E-87FA-1563A9D4D1BA}" name="Actual Cost" totalsRowFunction="sum" dataDxfId="272" totalsRowDxfId="271"/>
    <tableColumn id="4" xr3:uid="{686C1121-C9D5-483C-968F-3387992A4FE7}" name="Difference" totalsRowFunction="sum" dataDxfId="270" totalsRowDxfId="269">
      <calculatedColumnFormula>Insurance294153[[#This Row],[Projected Cost]]-Insurance294153[[#This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3D3737D-95D3-4F10-93F8-D0BAE1F30DF7}" name="Taxes304254" displayName="Taxes304254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510A9264-3AF4-47D3-818F-2F0762B05461}" name="TAXES" totalsRowLabel="Subtotal"/>
    <tableColumn id="2" xr3:uid="{44219EE2-6A48-4DC3-8EF4-80C4EA0E6A2B}" name="Projected Cost" dataDxfId="268" totalsRowDxfId="267"/>
    <tableColumn id="3" xr3:uid="{1D2ED701-0F78-44FC-BB5E-0A068277E2AD}" name="Actual Cost" dataDxfId="266" totalsRowDxfId="265"/>
    <tableColumn id="4" xr3:uid="{52CB59DA-32FA-4FE5-8205-000E0B14CA97}" name="Difference" totalsRowFunction="sum" dataDxfId="264" totalsRowDxfId="263">
      <calculatedColumnFormula>Taxes304254[[#This Row],[Projected Cost]]-Taxes304254[[#This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5CD1A91-E838-4001-A682-9E71C4CFD60E}" name="Savings314355" displayName="Savings314355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EDD824A6-09C2-46F1-9BE3-E33162B5E9C9}" name="SAVINGS OR INVESTMENTS" totalsRowLabel="Subtotal"/>
    <tableColumn id="2" xr3:uid="{6DD40A4B-91BF-4E42-840F-3F5E9923FAD2}" name="Projected Cost" totalsRowFunction="sum" dataDxfId="262" totalsRowDxfId="261"/>
    <tableColumn id="3" xr3:uid="{965B06F5-26B9-4EF0-BB72-FE8221DBEFD2}" name="Actual Cost" totalsRowFunction="sum" dataDxfId="260" totalsRowDxfId="259"/>
    <tableColumn id="4" xr3:uid="{52D29A33-1886-48D8-80CC-7C959C749BC1}" name="Difference" totalsRowFunction="sum" dataDxfId="258" totalsRowDxfId="257">
      <calculatedColumnFormula>Savings314355[[#This Row],[Projected Cost]]-Savings314355[[#This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29A79E3-22F5-448E-A27A-03CEE2EEF756}" name="Food324456" displayName="Food324456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232F2AE0-8F97-4D5A-8B74-3C0320A26467}" name="FOOD" totalsRowLabel="Subtotal"/>
    <tableColumn id="2" xr3:uid="{DC641458-CE5A-4143-BBDE-ADF3A41BA88C}" name="Projected Cost" totalsRowFunction="sum" dataDxfId="256" totalsRowDxfId="255"/>
    <tableColumn id="3" xr3:uid="{AFD22CAE-E17E-405A-BA35-BDB133CC20E1}" name="Actual Cost" totalsRowFunction="sum" dataDxfId="254" totalsRowDxfId="253"/>
    <tableColumn id="4" xr3:uid="{45801EA2-BDE6-4965-805A-E45F31E204C6}" name="Difference" totalsRowFunction="sum" dataDxfId="252" totalsRowDxfId="251">
      <calculatedColumnFormula>Food324456[[#This Row],[Projected Cost]]-Food324456[[#This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B5F5C62-4D99-4948-B320-EF51AD8E1332}" name="Gifts334557" displayName="Gifts334557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2691F3B6-EB70-4E64-8310-886048033D99}" name="GIFTS AND DONATIONS" totalsRowLabel="Subtotal"/>
    <tableColumn id="2" xr3:uid="{3D4C7BD0-9ED6-44D5-9A0B-79AA15A392BE}" name="Projected Cost" dataDxfId="250" totalsRowDxfId="249"/>
    <tableColumn id="3" xr3:uid="{245DF3BC-68A5-47B0-90A4-C51C2212609E}" name="Actual Cost" dataDxfId="248" totalsRowDxfId="247"/>
    <tableColumn id="4" xr3:uid="{7B1A0E03-533A-4B71-ADFE-310B4FD9E443}" name="Difference" totalsRowFunction="sum" dataDxfId="246" totalsRowDxfId="245">
      <calculatedColumnFormula>Gifts334557[[#This Row],[Projected Cost]]-Gifts334557[[#This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427CBFC-097F-4C0C-9F68-BECAC19DEED0}" name="Pets344658" displayName="Pets344658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BB6E8C28-1D10-4991-AB66-5F76132BBB62}" name="PETS" totalsRowLabel="Subtotal"/>
    <tableColumn id="2" xr3:uid="{C1E3F6DD-1AB9-485B-8994-BBC1366CCB4B}" name="Projected Cost" dataDxfId="244" totalsRowDxfId="243"/>
    <tableColumn id="3" xr3:uid="{519C9CD5-9B32-42AB-A1C2-2BD8D9D75513}" name="Actual Cost" dataDxfId="242" totalsRowDxfId="241"/>
    <tableColumn id="4" xr3:uid="{641223BA-FFBE-40B0-971C-AAC3A38416BB}" name="Difference" totalsRowFunction="sum" dataDxfId="240" totalsRowDxfId="239">
      <calculatedColumnFormula>Pets344658[[#This Row],[Projected Cost]]-Pets344658[[#This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113C75DD-A482-4BEC-810D-284B70AFAA9F}" name="Legal354759" displayName="Legal354759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202CE92A-481C-463F-A5BF-5AB10D5E7261}" name="CHINNI EXPENSES" totalsRowLabel="Subtotal"/>
    <tableColumn id="2" xr3:uid="{6916D19F-63AC-445B-956A-504386DE77B1}" name="Projected Cost" totalsRowFunction="sum" dataDxfId="238" totalsRowDxfId="237"/>
    <tableColumn id="3" xr3:uid="{22BA7225-A3BA-4907-B78D-E32A4F83B4E4}" name="Actual Cost" totalsRowFunction="sum" dataDxfId="236" totalsRowDxfId="235"/>
    <tableColumn id="4" xr3:uid="{E4CEF923-1D5D-4970-8F2B-B5C2DD071FF8}" name="Difference" totalsRowFunction="sum" dataDxfId="234" totalsRowDxfId="233">
      <calculatedColumnFormula>Legal354759[[#This Row],[Projected Cost]]-Legal354759[[#This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848DE13-EB78-49F7-BBF3-4BA962514643}" name="PersonalCare36486072848597109" displayName="PersonalCare36486072848597109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7B7F35AB-22B1-4987-A389-E44AA1C6A9B2}" name="PERSONAL CARE" totalsRowLabel="Subtotal" totalsRowDxfId="847"/>
    <tableColumn id="2" xr3:uid="{6F8485D0-75F0-45B2-8E13-A446981BC587}" name="z" totalsRowDxfId="846"/>
    <tableColumn id="3" xr3:uid="{942E846B-494D-4DD9-BB6B-90F4F7935C21}" name="Actual Cost" totalsRowDxfId="845"/>
    <tableColumn id="4" xr3:uid="{A52751A3-55D5-4DA8-A2B5-7DE86F8E1DBC}" name="Difference" totalsRowFunction="sum" totalsRowDxfId="844">
      <calculatedColumnFormula>PersonalCare36486072848597109[[#This Row],[z]]-PersonalCare36486072848597109[[#This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45C3D42-5587-4E1C-8451-D54E1C1BEDF3}" name="PersonalCare364860" displayName="PersonalCare364860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9829185B-DFC2-4561-8049-43544EC6CD81}" name="PERSONAL CARE" totalsRowLabel="Subtotal" totalsRowDxfId="232"/>
    <tableColumn id="2" xr3:uid="{624E31C3-5019-4B3D-8F48-F4A210B25D34}" name="z" totalsRowDxfId="231"/>
    <tableColumn id="3" xr3:uid="{3018986F-CBB1-4D57-98E3-2E3DD1ACA264}" name="Actual Cost" totalsRowDxfId="230"/>
    <tableColumn id="4" xr3:uid="{E9272944-0FF2-4FE7-A608-E63E6618050A}" name="Difference" totalsRowFunction="sum" totalsRowDxfId="229">
      <calculatedColumnFormula>PersonalCare364860[[#This Row],[z]]-PersonalCare364860[[#This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CF98525-057A-49E2-AE78-8879A5A04BA5}" name="Housing2537" displayName="Housing2537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73926651-4977-4F72-A9E7-1945AB4CEED9}" name="HOUSING" totalsRowLabel="Subtotal" totalsRowDxfId="226"/>
    <tableColumn id="2" xr3:uid="{DA15B9E5-FD67-4A0F-B1E6-E553FA86939F}" name="Projected Cost" totalsRowFunction="sum" totalsRowDxfId="225"/>
    <tableColumn id="3" xr3:uid="{DBF5AC0D-3B4A-4D09-A9C5-C352D96C9127}" name="Actual Cost" totalsRowFunction="sum" totalsRowDxfId="224"/>
    <tableColumn id="4" xr3:uid="{94E1C3B4-86A7-48D4-88F9-8E39578D3CDB}" name="Difference" totalsRowFunction="sum" totalsRowDxfId="223">
      <calculatedColumnFormula>Housing2537[[#This Row],[Projected Cost]]-Housing2537[[#This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AAF5FE2-0F13-4B0E-8CB6-C05F60995E98}" name="Entertainment2638" displayName="Entertainment2638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31A325B6-CD84-4DFB-AB6C-B119433C4872}" name="ENTERTAINMENT" totalsRowLabel="Subtotal"/>
    <tableColumn id="2" xr3:uid="{55F4BD36-467A-4740-ADB1-8872DE7FBB94}" name="Projected Cost" dataDxfId="222" totalsRowDxfId="221"/>
    <tableColumn id="3" xr3:uid="{BD392903-53FD-4487-9AFC-7297999DC056}" name="Actual Cost" dataDxfId="220" totalsRowDxfId="219"/>
    <tableColumn id="4" xr3:uid="{EF05FD50-F95D-4827-A1A9-6623F7611B85}" name="Difference" totalsRowFunction="sum" dataDxfId="218" totalsRowDxfId="217">
      <calculatedColumnFormula>Entertainment2638[[#This Row],[Projected Cost]]-Entertainment2638[[#This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C11D567-C684-417E-B87B-9A1874D84C7D}" name="Loans2739" displayName="Loans2739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6CFE3189-C881-44D5-AE55-966C80A4E902}" name="LOANS" totalsRowLabel="Subtotal"/>
    <tableColumn id="2" xr3:uid="{9AF68F0B-527C-402F-8019-F98B6748C6D9}" name="Projected Cost" totalsRowFunction="sum" dataDxfId="216" totalsRowDxfId="215"/>
    <tableColumn id="3" xr3:uid="{1DE12809-AC0E-43DD-B1E4-CFD0F6742057}" name="Actual Cost" totalsRowFunction="sum" dataDxfId="214" totalsRowDxfId="213"/>
    <tableColumn id="4" xr3:uid="{98169E64-63BC-4029-A816-FB17D70AFDE4}" name="Difference" totalsRowFunction="sum" dataDxfId="212" totalsRowDxfId="211">
      <calculatedColumnFormula>Loans2739[[#This Row],[Projected Cost]]-Loans2739[[#This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CFACB01-BC56-4167-BA99-243DCE5831BB}" name="Transportation2840" displayName="Transportation2840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66808204-4FB0-4982-A475-2B9B57AE2B4D}" name="TRANSPORTATION" totalsRowLabel="Subtotal"/>
    <tableColumn id="2" xr3:uid="{8CE495CD-2A91-4EB6-8892-529C6CAB8A5A}" name="Projected Cost" totalsRowFunction="sum" dataDxfId="210" totalsRowDxfId="209"/>
    <tableColumn id="3" xr3:uid="{A1A7404B-8BB4-4B60-B418-6B0980A4BB88}" name="Actual Cost" totalsRowFunction="sum" dataDxfId="208" totalsRowDxfId="207"/>
    <tableColumn id="4" xr3:uid="{8C666E1B-2F94-4CBF-9AD8-A58B7511D9E3}" name="Difference" totalsRowFunction="sum" dataDxfId="206" totalsRowDxfId="205">
      <calculatedColumnFormula>Transportation2840[[#This Row],[Projected Cost]]-Transportation2840[[#This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E84AA0C-6585-4BC8-A13E-5021F71C479E}" name="Insurance2941" displayName="Insurance2941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2F13920-3119-4709-B04A-33556E27D90C}" name="INSURANCE" totalsRowLabel="Subtotal"/>
    <tableColumn id="2" xr3:uid="{5699E1C4-C4F7-4FFD-93B5-EA87AA23D597}" name="Projected Cost" totalsRowFunction="sum" dataDxfId="204" totalsRowDxfId="203"/>
    <tableColumn id="3" xr3:uid="{142E5580-FF9E-4CA1-85C4-591FB20FCF0C}" name="Actual Cost" totalsRowFunction="sum" dataDxfId="202" totalsRowDxfId="201"/>
    <tableColumn id="4" xr3:uid="{B3E3C303-8352-42F7-B0AB-6DA3D570126B}" name="Difference" totalsRowFunction="sum" dataDxfId="200" totalsRowDxfId="199">
      <calculatedColumnFormula>Insurance2941[[#This Row],[Projected Cost]]-Insurance2941[[#This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EC88B08-CF14-42AE-A8F9-93D56293A932}" name="Taxes3042" displayName="Taxes3042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1C13F876-31D4-4272-A610-B6D4A8CE1238}" name="TAXES" totalsRowLabel="Subtotal"/>
    <tableColumn id="2" xr3:uid="{79D16382-BBC3-4BB7-8861-A0898867EFF9}" name="Projected Cost" dataDxfId="198" totalsRowDxfId="197"/>
    <tableColumn id="3" xr3:uid="{F5345CB5-4466-4D28-88ED-EA803E5D7D89}" name="Actual Cost" dataDxfId="196" totalsRowDxfId="195"/>
    <tableColumn id="4" xr3:uid="{399ADC5A-D13B-42E1-A34B-83E502910868}" name="Difference" totalsRowFunction="sum" dataDxfId="194" totalsRowDxfId="193">
      <calculatedColumnFormula>Taxes3042[[#This Row],[Projected Cost]]-Taxes3042[[#This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B95A821-2BC0-4AD5-8BBD-0E4443B6E35F}" name="Savings3143" displayName="Savings3143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AE0F11EE-A19A-4B4E-B46B-A08CA23C50DD}" name="SAVINGS OR INVESTMENTS" totalsRowLabel="Subtotal"/>
    <tableColumn id="2" xr3:uid="{90DC4176-7BE8-4467-A7EF-6322D757F4F6}" name="Projected Cost" totalsRowFunction="sum" dataDxfId="192" totalsRowDxfId="191"/>
    <tableColumn id="3" xr3:uid="{F84A3BDB-ACE8-4395-A3E0-66FFD1DF4597}" name="Actual Cost" totalsRowFunction="sum" dataDxfId="190" totalsRowDxfId="189"/>
    <tableColumn id="4" xr3:uid="{46CF78E4-CBA5-468C-9D98-75798E6ADFC6}" name="Difference" totalsRowFunction="sum" dataDxfId="188" totalsRowDxfId="187">
      <calculatedColumnFormula>Savings3143[[#This Row],[Projected Cost]]-Savings3143[[#This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DF3092F-49D8-4BE2-972C-64CD7F8FE73A}" name="Food3244" displayName="Food3244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6D9E513E-9CDC-4F5F-995E-D91E1750515E}" name="FOOD" totalsRowLabel="Subtotal"/>
    <tableColumn id="2" xr3:uid="{398E1FED-9C24-41A1-8B52-FA9B7A55020D}" name="Projected Cost" totalsRowFunction="sum" dataDxfId="186" totalsRowDxfId="185"/>
    <tableColumn id="3" xr3:uid="{F338D4DA-4DE1-4704-A273-2968ABFB93BB}" name="Actual Cost" totalsRowFunction="sum" dataDxfId="184" totalsRowDxfId="183"/>
    <tableColumn id="4" xr3:uid="{2189FDFE-E5A2-462B-A1E5-21CD248E5F04}" name="Difference" totalsRowFunction="sum" dataDxfId="182" totalsRowDxfId="181">
      <calculatedColumnFormula>Food3244[[#This Row],[Projected Cost]]-Food3244[[#This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D46B95-AC90-4017-A88E-F5D9B3F30D41}" name="Gifts3345" displayName="Gifts3345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C3E69BA6-C46E-4591-8B98-3EDE379000EA}" name="GIFTS AND DONATIONS" totalsRowLabel="Subtotal"/>
    <tableColumn id="2" xr3:uid="{BE6857EF-981E-4D38-BCD9-66BFA7121D35}" name="Projected Cost" dataDxfId="180" totalsRowDxfId="179"/>
    <tableColumn id="3" xr3:uid="{9B06CDA7-47F0-4AA3-8D66-6A6C1FB0E330}" name="Actual Cost" dataDxfId="178" totalsRowDxfId="177"/>
    <tableColumn id="4" xr3:uid="{8D46E360-5D97-4D43-9AE9-5FC5C00B0B94}" name="Difference" totalsRowFunction="sum" dataDxfId="176" totalsRowDxfId="175">
      <calculatedColumnFormula>Gifts3345[[#This Row],[Projected Cost]]-Gifts3345[[#This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4BC55197-3B28-47F4-AB73-B2578A9D7097}" name="Housing25374961731486110122134146" displayName="Housing25374961731486110122134146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A5541855-80FF-4AA9-B605-90AFA2D2F9CE}" name="HOUSING" totalsRowLabel="Subtotal" totalsRowDxfId="841"/>
    <tableColumn id="2" xr3:uid="{2959C149-8CF8-4CC3-B58C-FF2803143F40}" name="Projected Cost" totalsRowFunction="sum" totalsRowDxfId="840"/>
    <tableColumn id="3" xr3:uid="{0BD629DC-87D9-4DEB-9EB6-D8AC08F46487}" name="Actual Cost" totalsRowFunction="sum" totalsRowDxfId="839"/>
    <tableColumn id="4" xr3:uid="{9D355AA4-85F3-463D-9834-C5D1444875EC}" name="Difference" totalsRowFunction="sum" totalsRowDxfId="838">
      <calculatedColumnFormula>Housing25374961731486110122134146[[#This Row],[Projected Cost]]-Housing25374961731486110122134146[[#This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84C26C7-9519-4B4C-ACF9-B12981DA60AC}" name="Pets3446" displayName="Pets3446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57F619FA-B6B7-4D3F-B5B7-A8373D29C839}" name="PETS" totalsRowLabel="Subtotal"/>
    <tableColumn id="2" xr3:uid="{51A89945-E68B-4503-AFF8-A5A129449057}" name="Projected Cost" dataDxfId="174" totalsRowDxfId="173"/>
    <tableColumn id="3" xr3:uid="{5876B5EA-A668-47FF-9380-36DAE7D341C1}" name="Actual Cost" dataDxfId="172" totalsRowDxfId="171"/>
    <tableColumn id="4" xr3:uid="{79D220B7-0EDF-4FF3-A38A-32CCFD72DB91}" name="Difference" totalsRowFunction="sum" dataDxfId="170" totalsRowDxfId="169">
      <calculatedColumnFormula>Pets3446[[#This Row],[Projected Cost]]-Pets3446[[#This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B25F653-848C-40C1-9468-96B53E59416E}" name="Legal3547" displayName="Legal3547" ref="G54:K60" totalsRowCount="1" headerRowCellStyle="Normal">
  <autoFilter ref="G54:K59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64AAEF5-68FE-4D85-9BC6-0815367E9942}" name="CHINNI EXPENSES" totalsRowLabel="Subtotal"/>
    <tableColumn id="2" xr3:uid="{675EDFE5-4957-4710-ADEC-58B973418A24}" name="Projected Cost" totalsRowFunction="sum" dataDxfId="168" totalsRowDxfId="167"/>
    <tableColumn id="3" xr3:uid="{AAAEE48F-5BE9-458A-8D68-C88813D57599}" name="Actual Cost" totalsRowFunction="sum" dataDxfId="166" totalsRowDxfId="165"/>
    <tableColumn id="4" xr3:uid="{162FB9B4-D1FE-4D8D-A00D-2174766F25FB}" name="Difference" totalsRowFunction="sum" dataDxfId="164" totalsRowDxfId="163">
      <calculatedColumnFormula>Legal3547[[#This Row],[Projected Cost]]-Legal3547[[#This Row],[Actual Cost]]</calculatedColumnFormula>
    </tableColumn>
    <tableColumn id="5" xr3:uid="{54BE2CAA-F64B-4459-BA5A-CFD225F1F636}" name="Column1" dataDxfId="162"/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43F4842-6934-4646-A550-AABF72DF2A4E}" name="PersonalCare3648" displayName="PersonalCare3648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F9C305C6-5A89-46F4-BEA1-2D5515BB05C2}" name="PERSONAL CARE" totalsRowLabel="Subtotal" totalsRowDxfId="161"/>
    <tableColumn id="2" xr3:uid="{40A00240-29A3-4E6F-BEEB-9BAEFF258862}" name="z" totalsRowDxfId="160"/>
    <tableColumn id="3" xr3:uid="{FC57B0F0-FCBE-49DF-A41F-DCE7C994409A}" name="Actual Cost" totalsRowDxfId="159"/>
    <tableColumn id="4" xr3:uid="{0E3EDFE6-76B3-45A5-ACDA-DF27FDA0EBFC}" name="Difference" totalsRowFunction="sum" totalsRowDxfId="158">
      <calculatedColumnFormula>PersonalCare3648[[#This Row],[z]]-PersonalCare3648[[#This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905655-6D58-44DD-A7A1-FDDDED48AB20}" name="Housing25" displayName="Housing25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759E437C-4FE5-42C3-A000-F0143B08F6E3}" name="HOUSING" totalsRowLabel="Subtotal" totalsRowDxfId="155"/>
    <tableColumn id="2" xr3:uid="{F9134C17-A4E3-4527-B112-DBB9989BC6D0}" name="Projected Cost" totalsRowFunction="sum" totalsRowDxfId="154"/>
    <tableColumn id="3" xr3:uid="{4A320BD3-FFCA-4E7C-B77A-FBF640D6C7CA}" name="Actual Cost" totalsRowFunction="sum" totalsRowDxfId="153"/>
    <tableColumn id="4" xr3:uid="{5371FF91-7EBB-4E33-9A8B-B37F23C905B1}" name="Difference" totalsRowFunction="sum" totalsRowDxfId="152">
      <calculatedColumnFormula>Housing25[[#This Row],[Projected Cost]]-Housing25[[#This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E7AAB33-B7F6-42E5-B9CE-101475724C8A}" name="Entertainment26" displayName="Entertainment26" ref="G12:K22" totalsRowCount="1" headerRowCellStyle="Normal">
  <autoFilter ref="G12:K2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11CEC1D-57EC-439A-A736-8957B75B9606}" name="ENTERTAINMENT" totalsRowLabel="Subtotal"/>
    <tableColumn id="2" xr3:uid="{5F767C0C-1C15-4502-9BF5-DF43455427B7}" name="Projected Cost" dataDxfId="151" totalsRowDxfId="150"/>
    <tableColumn id="3" xr3:uid="{188F3554-D044-4A26-B417-925983591D15}" name="Actual Cost" dataDxfId="149" totalsRowDxfId="148"/>
    <tableColumn id="4" xr3:uid="{51C5AC64-709C-4DA8-B268-68C0A3ABA3FB}" name="Difference" totalsRowFunction="sum" dataDxfId="147" totalsRowDxfId="146">
      <calculatedColumnFormula>Entertainment26[[#This Row],[Projected Cost]]-Entertainment26[[#This Row],[Actual Cost]]</calculatedColumnFormula>
    </tableColumn>
    <tableColumn id="5" xr3:uid="{84C4E995-B6E0-4446-8518-B931EC26F93E}" name="Column1" dataDxfId="145"/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D99AB8-5128-4A50-8A11-BA873904B28B}" name="Loans27" displayName="Loans27" ref="G24:K33" totalsRowCount="1">
  <autoFilter ref="G24:K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8D37832-FCD7-4FD8-8148-AEE1C4D875EE}" name="LOANS" totalsRowLabel="Subtotal"/>
    <tableColumn id="2" xr3:uid="{47F461AF-D657-413C-8B00-688111B381B7}" name="Projected Cost" totalsRowFunction="sum" dataDxfId="144" totalsRowDxfId="143"/>
    <tableColumn id="3" xr3:uid="{84A5E4C3-BD96-4265-A4CA-4855985A42E3}" name="Actual Cost" totalsRowFunction="sum" dataDxfId="142" totalsRowDxfId="141"/>
    <tableColumn id="4" xr3:uid="{1C15BEF6-46F2-4820-AE8C-9D3FFF59324E}" name="Difference" totalsRowFunction="sum" dataDxfId="140" totalsRowDxfId="139">
      <calculatedColumnFormula>Loans27[[#This Row],[Projected Cost]]-Loans27[[#This Row],[Actual Cost]]</calculatedColumnFormula>
    </tableColumn>
    <tableColumn id="5" xr3:uid="{0D675CB0-2810-4B6F-94FF-2E43BE3022EB}" name="Column1" dataDxfId="138">
      <calculatedColumnFormula>(8800-2089)-693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5294193-5A9B-4A6A-B03F-6C7CEB70D444}" name="Transportation28" displayName="Transportation28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94B0C87-A66F-48B1-8E92-2C0E50988547}" name="TRANSPORTATION" totalsRowLabel="Subtotal"/>
    <tableColumn id="2" xr3:uid="{76913A91-FABC-41BF-BA28-D1F5BED35D43}" name="Projected Cost" totalsRowFunction="sum" dataDxfId="137" totalsRowDxfId="136"/>
    <tableColumn id="3" xr3:uid="{0CD3633D-9F0B-4C3E-8858-8EABE7469D14}" name="Actual Cost" totalsRowFunction="sum" dataDxfId="135" totalsRowDxfId="134"/>
    <tableColumn id="4" xr3:uid="{67479898-C128-415E-B933-73CCB648A065}" name="Difference" totalsRowFunction="sum" dataDxfId="133" totalsRowDxfId="132">
      <calculatedColumnFormula>Transportation28[[#This Row],[Projected Cost]]-Transportation28[[#This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03EA276-3421-49A9-A6FC-76DEB8EE5EC8}" name="Insurance29" displayName="Insurance29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94E66A92-DA28-43FA-8213-B625515391AB}" name="INSURANCE" totalsRowLabel="Subtotal"/>
    <tableColumn id="2" xr3:uid="{E18DDD5E-4A9C-45AA-9DE6-57DA740BC343}" name="Projected Cost" dataDxfId="131" totalsRowDxfId="130"/>
    <tableColumn id="3" xr3:uid="{006A9C3A-FD72-4AC0-A72B-21544ECE6207}" name="Actual Cost" dataDxfId="129" totalsRowDxfId="128"/>
    <tableColumn id="4" xr3:uid="{DF80C0D8-182C-4117-874B-FD8B5F0516FA}" name="Difference" totalsRowFunction="sum" dataDxfId="127" totalsRowDxfId="126">
      <calculatedColumnFormula>Insurance29[[#This Row],[Projected Cost]]-Insurance29[[#This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6F672F-3E04-4AA1-A250-9EB3D75E5C3D}" name="Taxes30" displayName="Taxes30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D5AD2ADB-2C9C-480F-82C9-B3ED81724185}" name="TAXES" totalsRowLabel="Subtotal"/>
    <tableColumn id="2" xr3:uid="{093D1561-D126-431D-8480-71409B25E2CE}" name="Projected Cost" dataDxfId="125" totalsRowDxfId="124"/>
    <tableColumn id="3" xr3:uid="{EB3A93C1-4042-4E9A-BC38-6A992703E206}" name="Actual Cost" dataDxfId="123" totalsRowDxfId="122"/>
    <tableColumn id="4" xr3:uid="{1207CC50-AECF-4D71-9805-593FBA220BCD}" name="Difference" totalsRowFunction="sum" dataDxfId="121" totalsRowDxfId="120">
      <calculatedColumnFormula>Taxes30[[#This Row],[Projected Cost]]-Taxes30[[#This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72FEEE8-5C56-42A7-962C-915724D9E48E}" name="Savings31" displayName="Savings31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CB650395-D1C3-443A-9D25-070A300E6632}" name="SAVINGS OR INVESTMENTS" totalsRowLabel="Subtotal"/>
    <tableColumn id="2" xr3:uid="{5F46D4E6-C032-477E-A83B-BA5F54A02EE4}" name="Projected Cost" totalsRowFunction="sum" dataDxfId="119" totalsRowDxfId="118"/>
    <tableColumn id="3" xr3:uid="{7BEDF0AA-6BD4-4314-A742-AC170AB5E8B7}" name="Actual Cost" totalsRowFunction="sum" dataDxfId="117" totalsRowDxfId="116"/>
    <tableColumn id="4" xr3:uid="{4BFE2B52-96B5-4060-87DF-2B5F10F33960}" name="Difference" totalsRowFunction="sum" dataDxfId="115" totalsRowDxfId="114">
      <calculatedColumnFormula>Savings31[[#This Row],[Projected Cost]]-Savings31[[#This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21FD0147-2055-4590-A3FD-9DCD64DBB887}" name="Entertainment26385062741587111123135147" displayName="Entertainment26385062741587111123135147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44BE5414-297D-4385-8059-76FE2DE1DD0E}" name="ENTERTAINMENT" totalsRowLabel="Subtotal"/>
    <tableColumn id="2" xr3:uid="{CAA59ED4-78A3-445E-BF94-3A78C14DB6BA}" name="Projected Cost" dataDxfId="837" totalsRowDxfId="836"/>
    <tableColumn id="3" xr3:uid="{28BC4EB3-4125-455A-AE96-105212937550}" name="Actual Cost" dataDxfId="835" totalsRowDxfId="834"/>
    <tableColumn id="4" xr3:uid="{2A8925E4-8873-434A-9103-7DEC59A1F49F}" name="Difference" totalsRowFunction="sum" dataDxfId="833" totalsRowDxfId="832">
      <calculatedColumnFormula>Entertainment26385062741587111123135147[[#This Row],[Projected Cost]]-Entertainment26385062741587111123135147[[#This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4E48EA-BEE1-45CB-B03A-546014016B92}" name="Food32" displayName="Food32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4B4FE20E-0237-44FA-8FB4-6818D4A89A7A}" name="FOOD" totalsRowLabel="Subtotal"/>
    <tableColumn id="2" xr3:uid="{B6BA0B1F-1397-44BF-A344-9FCA9C1A2235}" name="Projected Cost" totalsRowFunction="sum" dataDxfId="113" totalsRowDxfId="112"/>
    <tableColumn id="3" xr3:uid="{82C60A01-42D7-41BD-B169-8569441CCA06}" name="Actual Cost" totalsRowFunction="sum" dataDxfId="111" totalsRowDxfId="110"/>
    <tableColumn id="4" xr3:uid="{5B322036-EE6D-4DA8-BB99-DE217EAC0535}" name="Difference" totalsRowFunction="sum" dataDxfId="109" totalsRowDxfId="108">
      <calculatedColumnFormula>Food32[[#This Row],[Projected Cost]]-Food32[[#This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522E8C4-389D-4E7E-8DD3-BABF97ECDCEA}" name="Gifts33" displayName="Gifts33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B251D430-1F8F-4256-B80B-867B3FBF1B77}" name="GIFTS AND DONATIONS" totalsRowLabel="Subtotal"/>
    <tableColumn id="2" xr3:uid="{EAC31E86-1D22-468D-B68B-1467BBB24651}" name="Projected Cost" dataDxfId="107" totalsRowDxfId="106"/>
    <tableColumn id="3" xr3:uid="{C4C73015-B4E8-4A50-992D-598F54B60C4E}" name="Actual Cost" dataDxfId="105" totalsRowDxfId="104"/>
    <tableColumn id="4" xr3:uid="{6349D68F-A079-44EF-B7C3-DF008F997211}" name="Difference" totalsRowFunction="sum" dataDxfId="103" totalsRowDxfId="102">
      <calculatedColumnFormula>Gifts33[[#This Row],[Projected Cost]]-Gifts33[[#This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C788430-E386-4407-B09C-775F3C947D38}" name="Pets34" displayName="Pets34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9C3B626D-43EA-4E8A-9697-EE5B53FBE3F0}" name="PETS" totalsRowLabel="Subtotal"/>
    <tableColumn id="2" xr3:uid="{2D34B1F7-6A52-408E-9DED-C39E7A246F74}" name="Projected Cost" dataDxfId="101" totalsRowDxfId="100"/>
    <tableColumn id="3" xr3:uid="{835DC5E2-E2D2-4626-BA77-912D2FEB68B8}" name="Actual Cost" dataDxfId="99" totalsRowDxfId="98"/>
    <tableColumn id="4" xr3:uid="{CFE3DD61-0F6A-4103-BAC6-F002E8CAF4F1}" name="Difference" totalsRowFunction="sum" dataDxfId="97" totalsRowDxfId="96">
      <calculatedColumnFormula>Pets34[[#This Row],[Projected Cost]]-Pets34[[#This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68AE99D-46C4-420E-A8F7-1D51E8BF62B0}" name="Legal35" displayName="Legal35" ref="G54:K61" totalsRowCount="1">
  <autoFilter ref="G54:K60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0CD0F92-1E7B-4141-A118-3E8188C94536}" name="CHINNI EXPENSES" totalsRowLabel="Subtotal"/>
    <tableColumn id="2" xr3:uid="{085D887D-708F-4040-A87F-97CEC372F0B7}" name="Projected Cost" totalsRowFunction="sum" dataDxfId="95" totalsRowDxfId="94"/>
    <tableColumn id="3" xr3:uid="{2D3C1500-33A7-40DC-AE01-458105BA7F1E}" name="Actual Cost" totalsRowFunction="sum" dataDxfId="93" totalsRowDxfId="92"/>
    <tableColumn id="4" xr3:uid="{40E7B8A8-FFAB-4CAD-A9A6-91FE17D466A0}" name="Difference" totalsRowFunction="sum" dataDxfId="91" totalsRowDxfId="90">
      <calculatedColumnFormula>Legal35[[#This Row],[Projected Cost]]-Legal35[[#This Row],[Actual Cost]]</calculatedColumnFormula>
    </tableColumn>
    <tableColumn id="5" xr3:uid="{79A53502-1D70-45B4-8C12-CD950778181B}" name="Column1" dataDxfId="89"/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790A4A2-0DC3-4655-B135-735253C6784C}" name="PersonalCare36" displayName="PersonalCare36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37DEBF87-A3DF-4D57-9D03-038BC5E82D8F}" name="PERSONAL CARE" totalsRowLabel="Subtotal" totalsRowDxfId="88"/>
    <tableColumn id="2" xr3:uid="{D5A2F6A0-D653-45A9-9618-0CDAD2A67221}" name="z" totalsRowDxfId="87"/>
    <tableColumn id="3" xr3:uid="{ECA1C311-60BE-4324-BBA5-C81AB9E39EB4}" name="Actual Cost" totalsRowDxfId="86"/>
    <tableColumn id="4" xr3:uid="{71971A22-87D5-4774-9EB0-F7C9EA323053}" name="Difference" totalsRowFunction="sum" totalsRowDxfId="85">
      <calculatedColumnFormula>PersonalCare36[[#This Row],[z]]-PersonalCare36[[#This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totalsRowDxfId="82"/>
    <tableColumn id="2" xr3:uid="{00000000-0010-0000-0000-000002000000}" name="Projected Cost" totalsRowFunction="sum" totalsRowDxfId="81"/>
    <tableColumn id="3" xr3:uid="{00000000-0010-0000-0000-000003000000}" name="Actual Cost" totalsRowFunction="sum" totalsRowDxfId="80"/>
    <tableColumn id="4" xr3:uid="{00000000-0010-0000-0000-000004000000}" name="Difference" totalsRowFunction="sum" totalsRowDxfId="79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/>
    <tableColumn id="2" xr3:uid="{00000000-0010-0000-0100-000002000000}" name="Projected Cost" dataDxfId="78" totalsRowDxfId="77"/>
    <tableColumn id="3" xr3:uid="{00000000-0010-0000-0100-000003000000}" name="Actual Cost" dataDxfId="76" totalsRowDxfId="75"/>
    <tableColumn id="4" xr3:uid="{00000000-0010-0000-0100-000004000000}" name="Difference" totalsRowFunction="sum" dataDxfId="74" totalsRowDxfId="73">
      <calculatedColumnFormula>Entertainment[[#This Row],[Projected Cost]]-Entertainment[[#This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/>
    <tableColumn id="2" xr3:uid="{00000000-0010-0000-0200-000002000000}" name="Projected Cost" totalsRowFunction="sum" dataDxfId="72" totalsRowDxfId="71"/>
    <tableColumn id="3" xr3:uid="{00000000-0010-0000-0200-000003000000}" name="Actual Cost" dataDxfId="70" totalsRowDxfId="69"/>
    <tableColumn id="4" xr3:uid="{00000000-0010-0000-0200-000004000000}" name="Difference" totalsRowFunction="sum" dataDxfId="68" totalsRowDxfId="67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/>
    <tableColumn id="2" xr3:uid="{00000000-0010-0000-0300-000002000000}" name="Projected Cost" totalsRowFunction="sum" dataDxfId="66" totalsRowDxfId="65"/>
    <tableColumn id="3" xr3:uid="{00000000-0010-0000-0300-000003000000}" name="Actual Cost" totalsRowFunction="sum" dataDxfId="64" totalsRowDxfId="63"/>
    <tableColumn id="4" xr3:uid="{00000000-0010-0000-0300-000004000000}" name="Difference" totalsRowFunction="sum" dataDxfId="62" totalsRowDxfId="61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/>
    <tableColumn id="2" xr3:uid="{00000000-0010-0000-0400-000002000000}" name="Projected Cost" dataDxfId="60" totalsRowDxfId="59"/>
    <tableColumn id="3" xr3:uid="{00000000-0010-0000-0400-000003000000}" name="Actual Cost" dataDxfId="58" totalsRowDxfId="57"/>
    <tableColumn id="4" xr3:uid="{00000000-0010-0000-0400-000004000000}" name="Difference" totalsRowFunction="sum" dataDxfId="56" totalsRowDxfId="55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9BAC280E-55BA-4E45-8558-349D3DACE8E9}" name="Loans27395163751688112124136148" displayName="Loans27395163751688112124136148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5BA058E2-E5CD-43FB-9130-F040917178E1}" name="LOANS" totalsRowLabel="Subtotal"/>
    <tableColumn id="2" xr3:uid="{47F62E80-72B2-446A-855D-0DD12142A6D6}" name="Projected Cost" totalsRowFunction="sum" dataDxfId="831" totalsRowDxfId="830"/>
    <tableColumn id="3" xr3:uid="{32C2C8B8-B88A-4025-9461-8C03196AFDDB}" name="Actual Cost" totalsRowFunction="sum" dataDxfId="829" totalsRowDxfId="828"/>
    <tableColumn id="4" xr3:uid="{29A71271-636B-4CE7-B318-BF64B96026A7}" name="Difference" totalsRowFunction="sum" dataDxfId="827" totalsRowDxfId="826">
      <calculatedColumnFormula>Loans27395163751688112124136148[[#This Row],[Projected Cost]]-Loans27395163751688112124136148[[#This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/>
    <tableColumn id="2" xr3:uid="{00000000-0010-0000-0500-000002000000}" name="Projected Cost" dataDxfId="54" totalsRowDxfId="53"/>
    <tableColumn id="3" xr3:uid="{00000000-0010-0000-0500-000003000000}" name="Actual Cost" dataDxfId="52" totalsRowDxfId="51"/>
    <tableColumn id="4" xr3:uid="{00000000-0010-0000-0500-000004000000}" name="Difference" totalsRowFunction="sum" dataDxfId="50" totalsRowDxfId="49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/>
    <tableColumn id="2" xr3:uid="{00000000-0010-0000-0600-000002000000}" name="Projected Cost" totalsRowFunction="sum" dataDxfId="48" totalsRowDxfId="47"/>
    <tableColumn id="3" xr3:uid="{00000000-0010-0000-0600-000003000000}" name="Actual Cost" totalsRowFunction="sum" dataDxfId="46" totalsRowDxfId="45"/>
    <tableColumn id="4" xr3:uid="{00000000-0010-0000-0600-000004000000}" name="Difference" totalsRowFunction="sum" dataDxfId="44" totalsRowDxfId="43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/>
    <tableColumn id="2" xr3:uid="{00000000-0010-0000-0700-000002000000}" name="Projected Cost" totalsRowFunction="sum" dataDxfId="42" totalsRowDxfId="41"/>
    <tableColumn id="3" xr3:uid="{00000000-0010-0000-0700-000003000000}" name="Actual Cost" totalsRowFunction="sum" dataDxfId="40" totalsRowDxfId="39"/>
    <tableColumn id="4" xr3:uid="{00000000-0010-0000-0700-000004000000}" name="Difference" totalsRowFunction="sum" dataDxfId="38" totalsRowDxfId="37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/>
    <tableColumn id="2" xr3:uid="{00000000-0010-0000-0800-000002000000}" name="Projected Cost" dataDxfId="36" totalsRowDxfId="35"/>
    <tableColumn id="3" xr3:uid="{00000000-0010-0000-0800-000003000000}" name="Actual Cost" dataDxfId="34" totalsRowDxfId="33"/>
    <tableColumn id="4" xr3:uid="{00000000-0010-0000-0800-000004000000}" name="Difference" totalsRowFunction="sum" dataDxfId="32" totalsRowDxfId="31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/>
    <tableColumn id="2" xr3:uid="{00000000-0010-0000-0900-000002000000}" name="Projected Cost" dataDxfId="30" totalsRowDxfId="29"/>
    <tableColumn id="3" xr3:uid="{00000000-0010-0000-0900-000003000000}" name="Actual Cost" dataDxfId="28" totalsRowDxfId="27"/>
    <tableColumn id="4" xr3:uid="{00000000-0010-0000-0900-000004000000}" name="Difference" totalsRowFunction="sum" dataDxfId="26" totalsRowDxfId="25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HINNI EXPENSES" totalsRowLabel="Subtotal"/>
    <tableColumn id="2" xr3:uid="{00000000-0010-0000-0A00-000002000000}" name="Projected Cost" totalsRowFunction="sum" dataDxfId="24" totalsRowDxfId="23"/>
    <tableColumn id="3" xr3:uid="{00000000-0010-0000-0A00-000003000000}" name="Actual Cost" totalsRowFunction="sum" dataDxfId="22" totalsRowDxfId="21"/>
    <tableColumn id="4" xr3:uid="{00000000-0010-0000-0A00-000004000000}" name="Difference" totalsRowFunction="sum" dataDxfId="20" totalsRowDxfId="19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 totalsRowDxfId="18"/>
    <tableColumn id="2" xr3:uid="{00000000-0010-0000-0B00-000002000000}" name="z" totalsRowDxfId="17"/>
    <tableColumn id="3" xr3:uid="{00000000-0010-0000-0B00-000003000000}" name="Actual Cost" totalsRowDxfId="16"/>
    <tableColumn id="4" xr3:uid="{00000000-0010-0000-0B00-000004000000}" name="Difference" totalsRowFunction="sum" totalsRowDxfId="15">
      <calculatedColumnFormula>PersonalCare[[#This Row],[z]]-PersonalCare[[#This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EE41982B-88B6-4432-93B7-38207483429C}" name="Transportation28405264761789113125137149" displayName="Transportation28405264761789113125137149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1F0BA1E4-3DF7-4CA3-871C-32C4B568FA89}" name="TRANSPORTATION" totalsRowLabel="Subtotal"/>
    <tableColumn id="2" xr3:uid="{2F9F2C3B-D452-411A-B6C1-E780F4074E54}" name="Projected Cost" totalsRowFunction="sum" dataDxfId="825" totalsRowDxfId="824"/>
    <tableColumn id="3" xr3:uid="{F6AB70BC-A9D6-4E75-A4DB-59D717976BD9}" name="Actual Cost" totalsRowFunction="sum" dataDxfId="823" totalsRowDxfId="822"/>
    <tableColumn id="4" xr3:uid="{990DC5AE-CCA8-4888-93DB-FA4AB60FAEF0}" name="Difference" totalsRowFunction="sum" dataDxfId="821" totalsRowDxfId="820">
      <calculatedColumnFormula>Transportation28405264761789113125137149[[#This Row],[Projected Cost]]-Transportation28405264761789113125137149[[#This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B3DC7215-BBCC-4600-B5A5-A3F3A3C3D72D}" name="Insurance29415365771890114126138150" displayName="Insurance29415365771890114126138150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94400ACE-9BD5-447B-BD67-0C78EA899C81}" name="INSURANCE" totalsRowLabel="Subtotal"/>
    <tableColumn id="2" xr3:uid="{C70C1272-1B92-4A89-B3C5-60CD4C3F54F9}" name="Projected Cost" dataDxfId="819" totalsRowDxfId="818"/>
    <tableColumn id="3" xr3:uid="{E4A4B950-D3AA-482A-B6D9-A882979FB45B}" name="Actual Cost" dataDxfId="817" totalsRowDxfId="816"/>
    <tableColumn id="4" xr3:uid="{F8A8A8D1-58B9-4F1D-9E3E-C0183B881F99}" name="Difference" totalsRowFunction="sum" dataDxfId="815" totalsRowDxfId="814">
      <calculatedColumnFormula>Insurance29415365771890114126138150[[#This Row],[Projected Cost]]-Insurance29415365771890114126138150[[#This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C9710100-C357-44E3-8697-BAC9FA30C3DF}" name="Taxes30425466781991115127139151" displayName="Taxes30425466781991115127139151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57AD387-6BDB-4005-9BF4-AD3DE5AFAA9A}" name="TAXES" totalsRowLabel="Subtotal"/>
    <tableColumn id="2" xr3:uid="{4F3DE7E0-9BDE-4500-AD69-597C6E18B95C}" name="Projected Cost" dataDxfId="813" totalsRowDxfId="812"/>
    <tableColumn id="3" xr3:uid="{EFB3BEAF-7D64-4D69-9BB1-345E930F20C9}" name="Actual Cost" dataDxfId="811" totalsRowDxfId="810"/>
    <tableColumn id="4" xr3:uid="{BB0C796E-0B19-4AB3-A18E-C555A7E0D1FD}" name="Difference" totalsRowFunction="sum" dataDxfId="809" totalsRowDxfId="808">
      <calculatedColumnFormula>Taxes30425466781991115127139151[[#This Row],[Projected Cost]]-Taxes30425466781991115127139151[[#This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6DF22E66-DB57-46C4-B8EA-BA5AD056808E}" name="Savings31435567792092116128140152" displayName="Savings31435567792092116128140152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5974DCAB-C074-4C5B-8D17-56696EAF45DF}" name="SAVINGS OR INVESTMENTS" totalsRowLabel="Subtotal"/>
    <tableColumn id="2" xr3:uid="{72144CF1-A0C5-470A-AE96-7AF3EC6960E8}" name="Projected Cost" totalsRowFunction="sum" dataDxfId="807" totalsRowDxfId="806"/>
    <tableColumn id="3" xr3:uid="{8FC32225-8938-44AE-93A4-71A56C155EC3}" name="Actual Cost" totalsRowFunction="sum" dataDxfId="805" totalsRowDxfId="804"/>
    <tableColumn id="4" xr3:uid="{C372D65E-457E-4A8E-9A73-0F87204702F2}" name="Difference" totalsRowFunction="sum" dataDxfId="803" totalsRowDxfId="802">
      <calculatedColumnFormula>Savings31435567792092116128140152[[#This Row],[Projected Cost]]-Savings31435567792092116128140152[[#This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3C21A144-83C5-4D0A-99A7-E51E7281A7B0}" name="Entertainment2638506274158799" displayName="Entertainment2638506274158799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4FD6EF0B-AD66-4FE2-8E79-0CADDCD0E58D}" name="ENTERTAINMENT" totalsRowLabel="Subtotal"/>
    <tableColumn id="2" xr3:uid="{1BE53EAC-78BC-4970-8DA1-D426F1098FDC}" name="Projected Cost" dataDxfId="907" totalsRowDxfId="906"/>
    <tableColumn id="3" xr3:uid="{33FCFDB8-0CDB-48C3-875F-F70BC6DB30E7}" name="Actual Cost" dataDxfId="905" totalsRowDxfId="904"/>
    <tableColumn id="4" xr3:uid="{C11A5232-FD00-4C8A-A0AC-992D34DA4C34}" name="Difference" totalsRowFunction="sum" dataDxfId="903" totalsRowDxfId="902">
      <calculatedColumnFormula>Entertainment2638506274158799[[#This Row],[Projected Cost]]-Entertainment2638506274158799[[#This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BE08AF2A-4546-4CF0-B642-F2BAF2E98168}" name="Food32445668802193117129141153" displayName="Food32445668802193117129141153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63DE817F-2554-4B47-A330-0F347401D92C}" name="FOOD" totalsRowLabel="Subtotal"/>
    <tableColumn id="2" xr3:uid="{3A3F1D56-1FCA-4565-8644-71445B692D44}" name="Projected Cost" totalsRowFunction="sum" dataDxfId="801" totalsRowDxfId="800"/>
    <tableColumn id="3" xr3:uid="{34BBD126-A722-413A-923A-55784C71056C}" name="Actual Cost" totalsRowFunction="sum" dataDxfId="799" totalsRowDxfId="798"/>
    <tableColumn id="4" xr3:uid="{61C33FAE-2860-4A81-923A-6EA876CF9034}" name="Difference" totalsRowFunction="sum" dataDxfId="797" totalsRowDxfId="796">
      <calculatedColumnFormula>Food32445668802193117129141153[[#This Row],[Projected Cost]]-Food32445668802193117129141153[[#This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562A489C-D511-4540-AB6E-081CD250520C}" name="Gifts33455769812294118130142154" displayName="Gifts33455769812294118130142154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74F3B27B-331B-405E-AA67-0C7F28BAFCEC}" name="GIFTS AND DONATIONS" totalsRowLabel="Subtotal"/>
    <tableColumn id="2" xr3:uid="{7CDFF8FA-0CC8-4474-8479-A2A87269BA42}" name="Projected Cost" dataDxfId="795" totalsRowDxfId="794"/>
    <tableColumn id="3" xr3:uid="{2DA0AA88-1E0A-47F7-ABE7-08A5F63EF9DA}" name="Actual Cost" dataDxfId="793" totalsRowDxfId="792"/>
    <tableColumn id="4" xr3:uid="{1CC0ECC5-5E61-4714-97DE-F4BA6D22FC0B}" name="Difference" totalsRowFunction="sum" dataDxfId="791" totalsRowDxfId="790">
      <calculatedColumnFormula>Gifts33455769812294118130142154[[#This Row],[Projected Cost]]-Gifts33455769812294118130142154[[#This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3569442D-9C14-4B39-A492-187AE89E3670}" name="Pets34465870822395119131143155" displayName="Pets34465870822395119131143155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F21AE25D-9001-48DB-BFCA-28D9422F1870}" name="PETS" totalsRowLabel="Subtotal"/>
    <tableColumn id="2" xr3:uid="{892D19B9-4667-4E76-A62D-1F7FF108E338}" name="Projected Cost" dataDxfId="789" totalsRowDxfId="788"/>
    <tableColumn id="3" xr3:uid="{9F659B74-B985-4258-BD51-BC77565B2A57}" name="Actual Cost" dataDxfId="787" totalsRowDxfId="786"/>
    <tableColumn id="4" xr3:uid="{36C0C109-9125-4141-A09A-277D76C1E156}" name="Difference" totalsRowFunction="sum" dataDxfId="785" totalsRowDxfId="784">
      <calculatedColumnFormula>Pets34465870822395119131143155[[#This Row],[Projected Cost]]-Pets34465870822395119131143155[[#This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DB4F5CEB-423C-482E-8AAE-F3D8860A5407}" name="Legal35475971832496120132144156" displayName="Legal35475971832496120132144156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F52D877E-515C-42F9-BA02-EDA878C93187}" name="CHINNI EXPENSES" totalsRowLabel="Subtotal"/>
    <tableColumn id="2" xr3:uid="{B4B149CB-A0E8-4DBE-9F52-0F8E3DA373AC}" name="Projected Cost" totalsRowFunction="sum" dataDxfId="783" totalsRowDxfId="2"/>
    <tableColumn id="3" xr3:uid="{336FDAEE-0A67-43D8-90DA-2D9B60C4E947}" name="Actual Cost" totalsRowFunction="sum" dataDxfId="782" totalsRowDxfId="1"/>
    <tableColumn id="4" xr3:uid="{E053E534-E608-4339-87A2-1ECF89C26870}" name="Difference" totalsRowFunction="sum" dataDxfId="781" totalsRowDxfId="0">
      <calculatedColumnFormula>Legal35475971832496120132144156[[#This Row],[Projected Cost]]-Legal35475971832496120132144156[[#This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D27D3875-0BEC-4AB0-A0AD-4415402BD975}" name="PersonalCare36486072848597121133145157" displayName="PersonalCare36486072848597121133145157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3CC5406A-A35C-4A6E-90FB-9A93F831C0C7}" name="PERSONAL CARE" totalsRowLabel="Subtotal" totalsRowDxfId="780"/>
    <tableColumn id="2" xr3:uid="{30125685-D198-4E57-B74E-096D8B5C5DF3}" name="z" totalsRowDxfId="779"/>
    <tableColumn id="3" xr3:uid="{AC957D64-8624-44BB-99B3-70925616936B}" name="Actual Cost" totalsRowDxfId="778"/>
    <tableColumn id="4" xr3:uid="{FCAA1645-B20A-4F14-8D28-6F0B39A9D24C}" name="Difference" totalsRowFunction="sum" totalsRowDxfId="777">
      <calculatedColumnFormula>PersonalCare36486072848597121133145157[[#This Row],[z]]-PersonalCare36486072848597121133145157[[#This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B937FB5F-174C-428E-A2CF-770CD66B217C}" name="Housing25374961731486110122134" displayName="Housing25374961731486110122134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BDDD040C-CDD6-4B9B-9521-23EA09884AC1}" name="HOUSING" totalsRowLabel="Subtotal" totalsRowDxfId="774"/>
    <tableColumn id="2" xr3:uid="{52C7EA6B-D237-4E7B-A5D0-B01CC9EAD8BE}" name="Projected Cost" totalsRowFunction="sum" totalsRowDxfId="773"/>
    <tableColumn id="3" xr3:uid="{5C3C682C-8475-4AB5-ACA3-70F4DC9B0F60}" name="Actual Cost" totalsRowFunction="sum" totalsRowDxfId="772"/>
    <tableColumn id="4" xr3:uid="{90997351-EB0F-4494-B3D0-3C4DFA1C7332}" name="Difference" totalsRowFunction="sum" totalsRowDxfId="771">
      <calculatedColumnFormula>Housing25374961731486110122134[[#This Row],[Projected Cost]]-Housing25374961731486110122134[[#This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F1E0CD9B-F95E-491F-9028-A5645A5E7C38}" name="Entertainment26385062741587111123135" displayName="Entertainment26385062741587111123135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69952788-96AD-412C-87C0-E36DE8BAA5CD}" name="ENTERTAINMENT" totalsRowLabel="Subtotal"/>
    <tableColumn id="2" xr3:uid="{6170ED27-4816-43B0-958A-DE461D456BBF}" name="Projected Cost" dataDxfId="770" totalsRowDxfId="769"/>
    <tableColumn id="3" xr3:uid="{864596CD-39D6-4212-B7FE-13DD289942AD}" name="Actual Cost" dataDxfId="768" totalsRowDxfId="767"/>
    <tableColumn id="4" xr3:uid="{0E78D1D4-A8DF-45E9-81AB-7692DAF4EC52}" name="Difference" totalsRowFunction="sum" dataDxfId="766" totalsRowDxfId="765">
      <calculatedColumnFormula>Entertainment26385062741587111123135[[#This Row],[Projected Cost]]-Entertainment26385062741587111123135[[#This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F8C989FD-D23A-482F-B126-EC31BF6D4A2A}" name="Loans27395163751688112124136" displayName="Loans27395163751688112124136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21BC8C00-A02C-4A37-AE92-B9FC43260A9B}" name="LOANS" totalsRowLabel="Subtotal"/>
    <tableColumn id="2" xr3:uid="{72E37191-0B80-42EB-BEF6-C38A478422AA}" name="Projected Cost" totalsRowFunction="sum" dataDxfId="764" totalsRowDxfId="763"/>
    <tableColumn id="3" xr3:uid="{F80A10E6-01B3-4F4D-8F3D-7C3DA9F4C8A9}" name="Actual Cost" totalsRowFunction="sum" dataDxfId="762" totalsRowDxfId="761"/>
    <tableColumn id="4" xr3:uid="{2D40B25D-5089-4A67-B2DA-F46773CAB41B}" name="Difference" totalsRowFunction="sum" dataDxfId="760" totalsRowDxfId="759">
      <calculatedColumnFormula>Loans27395163751688112124136[[#This Row],[Projected Cost]]-Loans27395163751688112124136[[#This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B3E10720-1A43-49D4-9485-02EF37D189CC}" name="Transportation28405264761789113125137" displayName="Transportation28405264761789113125137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F7BFDCD0-CC53-49D0-AC5E-375381B6C293}" name="TRANSPORTATION" totalsRowLabel="Subtotal"/>
    <tableColumn id="2" xr3:uid="{FD1D5E2C-8756-4DC4-9998-FE8B673EB00C}" name="Projected Cost" totalsRowFunction="sum" dataDxfId="758" totalsRowDxfId="757"/>
    <tableColumn id="3" xr3:uid="{6715D44B-4ACC-450A-9864-F8F64B7054EE}" name="Actual Cost" totalsRowFunction="sum" dataDxfId="756" totalsRowDxfId="755"/>
    <tableColumn id="4" xr3:uid="{B9939913-572A-44EB-9F48-E9FA006ED9BD}" name="Difference" totalsRowFunction="sum" dataDxfId="754" totalsRowDxfId="753">
      <calculatedColumnFormula>Transportation28405264761789113125137[[#This Row],[Projected Cost]]-Transportation28405264761789113125137[[#This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F0D1C5DD-AFE8-49D5-B82A-B5FB24979DD4}" name="Insurance29415365771890114126138" displayName="Insurance29415365771890114126138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7B278873-0DC7-43AC-B44D-8E7A7F9FD7BA}" name="INSURANCE" totalsRowLabel="Subtotal"/>
    <tableColumn id="2" xr3:uid="{8180A9F9-0F7F-43E0-A56E-69CDB15FD819}" name="Projected Cost" dataDxfId="752" totalsRowDxfId="751"/>
    <tableColumn id="3" xr3:uid="{3A8AA4E6-F1E0-448A-8233-20AA911FFEE4}" name="Actual Cost" dataDxfId="750" totalsRowDxfId="749"/>
    <tableColumn id="4" xr3:uid="{66E420CD-A2AE-456B-B079-C32429DCDF90}" name="Difference" totalsRowFunction="sum" dataDxfId="748" totalsRowDxfId="747">
      <calculatedColumnFormula>Insurance29415365771890114126138[[#This Row],[Projected Cost]]-Insurance29415365771890114126138[[#This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443BA83A-2A5E-4088-A208-1CBA011FCA3C}" name="Loans27395163751688100" displayName="Loans27395163751688100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53637D8E-44B5-487B-8316-1B42B2E991AB}" name="LOANS" totalsRowLabel="Subtotal"/>
    <tableColumn id="2" xr3:uid="{31EC1FD8-8A0F-494A-8FB5-C5C9875D7D35}" name="Projected Cost" totalsRowFunction="sum" dataDxfId="901" totalsRowDxfId="900"/>
    <tableColumn id="3" xr3:uid="{0AF61337-43E9-4E0D-BF34-95326EE0202F}" name="Actual Cost" totalsRowFunction="sum" dataDxfId="899" totalsRowDxfId="898"/>
    <tableColumn id="4" xr3:uid="{1BC82E8B-5938-4B67-ACBD-69DB8EA5B45F}" name="Difference" totalsRowFunction="sum" dataDxfId="897" totalsRowDxfId="896">
      <calculatedColumnFormula>Loans27395163751688100[[#This Row],[Projected Cost]]-Loans27395163751688100[[#This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6D50FA01-41D9-4C57-8FE9-69C8738B36E4}" name="Taxes30425466781991115127139" displayName="Taxes30425466781991115127139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4AC3B8A0-03D8-450A-8390-C8AA4228C07C}" name="TAXES" totalsRowLabel="Subtotal"/>
    <tableColumn id="2" xr3:uid="{3CEE7402-1C6F-4E31-9D23-E0ED17B433C8}" name="Projected Cost" dataDxfId="746" totalsRowDxfId="745"/>
    <tableColumn id="3" xr3:uid="{3BFEF291-03EC-4F94-90A7-FA6E33FE2B57}" name="Actual Cost" dataDxfId="744" totalsRowDxfId="743"/>
    <tableColumn id="4" xr3:uid="{69281F84-5FE9-48DA-8635-B11AB2F53EF4}" name="Difference" totalsRowFunction="sum" dataDxfId="742" totalsRowDxfId="741">
      <calculatedColumnFormula>Taxes30425466781991115127139[[#This Row],[Projected Cost]]-Taxes30425466781991115127139[[#This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52F4993-C9A5-488A-AC4D-AEADD63A0B94}" name="Savings31435567792092116128140" displayName="Savings31435567792092116128140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4EE05B84-1C45-4CE4-8E84-15DD3CB31E0E}" name="SAVINGS OR INVESTMENTS" totalsRowLabel="Subtotal"/>
    <tableColumn id="2" xr3:uid="{324C0C43-FA35-455A-B7B0-36B8137FAA4B}" name="Projected Cost" totalsRowFunction="sum" dataDxfId="740" totalsRowDxfId="739"/>
    <tableColumn id="3" xr3:uid="{48BD2C88-94B5-41C8-9992-6A192724271E}" name="Actual Cost" totalsRowFunction="sum" dataDxfId="738" totalsRowDxfId="737"/>
    <tableColumn id="4" xr3:uid="{838B794B-2E87-4B21-9B1D-54E9E770F883}" name="Difference" totalsRowFunction="sum" dataDxfId="736" totalsRowDxfId="735">
      <calculatedColumnFormula>Savings31435567792092116128140[[#This Row],[Projected Cost]]-Savings31435567792092116128140[[#This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B4AED983-C3FF-404A-A3F8-0BEDC0D310C2}" name="Food32445668802193117129141" displayName="Food32445668802193117129141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6729C47B-77CD-443F-ACD3-7938D80630E8}" name="FOOD" totalsRowLabel="Subtotal"/>
    <tableColumn id="2" xr3:uid="{DC42157B-548C-4834-919F-8CA372B86E7A}" name="Projected Cost" totalsRowFunction="sum" dataDxfId="734" totalsRowDxfId="733"/>
    <tableColumn id="3" xr3:uid="{66314B31-67B7-418B-9811-515682DEA878}" name="Actual Cost" totalsRowFunction="sum" dataDxfId="732" totalsRowDxfId="731"/>
    <tableColumn id="4" xr3:uid="{CB9CA8DB-FB71-4EB8-A369-D8918BE3E1FF}" name="Difference" totalsRowFunction="sum" dataDxfId="730" totalsRowDxfId="729">
      <calculatedColumnFormula>Food32445668802193117129141[[#This Row],[Projected Cost]]-Food32445668802193117129141[[#This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CDC82F62-F4EE-4DB1-AFE8-22F04CB52168}" name="Gifts33455769812294118130142" displayName="Gifts33455769812294118130142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41C4317F-DA12-421E-AD55-2C6B2962E4E9}" name="GIFTS AND DONATIONS" totalsRowLabel="Subtotal"/>
    <tableColumn id="2" xr3:uid="{D4DD3C04-5185-42CC-A1C5-13DF84F882B2}" name="Projected Cost" dataDxfId="728" totalsRowDxfId="727"/>
    <tableColumn id="3" xr3:uid="{DAEB8A0D-0045-406C-A8F4-D02888DA28DF}" name="Actual Cost" dataDxfId="726" totalsRowDxfId="725"/>
    <tableColumn id="4" xr3:uid="{C3228759-C26D-4826-94D1-57FFCDECC4AC}" name="Difference" totalsRowFunction="sum" dataDxfId="724" totalsRowDxfId="723">
      <calculatedColumnFormula>Gifts33455769812294118130142[[#This Row],[Projected Cost]]-Gifts33455769812294118130142[[#This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D397DABE-F24B-4DAB-9951-715ED51A30EF}" name="Pets34465870822395119131143" displayName="Pets34465870822395119131143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E6B812FE-0DCE-4870-89EF-6310C56F9406}" name="PETS" totalsRowLabel="Subtotal"/>
    <tableColumn id="2" xr3:uid="{31AA10BD-F20E-4930-B72A-FA4361D62941}" name="Projected Cost" dataDxfId="722" totalsRowDxfId="721"/>
    <tableColumn id="3" xr3:uid="{36CA6587-9720-4B9E-BF1F-73C218F8497E}" name="Actual Cost" dataDxfId="720" totalsRowDxfId="719"/>
    <tableColumn id="4" xr3:uid="{611E4B20-90ED-46CD-914A-7CDB99F981AD}" name="Difference" totalsRowFunction="sum" dataDxfId="718" totalsRowDxfId="717">
      <calculatedColumnFormula>Pets34465870822395119131143[[#This Row],[Projected Cost]]-Pets34465870822395119131143[[#This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6D2D4F5-BC15-4655-B49B-28BE0F59F39C}" name="Legal35475971832496120132144" displayName="Legal35475971832496120132144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2801304D-B16E-4B70-858D-FCA8C31EA533}" name="CHINNI EXPENSES" totalsRowLabel="Subtotal"/>
    <tableColumn id="2" xr3:uid="{C71F567A-CE03-44D6-A2E3-69676592B31D}" name="Projected Cost" totalsRowFunction="sum" dataDxfId="716" totalsRowDxfId="5"/>
    <tableColumn id="3" xr3:uid="{3770C878-FB3C-4D5B-8751-2A094E4E703F}" name="Actual Cost" totalsRowFunction="sum" dataDxfId="715" totalsRowDxfId="4"/>
    <tableColumn id="4" xr3:uid="{E203B97A-F48A-4CC8-84E2-A978650BCC29}" name="Difference" totalsRowFunction="sum" dataDxfId="714" totalsRowDxfId="3">
      <calculatedColumnFormula>Legal35475971832496120132144[[#This Row],[Projected Cost]]-Legal35475971832496120132144[[#This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B6E5F0EE-32F8-476C-87AC-6C6EAC03EE9F}" name="PersonalCare36486072848597121133145" displayName="PersonalCare36486072848597121133145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8A49E8AC-35CE-41B3-B49E-838B20766328}" name="PERSONAL CARE" totalsRowLabel="Subtotal" totalsRowDxfId="713"/>
    <tableColumn id="2" xr3:uid="{A7725B69-DDBA-490D-9A28-09159749C379}" name="z" totalsRowDxfId="712"/>
    <tableColumn id="3" xr3:uid="{3A5B0096-743E-445D-90A4-ED0FECEFF018}" name="Actual Cost" totalsRowDxfId="711"/>
    <tableColumn id="4" xr3:uid="{A67DA67B-8C11-4DCA-BD0C-1FC9F588472C}" name="Difference" totalsRowFunction="sum" totalsRowDxfId="710">
      <calculatedColumnFormula>PersonalCare36486072848597121133145[[#This Row],[z]]-PersonalCare36486072848597121133145[[#This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37C3BC32-52EE-42DA-8496-3156E32FBB22}" name="Housing25374961731486110122" displayName="Housing25374961731486110122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955B8728-A11A-4F26-8473-E98C5BE4E4D1}" name="HOUSING" totalsRowLabel="Subtotal" totalsRowDxfId="707"/>
    <tableColumn id="2" xr3:uid="{6CDC586F-37CB-43AA-8677-1D3C6B068298}" name="Projected Cost" totalsRowFunction="sum" totalsRowDxfId="706"/>
    <tableColumn id="3" xr3:uid="{7EFE2D0A-4067-46AB-B36C-3CFAC31938F4}" name="Actual Cost" totalsRowFunction="sum" totalsRowDxfId="705"/>
    <tableColumn id="4" xr3:uid="{3FF77686-52F4-4850-9242-2887D1B8BAC4}" name="Difference" totalsRowFunction="sum" totalsRowDxfId="704">
      <calculatedColumnFormula>Housing25374961731486110122[[#This Row],[Projected Cost]]-Housing25374961731486110122[[#This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5112352C-89E0-4023-9E51-67566F235056}" name="Entertainment26385062741587111123" displayName="Entertainment26385062741587111123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1A5495AD-9FCC-4C52-B19F-A0011B5F69F0}" name="ENTERTAINMENT" totalsRowLabel="Subtotal"/>
    <tableColumn id="2" xr3:uid="{8C6D786A-3616-4839-8FCF-D83C91B39174}" name="Projected Cost" dataDxfId="703" totalsRowDxfId="702"/>
    <tableColumn id="3" xr3:uid="{567B9E8B-349B-49F5-9370-3AC692BE4B74}" name="Actual Cost" dataDxfId="701" totalsRowDxfId="700"/>
    <tableColumn id="4" xr3:uid="{7CD28931-1ED1-482E-9C4C-3986DA426AD0}" name="Difference" totalsRowFunction="sum" dataDxfId="699" totalsRowDxfId="698">
      <calculatedColumnFormula>Entertainment26385062741587111123[[#This Row],[Projected Cost]]-Entertainment26385062741587111123[[#This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1FEBFE72-ACC3-4C2A-80DD-79B14361B475}" name="Loans27395163751688112124" displayName="Loans27395163751688112124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529FE56D-459F-4C12-BBA4-96821E2BEBDA}" name="LOANS" totalsRowLabel="Subtotal"/>
    <tableColumn id="2" xr3:uid="{93624841-7D0D-442B-9F50-1E1F3B288505}" name="Projected Cost" totalsRowFunction="sum" dataDxfId="697" totalsRowDxfId="696"/>
    <tableColumn id="3" xr3:uid="{621C5DA4-B14B-4C63-9BE5-B887FFD32EBF}" name="Actual Cost" totalsRowFunction="sum" dataDxfId="695" totalsRowDxfId="694"/>
    <tableColumn id="4" xr3:uid="{D2F32C20-23FE-4D10-B1B5-D1A13DECF71F}" name="Difference" totalsRowFunction="sum" dataDxfId="693" totalsRowDxfId="692">
      <calculatedColumnFormula>Loans27395163751688112124[[#This Row],[Projected Cost]]-Loans27395163751688112124[[#This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CDCA1331-67CD-46B8-8BCF-EC106E5DF914}" name="Transportation28405264761789101" displayName="Transportation28405264761789101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430ED5A5-F3D0-4C09-94DD-34E12DFE3301}" name="TRANSPORTATION" totalsRowLabel="Subtotal"/>
    <tableColumn id="2" xr3:uid="{2473802D-BDB6-4235-8522-4FCDD7A491B4}" name="Projected Cost" totalsRowFunction="sum" dataDxfId="895" totalsRowDxfId="894"/>
    <tableColumn id="3" xr3:uid="{4EF90169-F691-4F6B-BDC8-343509558007}" name="Actual Cost" totalsRowFunction="sum" dataDxfId="893" totalsRowDxfId="892"/>
    <tableColumn id="4" xr3:uid="{8BD2E215-5483-4344-9247-E8D5A71E7FD3}" name="Difference" totalsRowFunction="sum" dataDxfId="891" totalsRowDxfId="890">
      <calculatedColumnFormula>Transportation28405264761789101[[#This Row],[Projected Cost]]-Transportation28405264761789101[[#This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BE337D7-D8F1-40B1-BD4B-AE3898CBDD53}" name="Transportation28405264761789113125" displayName="Transportation28405264761789113125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DA05C7C7-6C4C-4F37-A4DC-C43310C80D13}" name="TRANSPORTATION" totalsRowLabel="Subtotal"/>
    <tableColumn id="2" xr3:uid="{62672345-67B1-43CC-B93C-5AAE2ED74193}" name="Projected Cost" totalsRowFunction="sum" dataDxfId="691" totalsRowDxfId="690"/>
    <tableColumn id="3" xr3:uid="{0797FD77-B6F1-4AEA-88A1-C31150293BA8}" name="Actual Cost" totalsRowFunction="sum" dataDxfId="689" totalsRowDxfId="688"/>
    <tableColumn id="4" xr3:uid="{513563E3-7D65-4D35-92A7-12B2C1FE1EDC}" name="Difference" totalsRowFunction="sum" dataDxfId="687" totalsRowDxfId="686">
      <calculatedColumnFormula>Transportation28405264761789113125[[#This Row],[Projected Cost]]-Transportation28405264761789113125[[#This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3186AA45-5948-4A72-8622-9D3378321E1B}" name="Insurance29415365771890114126" displayName="Insurance29415365771890114126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64D3F5D2-3614-40A1-9D29-29F283A387DB}" name="INSURANCE" totalsRowLabel="Subtotal"/>
    <tableColumn id="2" xr3:uid="{1AEC4359-ADA7-48F3-96A5-1FE7DC3903BA}" name="Projected Cost" dataDxfId="685" totalsRowDxfId="684"/>
    <tableColumn id="3" xr3:uid="{2487134D-974B-46A7-9D43-30FC2EBFC63E}" name="Actual Cost" dataDxfId="683" totalsRowDxfId="682"/>
    <tableColumn id="4" xr3:uid="{7FBBEA69-E948-407B-A62F-95788BE1E526}" name="Difference" totalsRowFunction="sum" dataDxfId="681" totalsRowDxfId="680">
      <calculatedColumnFormula>Insurance29415365771890114126[[#This Row],[Projected Cost]]-Insurance29415365771890114126[[#This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1922160F-E8C2-4B1C-B54F-A067B2096BD0}" name="Taxes30425466781991115127" displayName="Taxes30425466781991115127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9557EFD9-FDD5-4D55-8C01-5FB1CEB19657}" name="TAXES" totalsRowLabel="Subtotal"/>
    <tableColumn id="2" xr3:uid="{40176FCF-FCB0-4830-A7F9-F5912A6AD253}" name="Projected Cost" dataDxfId="679" totalsRowDxfId="678"/>
    <tableColumn id="3" xr3:uid="{600DC1B4-0EE3-4377-920E-0A7E9C0EA3CB}" name="Actual Cost" dataDxfId="677" totalsRowDxfId="676"/>
    <tableColumn id="4" xr3:uid="{A338C4F9-C7EC-4C58-ADB9-43954D89A0ED}" name="Difference" totalsRowFunction="sum" dataDxfId="675" totalsRowDxfId="674">
      <calculatedColumnFormula>Taxes30425466781991115127[[#This Row],[Projected Cost]]-Taxes30425466781991115127[[#This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46FF1608-D282-47AA-BF25-7765E8F33B3E}" name="Savings31435567792092116128" displayName="Savings31435567792092116128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51336669-7A73-4231-BFBA-E59238959797}" name="SAVINGS OR INVESTMENTS" totalsRowLabel="Subtotal"/>
    <tableColumn id="2" xr3:uid="{10B473E9-FA7A-411F-9B2A-4AE3F4CC4D4B}" name="Projected Cost" totalsRowFunction="sum" dataDxfId="673" totalsRowDxfId="672"/>
    <tableColumn id="3" xr3:uid="{E9AA035F-D1F1-4476-82D9-66C8ACEDCE87}" name="Actual Cost" totalsRowFunction="sum" dataDxfId="671" totalsRowDxfId="670"/>
    <tableColumn id="4" xr3:uid="{BA8E0DF7-A30B-44D6-BB40-81A4AF233F9D}" name="Difference" totalsRowFunction="sum" dataDxfId="669" totalsRowDxfId="668">
      <calculatedColumnFormula>Savings31435567792092116128[[#This Row],[Projected Cost]]-Savings31435567792092116128[[#This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AD6E29D-555E-4222-BFFF-4537C17F9293}" name="Food32445668802193117129" displayName="Food32445668802193117129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FD9838D2-BBA1-4536-93ED-0A9EB612E705}" name="FOOD" totalsRowLabel="Subtotal"/>
    <tableColumn id="2" xr3:uid="{AC1062BA-762C-4BFF-AF55-F515DA75373B}" name="Projected Cost" totalsRowFunction="sum" dataDxfId="667" totalsRowDxfId="666"/>
    <tableColumn id="3" xr3:uid="{93A83AFD-AEA6-43ED-844A-CA218C6C5B3D}" name="Actual Cost" totalsRowFunction="sum" dataDxfId="665" totalsRowDxfId="664"/>
    <tableColumn id="4" xr3:uid="{41EE3122-64AD-4B5F-A7C7-C1ACD31FDC7A}" name="Difference" totalsRowFunction="sum" dataDxfId="663" totalsRowDxfId="662">
      <calculatedColumnFormula>Food32445668802193117129[[#This Row],[Projected Cost]]-Food32445668802193117129[[#This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6CCD958A-FE58-4054-9CFA-F3E0F7198F88}" name="Gifts33455769812294118130" displayName="Gifts33455769812294118130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65EA48B-5ECB-407D-B368-E881B5349690}" name="GIFTS AND DONATIONS" totalsRowLabel="Subtotal"/>
    <tableColumn id="2" xr3:uid="{83F32C3F-DA95-4888-8A8A-7EF224045E60}" name="Projected Cost" dataDxfId="661" totalsRowDxfId="660"/>
    <tableColumn id="3" xr3:uid="{D6B7EB70-3725-4ADD-A7A7-21A2EB3EED70}" name="Actual Cost" dataDxfId="659" totalsRowDxfId="658"/>
    <tableColumn id="4" xr3:uid="{37529490-C5AC-4365-BF28-F614D26D8FC6}" name="Difference" totalsRowFunction="sum" dataDxfId="657" totalsRowDxfId="656">
      <calculatedColumnFormula>Gifts33455769812294118130[[#This Row],[Projected Cost]]-Gifts33455769812294118130[[#This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583E4070-AD42-4B9A-A84A-37646B57661E}" name="Pets34465870822395119131" displayName="Pets34465870822395119131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F3DE3F8-D36B-43ED-8093-FCE3F64E009B}" name="PETS" totalsRowLabel="Subtotal"/>
    <tableColumn id="2" xr3:uid="{6DB28DDB-D2BD-47A9-94C7-E6E861176294}" name="Projected Cost" dataDxfId="655" totalsRowDxfId="654"/>
    <tableColumn id="3" xr3:uid="{4D65CE44-4946-4CDA-AA2A-62889E930D67}" name="Actual Cost" dataDxfId="653" totalsRowDxfId="652"/>
    <tableColumn id="4" xr3:uid="{04F768FD-8E41-4A70-AE74-19161F87DF1E}" name="Difference" totalsRowFunction="sum" dataDxfId="651" totalsRowDxfId="650">
      <calculatedColumnFormula>Pets34465870822395119131[[#This Row],[Projected Cost]]-Pets34465870822395119131[[#This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701F51A-B892-4A03-A977-9C71CBD81C5C}" name="Legal35475971832496120132" displayName="Legal35475971832496120132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144E6B86-547F-49F0-B423-460D7447F788}" name="CHINNI EXPENSES" totalsRowLabel="Subtotal"/>
    <tableColumn id="2" xr3:uid="{8F0A12C0-5F16-429A-A320-EBAEE30F070E}" name="Projected Cost" totalsRowFunction="sum" dataDxfId="649" totalsRowDxfId="8"/>
    <tableColumn id="3" xr3:uid="{A78E5350-84CE-4A94-92C8-D322EBFEF2AA}" name="Actual Cost" totalsRowFunction="sum" dataDxfId="648" totalsRowDxfId="7"/>
    <tableColumn id="4" xr3:uid="{53297CC3-4891-47B0-A15A-1EA0C0CA581E}" name="Difference" totalsRowFunction="sum" dataDxfId="647" totalsRowDxfId="6">
      <calculatedColumnFormula>Legal35475971832496120132[[#This Row],[Projected Cost]]-Legal35475971832496120132[[#This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A884A84B-0C65-4A0D-BA58-7BBB1BF88E2E}" name="PersonalCare36486072848597121133" displayName="PersonalCare36486072848597121133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2B91D6F7-0A0A-4BBC-B256-631C4B62124C}" name="PERSONAL CARE" totalsRowLabel="Subtotal" totalsRowDxfId="646"/>
    <tableColumn id="2" xr3:uid="{E4E4F7E1-4248-432E-A412-D7DEBB7F74F9}" name="z" totalsRowDxfId="645"/>
    <tableColumn id="3" xr3:uid="{A965FAB4-BB4C-45A4-ADE9-D776449B7BC8}" name="Actual Cost" totalsRowDxfId="644"/>
    <tableColumn id="4" xr3:uid="{AF1E65E9-741E-47C2-AC77-1EC92A1E3848}" name="Difference" totalsRowFunction="sum" totalsRowDxfId="643">
      <calculatedColumnFormula>PersonalCare36486072848597121133[[#This Row],[z]]-PersonalCare36486072848597121133[[#This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6C60F53C-0EE9-43C2-A494-706A6FA992E1}" name="Housing25374961731486110" displayName="Housing25374961731486110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748BDE45-223C-4EF8-A300-DBBF268505EB}" name="HOUSING" totalsRowLabel="Subtotal" totalsRowDxfId="640"/>
    <tableColumn id="2" xr3:uid="{DCE6FE60-457E-476C-BDCC-875FF594172B}" name="Projected Cost" totalsRowFunction="sum" totalsRowDxfId="639"/>
    <tableColumn id="3" xr3:uid="{D83A7773-2193-4D9C-8DFF-9F93C670AB46}" name="Actual Cost" totalsRowFunction="sum" totalsRowDxfId="638"/>
    <tableColumn id="4" xr3:uid="{BB973ED8-B943-4538-8463-25F4B5C313BD}" name="Difference" totalsRowFunction="sum" totalsRowDxfId="637">
      <calculatedColumnFormula>Housing25374961731486110[[#This Row],[Projected Cost]]-Housing25374961731486110[[#This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D3002C9C-0618-40A6-AEB6-622243AF658E}" name="Insurance29415365771890102" displayName="Insurance29415365771890102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FDC6B201-F9B8-453B-BE6F-FD379450CA8C}" name="INSURANCE" totalsRowLabel="Subtotal"/>
    <tableColumn id="2" xr3:uid="{BDB60002-CA16-4579-8AC1-2E4C6CE09CD0}" name="Projected Cost" dataDxfId="889" totalsRowDxfId="888"/>
    <tableColumn id="3" xr3:uid="{014C10F6-5248-4725-8A55-4AA7D8367ED6}" name="Actual Cost" dataDxfId="887" totalsRowDxfId="886"/>
    <tableColumn id="4" xr3:uid="{4B35B5B8-B33B-411E-9C20-E75CBBB6C562}" name="Difference" totalsRowFunction="sum" dataDxfId="885" totalsRowDxfId="884">
      <calculatedColumnFormula>Insurance29415365771890102[[#This Row],[Projected Cost]]-Insurance29415365771890102[[#This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E4909D9-6583-4358-8088-427EDC6FDC02}" name="Entertainment26385062741587111" displayName="Entertainment26385062741587111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AF741889-9D5D-4B58-B555-6BE0852C4E2D}" name="ENTERTAINMENT" totalsRowLabel="Subtotal"/>
    <tableColumn id="2" xr3:uid="{FF0F587F-1D3D-49B6-98C7-5B227B800331}" name="Projected Cost" dataDxfId="636" totalsRowDxfId="635"/>
    <tableColumn id="3" xr3:uid="{255030C3-C5B4-4989-9679-A6A79FE09CB2}" name="Actual Cost" dataDxfId="634" totalsRowDxfId="633"/>
    <tableColumn id="4" xr3:uid="{89BCDDCE-C656-4548-B624-07400C1A8DBA}" name="Difference" totalsRowFunction="sum" dataDxfId="632" totalsRowDxfId="631">
      <calculatedColumnFormula>Entertainment26385062741587111[[#This Row],[Projected Cost]]-Entertainment26385062741587111[[#This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AEAEDF05-F95E-4A9F-B8E1-FFE3B9A784A2}" name="Loans27395163751688112" displayName="Loans27395163751688112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D8F3F400-4204-4143-9118-E00071C6D59D}" name="LOANS" totalsRowLabel="Subtotal"/>
    <tableColumn id="2" xr3:uid="{924FF4BB-2378-4766-8B62-6B0D00167C78}" name="Projected Cost" totalsRowFunction="sum" dataDxfId="630" totalsRowDxfId="629"/>
    <tableColumn id="3" xr3:uid="{F03EB7FF-CDBF-472D-9C5B-D7B86AB7C2DE}" name="Actual Cost" totalsRowFunction="sum" dataDxfId="628" totalsRowDxfId="627"/>
    <tableColumn id="4" xr3:uid="{3E02A035-A557-41FA-BE8B-FF163782FDE6}" name="Difference" totalsRowFunction="sum" dataDxfId="626" totalsRowDxfId="625">
      <calculatedColumnFormula>Loans27395163751688112[[#This Row],[Projected Cost]]-Loans27395163751688112[[#This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D2676F51-7C77-4986-A233-BD0C5C6045DE}" name="Transportation28405264761789113" displayName="Transportation28405264761789113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6320E8-54C4-46FC-9BB7-43D857328673}" name="TRANSPORTATION" totalsRowLabel="Subtotal"/>
    <tableColumn id="2" xr3:uid="{34747EC5-78FC-4BA9-BA99-C969211AD2A3}" name="Projected Cost" totalsRowFunction="sum" dataDxfId="624" totalsRowDxfId="623"/>
    <tableColumn id="3" xr3:uid="{223B6851-4191-4E25-8AE7-2ECF553F9DB5}" name="Actual Cost" totalsRowFunction="sum" dataDxfId="622" totalsRowDxfId="621"/>
    <tableColumn id="4" xr3:uid="{069EB687-D8E1-4468-A89F-6EBAB677DD11}" name="Difference" totalsRowFunction="sum" dataDxfId="620" totalsRowDxfId="619">
      <calculatedColumnFormula>Transportation28405264761789113[[#This Row],[Projected Cost]]-Transportation28405264761789113[[#This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8710EFDB-3B93-4DC7-A164-B7C85FFED5C8}" name="Insurance29415365771890114" displayName="Insurance29415365771890114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C9DDB411-A69B-48DA-8AF9-8178B8C1252C}" name="INSURANCE" totalsRowLabel="Subtotal"/>
    <tableColumn id="2" xr3:uid="{D9B4B4B5-8D5E-4CE2-A635-F7D161194171}" name="Projected Cost" dataDxfId="618" totalsRowDxfId="617"/>
    <tableColumn id="3" xr3:uid="{0145B3EE-4FE9-4F55-998C-122D739BFE81}" name="Actual Cost" dataDxfId="616" totalsRowDxfId="615"/>
    <tableColumn id="4" xr3:uid="{64D5DD37-58C4-4591-BC47-CDE13B35FA02}" name="Difference" totalsRowFunction="sum" dataDxfId="614" totalsRowDxfId="613">
      <calculatedColumnFormula>Insurance29415365771890114[[#This Row],[Projected Cost]]-Insurance29415365771890114[[#This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87F54763-43AF-488C-8C16-793737FB6919}" name="Taxes30425466781991115" displayName="Taxes30425466781991115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636C74D7-E59D-4FEA-B090-E518EF754238}" name="TAXES" totalsRowLabel="Subtotal"/>
    <tableColumn id="2" xr3:uid="{872E08AD-82D4-42E6-BFF0-C43E13D37107}" name="Projected Cost" dataDxfId="612" totalsRowDxfId="611"/>
    <tableColumn id="3" xr3:uid="{AB1CBE0C-50F1-4733-81A2-92C258102922}" name="Actual Cost" dataDxfId="610" totalsRowDxfId="609"/>
    <tableColumn id="4" xr3:uid="{7A7D6CC4-6022-4EFD-827B-3D467E897E3C}" name="Difference" totalsRowFunction="sum" dataDxfId="608" totalsRowDxfId="607">
      <calculatedColumnFormula>Taxes30425466781991115[[#This Row],[Projected Cost]]-Taxes30425466781991115[[#This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2A4FA5A1-E7A5-406F-BECD-CBAB93DA335F}" name="Savings31435567792092116" displayName="Savings31435567792092116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27F55F24-15CC-4A28-8DBA-FDDB49BE8355}" name="SAVINGS OR INVESTMENTS" totalsRowLabel="Subtotal"/>
    <tableColumn id="2" xr3:uid="{C00286B2-05D5-458F-BC85-DAB5F0ACF7B1}" name="Projected Cost" totalsRowFunction="sum" dataDxfId="606" totalsRowDxfId="605"/>
    <tableColumn id="3" xr3:uid="{F3B6448D-67D8-49BD-88BF-C0D8E802FD72}" name="Actual Cost" totalsRowFunction="sum" dataDxfId="604" totalsRowDxfId="603"/>
    <tableColumn id="4" xr3:uid="{CB6A2C40-32D7-4AF4-9055-A5F50963E60E}" name="Difference" totalsRowFunction="sum" dataDxfId="602" totalsRowDxfId="601">
      <calculatedColumnFormula>Savings31435567792092116[[#This Row],[Projected Cost]]-Savings31435567792092116[[#This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A0B9118E-EEF9-4ADC-8749-865EFE93151C}" name="Food32445668802193117" displayName="Food32445668802193117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775332C9-3000-411D-BD6B-ABB147D8291A}" name="FOOD" totalsRowLabel="Subtotal"/>
    <tableColumn id="2" xr3:uid="{0D6F08E8-54F3-45E8-A971-6A7A5A421805}" name="Projected Cost" totalsRowFunction="sum" dataDxfId="600" totalsRowDxfId="599"/>
    <tableColumn id="3" xr3:uid="{85EB47C4-30AF-43B6-8669-D40E21DDD848}" name="Actual Cost" totalsRowFunction="sum" dataDxfId="598" totalsRowDxfId="597"/>
    <tableColumn id="4" xr3:uid="{E5F80B65-1997-4284-8348-77D99BC747DE}" name="Difference" totalsRowFunction="sum" dataDxfId="596" totalsRowDxfId="595">
      <calculatedColumnFormula>Food32445668802193117[[#This Row],[Projected Cost]]-Food32445668802193117[[#This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B6D9666D-76CC-4A27-8E84-634E9754D6B7}" name="Gifts33455769812294118" displayName="Gifts33455769812294118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8DC7EADE-DDA5-4174-88DE-9F7020F71B4D}" name="GIFTS AND DONATIONS" totalsRowLabel="Subtotal"/>
    <tableColumn id="2" xr3:uid="{AC15D62A-D3D9-4E56-989B-BB25EE1B5F40}" name="Projected Cost" dataDxfId="594" totalsRowDxfId="593"/>
    <tableColumn id="3" xr3:uid="{9BC4C1E2-1613-4603-A50A-34B3091A5676}" name="Actual Cost" dataDxfId="592" totalsRowDxfId="591"/>
    <tableColumn id="4" xr3:uid="{CA4B8DD0-BC53-46D4-941A-BE59C0CFF15D}" name="Difference" totalsRowFunction="sum" dataDxfId="590" totalsRowDxfId="589">
      <calculatedColumnFormula>Gifts33455769812294118[[#This Row],[Projected Cost]]-Gifts33455769812294118[[#This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A676987E-3EC1-490F-B4E4-FA10A02A825F}" name="Pets34465870822395119" displayName="Pets34465870822395119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6622804E-9C77-416D-A78B-4716DC6DE487}" name="PETS" totalsRowLabel="Subtotal"/>
    <tableColumn id="2" xr3:uid="{84BF7EC7-FE77-4374-889B-F86C4B24AF61}" name="Projected Cost" dataDxfId="588" totalsRowDxfId="587"/>
    <tableColumn id="3" xr3:uid="{3B9729D9-6C10-4A94-8B91-86786D741D0F}" name="Actual Cost" dataDxfId="586" totalsRowDxfId="585"/>
    <tableColumn id="4" xr3:uid="{BCF0B328-3C6F-4F9C-AED5-A7E7B552E51E}" name="Difference" totalsRowFunction="sum" dataDxfId="584" totalsRowDxfId="583">
      <calculatedColumnFormula>Pets34465870822395119[[#This Row],[Projected Cost]]-Pets34465870822395119[[#This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D246E829-86BF-4DB6-BF5B-4B649EE6C42E}" name="Legal35475971832496120" displayName="Legal35475971832496120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F1D8305D-1A1F-4AEE-A7F6-4CA2320D7117}" name="CHINNI EXPENSES" totalsRowLabel="Subtotal"/>
    <tableColumn id="2" xr3:uid="{988301C8-18F6-4964-B531-9B14579BAA88}" name="Projected Cost" totalsRowFunction="sum" dataDxfId="582" totalsRowDxfId="14"/>
    <tableColumn id="3" xr3:uid="{83F7C30E-4173-4DBE-982F-8124EA4688E5}" name="Actual Cost" totalsRowFunction="sum" dataDxfId="581" totalsRowDxfId="13"/>
    <tableColumn id="4" xr3:uid="{6005CB7D-8950-421F-8A34-3D4EBDB6BAE1}" name="Difference" totalsRowFunction="sum" dataDxfId="580" totalsRowDxfId="12">
      <calculatedColumnFormula>Legal35475971832496120[[#This Row],[Projected Cost]]-Legal35475971832496120[[#This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60F39C6-ABC3-4392-8FB6-8E21A0936E23}" name="Taxes30425466781991103" displayName="Taxes30425466781991103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E9C18C23-58AE-44B6-8AC7-244325A23C6E}" name="TAXES" totalsRowLabel="Subtotal"/>
    <tableColumn id="2" xr3:uid="{918E87A7-62B9-4DF8-AF0C-35FA4890CD5A}" name="Projected Cost" dataDxfId="883" totalsRowDxfId="882"/>
    <tableColumn id="3" xr3:uid="{22F55676-8C81-4EA1-8F6C-D24E6C3E0DB8}" name="Actual Cost" dataDxfId="881" totalsRowDxfId="880"/>
    <tableColumn id="4" xr3:uid="{8A50E078-F960-4A6D-817A-DE86ED4BF18F}" name="Difference" totalsRowFunction="sum" dataDxfId="879" totalsRowDxfId="878">
      <calculatedColumnFormula>Taxes30425466781991103[[#This Row],[Projected Cost]]-Taxes30425466781991103[[#This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EEEEC8C7-CFE1-48A8-B908-00D6E5C4695B}" name="PersonalCare36486072848597121" displayName="PersonalCare36486072848597121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DB950277-2617-4DD5-9232-87CAA434B339}" name="PERSONAL CARE" totalsRowLabel="Subtotal" totalsRowDxfId="579"/>
    <tableColumn id="2" xr3:uid="{F6C05D4A-8BF9-42CE-9A7C-3D2F85552359}" name="z" totalsRowDxfId="578"/>
    <tableColumn id="3" xr3:uid="{A018D197-2B1B-4D1B-8745-6427444466C8}" name="Actual Cost" totalsRowDxfId="577"/>
    <tableColumn id="4" xr3:uid="{652B0592-EC5A-41AF-980D-57F07CDD4B62}" name="Difference" totalsRowFunction="sum" totalsRowDxfId="576">
      <calculatedColumnFormula>PersonalCare36486072848597121[[#This Row],[z]]-PersonalCare36486072848597121[[#This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47A220D9-CA83-45B4-B742-665C61BA094F}" name="Housing25374961731486" displayName="Housing25374961731486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5077841-0B7C-4071-BBAB-04062B1DFC2A}" name="HOUSING" totalsRowLabel="Subtotal" totalsRowDxfId="573"/>
    <tableColumn id="2" xr3:uid="{D8B68D42-C2CA-46D8-9F09-DCEC1524AA4D}" name="Projected Cost" totalsRowFunction="sum" totalsRowDxfId="572"/>
    <tableColumn id="3" xr3:uid="{5053D1F0-2721-4176-9C42-EF9AC202EFB5}" name="Actual Cost" totalsRowFunction="sum" totalsRowDxfId="571"/>
    <tableColumn id="4" xr3:uid="{AB5EFEFF-1E31-47B0-A962-A9F84D5E5ACA}" name="Difference" totalsRowFunction="sum" totalsRowDxfId="570">
      <calculatedColumnFormula>Housing25374961731486[[#This Row],[Projected Cost]]-Housing25374961731486[[#This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C65D8590-B18B-4C05-BCF7-2D1E0FDD90B2}" name="Entertainment26385062741587" displayName="Entertainment26385062741587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10D6BDE9-D57B-46BB-8545-E0562DE8C002}" name="ENTERTAINMENT" totalsRowLabel="Subtotal"/>
    <tableColumn id="2" xr3:uid="{6F2B35C9-11F6-4510-B821-A7E885E6EE6C}" name="Projected Cost" dataDxfId="569" totalsRowDxfId="568"/>
    <tableColumn id="3" xr3:uid="{032F42E1-4CD4-4C08-B8F8-994233683310}" name="Actual Cost" dataDxfId="567" totalsRowDxfId="566"/>
    <tableColumn id="4" xr3:uid="{3D6BA334-3AA4-42D4-BD2A-0A45829BBC7B}" name="Difference" totalsRowFunction="sum" dataDxfId="565" totalsRowDxfId="564">
      <calculatedColumnFormula>Entertainment26385062741587[[#This Row],[Projected Cost]]-Entertainment26385062741587[[#This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38F200C8-DE9C-4073-A57B-E68F14509CD1}" name="Loans27395163751688" displayName="Loans27395163751688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A79365AF-50F9-4F84-9606-914332C11477}" name="LOANS" totalsRowLabel="Subtotal"/>
    <tableColumn id="2" xr3:uid="{57DF3C1D-CA2F-45B5-8E5D-239227FA0F39}" name="Projected Cost" totalsRowFunction="sum" dataDxfId="563" totalsRowDxfId="562"/>
    <tableColumn id="3" xr3:uid="{A14C5488-8775-4A51-B5E4-DE635914A251}" name="Actual Cost" totalsRowFunction="sum" dataDxfId="561" totalsRowDxfId="560"/>
    <tableColumn id="4" xr3:uid="{B6AFF342-3CC8-4C2C-B582-AD821637C6FE}" name="Difference" totalsRowFunction="sum" dataDxfId="559" totalsRowDxfId="558">
      <calculatedColumnFormula>Loans27395163751688[[#This Row],[Projected Cost]]-Loans27395163751688[[#This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1BC7E248-8DAB-47BD-AE39-726A1810CDBA}" name="Transportation28405264761789" displayName="Transportation28405264761789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7D1A4AEA-EE48-48BC-92A4-8E41F011D2A9}" name="TRANSPORTATION" totalsRowLabel="Subtotal"/>
    <tableColumn id="2" xr3:uid="{C8AA8843-0060-4658-90EE-876A78FC40B7}" name="Projected Cost" totalsRowFunction="sum" dataDxfId="557" totalsRowDxfId="556"/>
    <tableColumn id="3" xr3:uid="{F5B771D1-3CC6-41F0-A18E-DED01102D751}" name="Actual Cost" totalsRowFunction="sum" dataDxfId="555" totalsRowDxfId="554"/>
    <tableColumn id="4" xr3:uid="{6CCCC72E-934A-4D3B-A529-B91911F72FE8}" name="Difference" totalsRowFunction="sum" dataDxfId="553" totalsRowDxfId="552">
      <calculatedColumnFormula>Transportation28405264761789[[#This Row],[Projected Cost]]-Transportation28405264761789[[#This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2B76AA4E-3F75-43EB-931F-83F2C80DC82A}" name="Insurance29415365771890" displayName="Insurance29415365771890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CC7F828C-1237-40B1-8565-7BE9E18E2478}" name="INSURANCE" totalsRowLabel="Subtotal"/>
    <tableColumn id="2" xr3:uid="{C358CF47-5D07-4CD5-94C2-B5B37E899B9A}" name="Projected Cost" dataDxfId="551" totalsRowDxfId="550"/>
    <tableColumn id="3" xr3:uid="{5D709D2C-7AA7-4710-BEC8-B234206434EC}" name="Actual Cost" dataDxfId="549" totalsRowDxfId="548"/>
    <tableColumn id="4" xr3:uid="{C210E809-D1A5-4192-BD09-DF3600C37BD5}" name="Difference" totalsRowFunction="sum" dataDxfId="547" totalsRowDxfId="546">
      <calculatedColumnFormula>Insurance29415365771890[[#This Row],[Projected Cost]]-Insurance29415365771890[[#This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91A11917-ADD4-49F8-B0CD-225BE264E326}" name="Taxes30425466781991" displayName="Taxes30425466781991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C64D865C-ED68-42B1-880A-839CC35CB013}" name="TAXES" totalsRowLabel="Subtotal"/>
    <tableColumn id="2" xr3:uid="{346843E2-FD93-46DC-905F-C74522D521F2}" name="Projected Cost" dataDxfId="545" totalsRowDxfId="544"/>
    <tableColumn id="3" xr3:uid="{300F7190-FCE2-4919-A186-8DB8FC083B5C}" name="Actual Cost" dataDxfId="543" totalsRowDxfId="542"/>
    <tableColumn id="4" xr3:uid="{93B3D151-D9F0-45F3-9BBF-1AE64EE28977}" name="Difference" totalsRowFunction="sum" dataDxfId="541" totalsRowDxfId="540">
      <calculatedColumnFormula>Taxes30425466781991[[#This Row],[Projected Cost]]-Taxes30425466781991[[#This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2C0007E-DC1B-41FD-B8A5-6B2D8045B340}" name="Savings31435567792092" displayName="Savings31435567792092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C4A7B2D7-C7DF-4CE8-84FD-D85BE9A33869}" name="SAVINGS OR INVESTMENTS" totalsRowLabel="Subtotal"/>
    <tableColumn id="2" xr3:uid="{17699959-8DFD-4356-8BBE-227F8A885F03}" name="Projected Cost" totalsRowFunction="sum" dataDxfId="539" totalsRowDxfId="538"/>
    <tableColumn id="3" xr3:uid="{6954CCE7-74D9-4705-B9B5-0426FCEBB86C}" name="Actual Cost" totalsRowFunction="sum" dataDxfId="537" totalsRowDxfId="536"/>
    <tableColumn id="4" xr3:uid="{49F9B43D-9D1C-4E4E-A2A9-1E26883D1CF2}" name="Difference" totalsRowFunction="sum" dataDxfId="535" totalsRowDxfId="534">
      <calculatedColumnFormula>Savings31435567792092[[#This Row],[Projected Cost]]-Savings31435567792092[[#This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7CA444C-BBB2-441E-805B-5AC604A7E9D5}" name="Food32445668802193" displayName="Food32445668802193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54DC5566-B413-4E08-9F77-C858331A05ED}" name="FOOD" totalsRowLabel="Subtotal"/>
    <tableColumn id="2" xr3:uid="{7B57D38D-79F4-406A-9ACE-87CFCC8EDFE5}" name="Projected Cost" totalsRowFunction="sum" dataDxfId="533" totalsRowDxfId="532"/>
    <tableColumn id="3" xr3:uid="{4C698656-3BCD-452F-98FD-ABC99BB774C6}" name="Actual Cost" totalsRowFunction="sum" dataDxfId="531" totalsRowDxfId="530"/>
    <tableColumn id="4" xr3:uid="{E7B63592-0984-47DB-958D-E687410FE428}" name="Difference" totalsRowFunction="sum" dataDxfId="529" totalsRowDxfId="528">
      <calculatedColumnFormula>Food32445668802193[[#This Row],[Projected Cost]]-Food32445668802193[[#This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70C26EA4-1E24-4AFC-BAB4-7D2139061687}" name="Gifts33455769812294" displayName="Gifts33455769812294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DF8F74A4-07EF-49F3-875B-0EB726BBA381}" name="GIFTS AND DONATIONS" totalsRowLabel="Subtotal"/>
    <tableColumn id="2" xr3:uid="{88FB73D5-9033-4F92-ADA7-D6A5A3459487}" name="Projected Cost" dataDxfId="527" totalsRowDxfId="526"/>
    <tableColumn id="3" xr3:uid="{198EB1DC-2E52-4305-9BB8-675DC64D5AF0}" name="Actual Cost" dataDxfId="525" totalsRowDxfId="524"/>
    <tableColumn id="4" xr3:uid="{7EF4C5C7-788E-4E91-A90E-03B5556C4CAF}" name="Difference" totalsRowFunction="sum" dataDxfId="523" totalsRowDxfId="522">
      <calculatedColumnFormula>Gifts33455769812294[[#This Row],[Projected Cost]]-Gifts33455769812294[[#This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FD7E0A00-6EA8-4AEF-82DC-A20BF488C52E}" name="Savings31435567792092104" displayName="Savings31435567792092104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3F7BA4BF-44CF-4079-9916-F2402AD153CA}" name="SAVINGS OR INVESTMENTS" totalsRowLabel="Subtotal"/>
    <tableColumn id="2" xr3:uid="{829F815A-590F-4A9C-ADD7-86F41C35F68A}" name="Projected Cost" totalsRowFunction="sum" dataDxfId="877" totalsRowDxfId="876"/>
    <tableColumn id="3" xr3:uid="{BA4F33B6-8795-490D-BFDF-992DD541ABBE}" name="Actual Cost" totalsRowFunction="sum" dataDxfId="875" totalsRowDxfId="874"/>
    <tableColumn id="4" xr3:uid="{720E8E22-93D9-40BC-81E3-35CE78700938}" name="Difference" totalsRowFunction="sum" dataDxfId="873" totalsRowDxfId="872">
      <calculatedColumnFormula>Savings31435567792092104[[#This Row],[Projected Cost]]-Savings31435567792092104[[#This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A09C13EA-0AE8-4582-9A10-E8441796F9B8}" name="Pets34465870822395" displayName="Pets34465870822395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FEAD77E0-91A7-4C1C-B105-C42944AD51CD}" name="PETS" totalsRowLabel="Subtotal"/>
    <tableColumn id="2" xr3:uid="{556B1ECA-B709-4C28-8095-DD6A27EF05AD}" name="Projected Cost" dataDxfId="521" totalsRowDxfId="520"/>
    <tableColumn id="3" xr3:uid="{10C68952-FD18-4767-AE67-0C229F7ECE22}" name="Actual Cost" dataDxfId="519" totalsRowDxfId="518"/>
    <tableColumn id="4" xr3:uid="{117E279D-39BA-4CDB-A955-F0CA5FF93A6F}" name="Difference" totalsRowFunction="sum" dataDxfId="517" totalsRowDxfId="516">
      <calculatedColumnFormula>Pets34465870822395[[#This Row],[Projected Cost]]-Pets34465870822395[[#This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CB782ED4-F492-4C50-B41F-BA8BD648CF9A}" name="Legal35475971832496" displayName="Legal35475971832496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917F5010-A7FD-498C-8B0A-77E3D9C56596}" name="CHINNI EXPENSES" totalsRowLabel="Subtotal"/>
    <tableColumn id="2" xr3:uid="{0466E06B-AAB3-494E-91BC-7E1DB0F57AB9}" name="Projected Cost" totalsRowFunction="sum" dataDxfId="515" totalsRowDxfId="514"/>
    <tableColumn id="3" xr3:uid="{ECDAEE9D-DD30-4431-9394-FBE7C89D92A8}" name="Actual Cost" totalsRowFunction="sum" dataDxfId="513" totalsRowDxfId="512"/>
    <tableColumn id="4" xr3:uid="{D4D6238A-83E8-4F84-A7CC-6E3480372F0A}" name="Difference" totalsRowFunction="sum" dataDxfId="511" totalsRowDxfId="510">
      <calculatedColumnFormula>Legal35475971832496[[#This Row],[Projected Cost]]-Legal35475971832496[[#This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59D5EB8A-3377-4FCF-82F8-02320D02FBEA}" name="PersonalCare36486072848597" displayName="PersonalCare36486072848597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FB3089BE-59EA-465D-8813-2FDF399E1A57}" name="PERSONAL CARE" totalsRowLabel="Subtotal" totalsRowDxfId="509"/>
    <tableColumn id="2" xr3:uid="{84E02495-1230-43C5-8E0E-8940D763E117}" name="z" totalsRowDxfId="508"/>
    <tableColumn id="3" xr3:uid="{B0014260-5747-4F3F-9065-8586F40BE12C}" name="Actual Cost" totalsRowDxfId="507"/>
    <tableColumn id="4" xr3:uid="{174B89C8-E9B3-4885-A9E6-93B5A9485616}" name="Difference" totalsRowFunction="sum" totalsRowDxfId="506">
      <calculatedColumnFormula>PersonalCare36486072848597[[#This Row],[z]]-PersonalCare36486072848597[[#This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CA5F54-FC48-4A13-B144-8F67D0F98EDE}" name="Housing253749617314" displayName="Housing253749617314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84180509-0CF4-4E7E-B746-E3F26DB75388}" name="HOUSING" totalsRowLabel="Subtotal" totalsRowDxfId="503"/>
    <tableColumn id="2" xr3:uid="{04A1007C-A08E-4F6A-9767-53FDAAC4C6EB}" name="Projected Cost" totalsRowFunction="sum" totalsRowDxfId="502"/>
    <tableColumn id="3" xr3:uid="{7E53B363-AF83-47C3-8040-DE531AD8B938}" name="Actual Cost" totalsRowFunction="sum" totalsRowDxfId="501"/>
    <tableColumn id="4" xr3:uid="{D87BC599-9710-44EC-BCBD-52720C62A9E4}" name="Difference" totalsRowFunction="sum" totalsRowDxfId="500">
      <calculatedColumnFormula>Housing253749617314[[#This Row],[Projected Cost]]-Housing253749617314[[#This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5FA079-D520-463B-9444-1CE19143512B}" name="Entertainment263850627415" displayName="Entertainment263850627415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9C55DA62-0454-4ACF-8DB1-166F2EAFADD6}" name="ENTERTAINMENT" totalsRowLabel="Subtotal"/>
    <tableColumn id="2" xr3:uid="{DE386057-71A9-417C-9DE9-891293138274}" name="Projected Cost" dataDxfId="499" totalsRowDxfId="498"/>
    <tableColumn id="3" xr3:uid="{E819CB01-C349-4280-979A-ABDBE546B6FD}" name="Actual Cost" dataDxfId="497" totalsRowDxfId="496"/>
    <tableColumn id="4" xr3:uid="{35500EB7-8904-4DE9-9C2E-F58A48CEC668}" name="Difference" totalsRowFunction="sum" dataDxfId="495" totalsRowDxfId="494">
      <calculatedColumnFormula>Entertainment263850627415[[#This Row],[Projected Cost]]-Entertainment263850627415[[#This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028FF0C-8846-4BAC-91D8-460652971E4C}" name="Loans273951637516" displayName="Loans273951637516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64CBC457-A3A5-4EB8-B527-2C9709EAB125}" name="LOANS" totalsRowLabel="Subtotal"/>
    <tableColumn id="2" xr3:uid="{50B53835-4AD7-473B-9CCC-C5FE853003DD}" name="Projected Cost" totalsRowFunction="sum" dataDxfId="493" totalsRowDxfId="492"/>
    <tableColumn id="3" xr3:uid="{21D66DE9-95EA-4F13-AF16-A0FF1016543D}" name="Actual Cost" totalsRowFunction="sum" dataDxfId="491" totalsRowDxfId="490"/>
    <tableColumn id="4" xr3:uid="{DD0F66B6-760C-4F87-9E39-2ACE203195E7}" name="Difference" totalsRowFunction="sum" dataDxfId="489" totalsRowDxfId="488">
      <calculatedColumnFormula>Loans273951637516[[#This Row],[Projected Cost]]-Loans273951637516[[#This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BCBE04E-8459-4594-8EDF-B5B24F26220F}" name="Transportation284052647617" displayName="Transportation284052647617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45F7090C-2E8C-4009-9C33-F7712F363C9F}" name="TRANSPORTATION" totalsRowLabel="Subtotal"/>
    <tableColumn id="2" xr3:uid="{AA14E025-8D54-45EB-A30E-0629DCFE6965}" name="Projected Cost" totalsRowFunction="sum" dataDxfId="487" totalsRowDxfId="486"/>
    <tableColumn id="3" xr3:uid="{A64CEEFB-4997-4A28-82BB-CD94A3C4B160}" name="Actual Cost" totalsRowFunction="sum" dataDxfId="485" totalsRowDxfId="484"/>
    <tableColumn id="4" xr3:uid="{1F113FAB-A329-4777-A503-018C59A9B6F5}" name="Difference" totalsRowFunction="sum" dataDxfId="483" totalsRowDxfId="482">
      <calculatedColumnFormula>Transportation284052647617[[#This Row],[Projected Cost]]-Transportation284052647617[[#This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011CCB1-434B-468B-8CBD-EFABE99B2ADE}" name="Insurance294153657718" displayName="Insurance294153657718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37E5D088-F876-4339-9033-7B160BB1F805}" name="INSURANCE" totalsRowLabel="Subtotal"/>
    <tableColumn id="2" xr3:uid="{980AA057-E569-4AA3-8B4C-20CDE7E1307F}" name="Projected Cost" dataDxfId="481" totalsRowDxfId="480"/>
    <tableColumn id="3" xr3:uid="{EC33E1BC-7328-4B69-82DB-B10A86580207}" name="Actual Cost" dataDxfId="479" totalsRowDxfId="478"/>
    <tableColumn id="4" xr3:uid="{E4A95502-02E4-4BB6-BAAD-24CF18B87AE4}" name="Difference" totalsRowFunction="sum" dataDxfId="477" totalsRowDxfId="476">
      <calculatedColumnFormula>Insurance294153657718[[#This Row],[Projected Cost]]-Insurance294153657718[[#This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AE0F61E-16DB-47D4-8C0F-A51426EFD55C}" name="Taxes304254667819" displayName="Taxes304254667819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F7F221BD-AB08-465C-ADE6-A079F8F096FE}" name="TAXES" totalsRowLabel="Subtotal"/>
    <tableColumn id="2" xr3:uid="{25A7A609-E1F9-4579-BEAD-59DE01BCCD2D}" name="Projected Cost" dataDxfId="475" totalsRowDxfId="474"/>
    <tableColumn id="3" xr3:uid="{3C23AF48-D9C7-4328-B2EB-D96F93D550FF}" name="Actual Cost" dataDxfId="473" totalsRowDxfId="472"/>
    <tableColumn id="4" xr3:uid="{8BAFBAB2-2193-4158-89C7-9C7C0D43780F}" name="Difference" totalsRowFunction="sum" dataDxfId="471" totalsRowDxfId="470">
      <calculatedColumnFormula>Taxes304254667819[[#This Row],[Projected Cost]]-Taxes304254667819[[#This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22920D-4BCC-4107-832F-C290CDDA565B}" name="Savings314355677920" displayName="Savings314355677920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37388F55-3CC2-45F4-9A1F-EFD9DE94AADF}" name="SAVINGS OR INVESTMENTS" totalsRowLabel="Subtotal"/>
    <tableColumn id="2" xr3:uid="{5310E4EF-70CF-480E-8E8E-99A0DC7ABAD4}" name="Projected Cost" totalsRowFunction="sum" dataDxfId="469" totalsRowDxfId="468"/>
    <tableColumn id="3" xr3:uid="{94D3CD19-1389-43BC-BE9E-8AA0C26844D6}" name="Actual Cost" totalsRowFunction="sum" dataDxfId="467" totalsRowDxfId="466"/>
    <tableColumn id="4" xr3:uid="{30DD93E8-41B0-49A2-8F2E-11DA5E6A8103}" name="Difference" totalsRowFunction="sum" dataDxfId="465" totalsRowDxfId="464">
      <calculatedColumnFormula>Savings314355677920[[#This Row],[Projected Cost]]-Savings314355677920[[#This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EE35842-2843-4220-A7BD-ECB0D5E744DA}" name="Food32445668802193105" displayName="Food32445668802193105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44833F8A-7EBD-4F1B-BB48-1FE4E2DE46F5}" name="FOOD" totalsRowLabel="Subtotal"/>
    <tableColumn id="2" xr3:uid="{063D31DC-D320-43C8-B5A8-1E00D1150C7E}" name="Projected Cost" totalsRowFunction="sum" dataDxfId="871" totalsRowDxfId="870"/>
    <tableColumn id="3" xr3:uid="{B562C38B-9D55-4C5E-A5E3-627AD14E0AEF}" name="Actual Cost" totalsRowFunction="sum" dataDxfId="869" totalsRowDxfId="868"/>
    <tableColumn id="4" xr3:uid="{1F81FF07-B3D6-469D-A06D-E741CA0D9A5E}" name="Difference" totalsRowFunction="sum" dataDxfId="867" totalsRowDxfId="866">
      <calculatedColumnFormula>Food32445668802193105[[#This Row],[Projected Cost]]-Food32445668802193105[[#This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B55874-B85B-4B5D-8485-4AECB3DB1006}" name="Food324456688021" displayName="Food324456688021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635884A8-BD8E-4379-AE08-86531C62BC57}" name="FOOD" totalsRowLabel="Subtotal"/>
    <tableColumn id="2" xr3:uid="{7C485459-0D53-4E54-94D3-DB342482D248}" name="Projected Cost" totalsRowFunction="sum" dataDxfId="463" totalsRowDxfId="462"/>
    <tableColumn id="3" xr3:uid="{523DC93D-A7A5-44ED-A7EF-59FD388806A7}" name="Actual Cost" totalsRowFunction="sum" dataDxfId="461" totalsRowDxfId="460"/>
    <tableColumn id="4" xr3:uid="{DF7130FF-6F45-4CE1-8F50-45CF5A371403}" name="Difference" totalsRowFunction="sum" dataDxfId="459" totalsRowDxfId="458">
      <calculatedColumnFormula>Food324456688021[[#This Row],[Projected Cost]]-Food324456688021[[#This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251F3E5-FDAA-44B2-A605-0686B51CE533}" name="Gifts334557698122" displayName="Gifts334557698122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795DABE9-35CE-4605-ACD2-359935482121}" name="GIFTS AND DONATIONS" totalsRowLabel="Subtotal"/>
    <tableColumn id="2" xr3:uid="{F15836FB-66E9-4123-A072-C66BEE16F707}" name="Projected Cost" dataDxfId="457" totalsRowDxfId="456"/>
    <tableColumn id="3" xr3:uid="{095BE540-444F-436B-83C5-8CE69AD29E13}" name="Actual Cost" dataDxfId="455" totalsRowDxfId="454"/>
    <tableColumn id="4" xr3:uid="{32805299-B8B6-4865-A920-69A381A50368}" name="Difference" totalsRowFunction="sum" dataDxfId="453" totalsRowDxfId="452">
      <calculatedColumnFormula>Gifts334557698122[[#This Row],[Projected Cost]]-Gifts334557698122[[#This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81A324B-004B-424D-BFC1-9A684E22A51E}" name="Pets344658708223" displayName="Pets344658708223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66C4D6E5-5FE3-4E68-8984-005238C6DE6A}" name="PETS" totalsRowLabel="Subtotal"/>
    <tableColumn id="2" xr3:uid="{30B0DD22-8ABB-4690-B57F-45654AAE7FF1}" name="Projected Cost" dataDxfId="451" totalsRowDxfId="450"/>
    <tableColumn id="3" xr3:uid="{B018D293-72C2-4839-AAD5-3A6F9AEF1C65}" name="Actual Cost" dataDxfId="449" totalsRowDxfId="448"/>
    <tableColumn id="4" xr3:uid="{F3477B1F-A152-4279-AFFB-A11ECFEE6E46}" name="Difference" totalsRowFunction="sum" dataDxfId="447" totalsRowDxfId="446">
      <calculatedColumnFormula>Pets344658708223[[#This Row],[Projected Cost]]-Pets344658708223[[#This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CD224D2-C893-4A37-B478-4B889CFD6E15}" name="Legal354759718324" displayName="Legal354759718324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6C75FAC9-B8A9-4A80-9783-ABE0E610BB4B}" name="CHINNI EXPENSES" totalsRowLabel="Subtotal"/>
    <tableColumn id="2" xr3:uid="{3A16CD19-F909-480F-B958-653AD674C1FE}" name="Projected Cost" totalsRowFunction="sum" dataDxfId="445" totalsRowDxfId="11"/>
    <tableColumn id="3" xr3:uid="{8707E75B-DF83-4E2A-BE8F-27614C8F045E}" name="Actual Cost" totalsRowFunction="sum" dataDxfId="444" totalsRowDxfId="10"/>
    <tableColumn id="4" xr3:uid="{18ADB8DB-D504-4B85-A5D9-7CD4EBB73B68}" name="Difference" totalsRowFunction="sum" dataDxfId="443" totalsRowDxfId="9">
      <calculatedColumnFormula>Legal354759718324[[#This Row],[Projected Cost]]-Legal354759718324[[#This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20CD1BF6-613B-4DED-8F55-8EADB8B917A0}" name="PersonalCare364860728485" displayName="PersonalCare364860728485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86F0ED80-2122-46CC-AF66-FBC12B57310C}" name="PERSONAL CARE" totalsRowLabel="Subtotal" totalsRowDxfId="442"/>
    <tableColumn id="2" xr3:uid="{51B82506-87A7-4E9C-8C8C-6E09A285C89B}" name="z" totalsRowDxfId="441"/>
    <tableColumn id="3" xr3:uid="{E182D08C-DDD3-4A44-A9A6-4EE640639F5B}" name="Actual Cost" totalsRowDxfId="440"/>
    <tableColumn id="4" xr3:uid="{1401DF95-96F9-4F9A-9DE1-30CAAC7A8388}" name="Difference" totalsRowFunction="sum" totalsRowDxfId="439">
      <calculatedColumnFormula>PersonalCare364860728485[[#This Row],[z]]-PersonalCare364860728485[[#This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47C9F35-56DA-444F-A9EC-272F6AA26881}" name="Housing2537496173" displayName="Housing2537496173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9C57E1ED-00AE-4BA2-B8AE-18559A10EA9A}" name="HOUSING" totalsRowLabel="Subtotal" totalsRowDxfId="436"/>
    <tableColumn id="2" xr3:uid="{9D9BCD45-48A1-4BD6-8C7E-DB75D956DBB2}" name="Projected Cost" totalsRowFunction="sum" totalsRowDxfId="435"/>
    <tableColumn id="3" xr3:uid="{BF29C549-5783-4BB5-8F56-C7DFF61AC47A}" name="Actual Cost" totalsRowFunction="sum" totalsRowDxfId="434"/>
    <tableColumn id="4" xr3:uid="{B3AE509E-99CB-454D-ADAA-156409770D54}" name="Difference" totalsRowFunction="sum" totalsRowDxfId="433">
      <calculatedColumnFormula>Housing2537496173[[#This Row],[Projected Cost]]-Housing2537496173[[#This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AE52FF7E-F196-4DEA-9DE6-F8016AF02590}" name="Entertainment2638506274" displayName="Entertainment2638506274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9A56262-BE69-4D3F-BF60-098876F3F0A0}" name="ENTERTAINMENT" totalsRowLabel="Subtotal"/>
    <tableColumn id="2" xr3:uid="{14E8EE6E-1CD0-4183-A977-2B6DB06BC978}" name="Projected Cost" dataDxfId="432" totalsRowDxfId="431"/>
    <tableColumn id="3" xr3:uid="{CA28620F-B474-4807-8A3B-D7A57CA4E03F}" name="Actual Cost" dataDxfId="430" totalsRowDxfId="429"/>
    <tableColumn id="4" xr3:uid="{B97CE30A-E30D-4F6C-8420-1D51CF5E262D}" name="Difference" totalsRowFunction="sum" dataDxfId="428" totalsRowDxfId="427">
      <calculatedColumnFormula>Entertainment2638506274[[#This Row],[Projected Cost]]-Entertainment2638506274[[#This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3098C73-71CD-4F62-979B-EE1E112E5296}" name="Loans2739516375" displayName="Loans2739516375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BD44633D-B49B-40B3-A64B-50D93D02B094}" name="LOANS" totalsRowLabel="Subtotal"/>
    <tableColumn id="2" xr3:uid="{81F3FF60-1773-43F4-9014-68D6DB00AC5F}" name="Projected Cost" totalsRowFunction="sum" dataDxfId="426" totalsRowDxfId="425"/>
    <tableColumn id="3" xr3:uid="{E69836D6-D85C-4F78-9E86-1FD1729C30B5}" name="Actual Cost" totalsRowFunction="sum" dataDxfId="424" totalsRowDxfId="423"/>
    <tableColumn id="4" xr3:uid="{B7C79FFF-533B-4186-830A-C62D03D6E72F}" name="Difference" totalsRowFunction="sum" dataDxfId="422" totalsRowDxfId="421">
      <calculatedColumnFormula>Loans2739516375[[#This Row],[Projected Cost]]-Loans2739516375[[#This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A5524376-E0DA-4AF0-A369-80C9F7DAB9F7}" name="Transportation2840526476" displayName="Transportation2840526476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B9B4FF78-6A30-4893-9FC3-F9A63563DD7D}" name="TRANSPORTATION" totalsRowLabel="Subtotal"/>
    <tableColumn id="2" xr3:uid="{6512DCD2-60A4-4F56-BB93-93173618024F}" name="Projected Cost" totalsRowFunction="sum" dataDxfId="420" totalsRowDxfId="419"/>
    <tableColumn id="3" xr3:uid="{3B9E2FA0-5F0F-4D5D-AD2E-8A5E83C4F882}" name="Actual Cost" totalsRowFunction="sum" dataDxfId="418" totalsRowDxfId="417"/>
    <tableColumn id="4" xr3:uid="{D275DC5A-0DF5-4EEA-9C91-F614DB4604B9}" name="Difference" totalsRowFunction="sum" dataDxfId="416" totalsRowDxfId="415">
      <calculatedColumnFormula>Transportation2840526476[[#This Row],[Projected Cost]]-Transportation2840526476[[#This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80649CF-C07A-4F54-83E1-3010F85CCF5D}" name="Insurance2941536577" displayName="Insurance2941536577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FF98CE20-69F1-4FC0-AD0E-06F5FF8C4732}" name="INSURANCE" totalsRowLabel="Subtotal"/>
    <tableColumn id="2" xr3:uid="{D7271132-CC7B-4DE8-B0B8-5C20276F4695}" name="Projected Cost" dataDxfId="414" totalsRowDxfId="413"/>
    <tableColumn id="3" xr3:uid="{A354842B-9510-4D1C-9862-02F8C132FC24}" name="Actual Cost" dataDxfId="412" totalsRowDxfId="411"/>
    <tableColumn id="4" xr3:uid="{2D49493B-03BE-41B6-B5DA-9C4843899C48}" name="Difference" totalsRowFunction="sum" dataDxfId="410" totalsRowDxfId="409">
      <calculatedColumnFormula>Insurance2941536577[[#This Row],[Projected Cost]]-Insurance2941536577[[#This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25CB5A83-2DEF-46E9-A1FC-93F76E63FE58}" name="Gifts33455769812294106" displayName="Gifts33455769812294106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3DD27CC4-CB4B-4B03-A904-F6F412F6725D}" name="GIFTS AND DONATIONS" totalsRowLabel="Subtotal"/>
    <tableColumn id="2" xr3:uid="{19AACE1C-E2ED-4E98-9088-4A54E9327813}" name="Projected Cost" dataDxfId="865" totalsRowDxfId="864"/>
    <tableColumn id="3" xr3:uid="{70FCA608-B8AD-4172-8677-77C8A5CCF3A6}" name="Actual Cost" dataDxfId="863" totalsRowDxfId="862"/>
    <tableColumn id="4" xr3:uid="{96EBBA54-FCBB-4FF9-B858-EBF96CEEE981}" name="Difference" totalsRowFunction="sum" dataDxfId="861" totalsRowDxfId="860">
      <calculatedColumnFormula>Gifts33455769812294106[[#This Row],[Projected Cost]]-Gifts33455769812294106[[#This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6F7F02D0-946C-4FF8-9B50-58BA35B5F613}" name="Taxes3042546678" displayName="Taxes3042546678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FD448E4A-672A-443D-91ED-72772C9B4592}" name="TAXES" totalsRowLabel="Subtotal"/>
    <tableColumn id="2" xr3:uid="{D1EB5634-67AD-46F9-8E2B-F8E6CAE3C84C}" name="Projected Cost" dataDxfId="408" totalsRowDxfId="407"/>
    <tableColumn id="3" xr3:uid="{A7E12A72-8A5C-4E61-AAA0-C039C49CF226}" name="Actual Cost" dataDxfId="406" totalsRowDxfId="405"/>
    <tableColumn id="4" xr3:uid="{2F650FCB-F94E-4F60-8E14-836A7B7A20C5}" name="Difference" totalsRowFunction="sum" dataDxfId="404" totalsRowDxfId="403">
      <calculatedColumnFormula>Taxes3042546678[[#This Row],[Projected Cost]]-Taxes3042546678[[#This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E3B0D744-EA4A-4027-96D3-E6ADF66AD467}" name="Savings3143556779" displayName="Savings3143556779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776A32A2-8A17-4179-91C9-6F9B6B3EAFB0}" name="SAVINGS OR INVESTMENTS" totalsRowLabel="Subtotal"/>
    <tableColumn id="2" xr3:uid="{5B8F6102-9F21-4E9B-91A0-7B14ABCEC2FD}" name="Projected Cost" totalsRowFunction="sum" dataDxfId="402" totalsRowDxfId="401"/>
    <tableColumn id="3" xr3:uid="{A9E566FD-E53E-43BA-85A6-F1407A0C094B}" name="Actual Cost" totalsRowFunction="sum" dataDxfId="400" totalsRowDxfId="399"/>
    <tableColumn id="4" xr3:uid="{E1199128-EA9E-4073-B4DD-A6154C8CE0A2}" name="Difference" totalsRowFunction="sum" dataDxfId="398" totalsRowDxfId="397">
      <calculatedColumnFormula>Savings3143556779[[#This Row],[Projected Cost]]-Savings3143556779[[#This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2F555893-A05A-43E5-864C-6A0A9AA5B71E}" name="Food3244566880" displayName="Food3244566880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C26CA9C0-39A1-4B64-8916-B11DB808DA94}" name="FOOD" totalsRowLabel="Subtotal"/>
    <tableColumn id="2" xr3:uid="{B8FBD2A0-7152-4846-85B3-D0705A33B263}" name="Projected Cost" totalsRowFunction="sum" dataDxfId="396" totalsRowDxfId="395"/>
    <tableColumn id="3" xr3:uid="{9D5FBB5D-D0EB-4555-9991-7CDA272FE405}" name="Actual Cost" totalsRowFunction="sum" dataDxfId="394" totalsRowDxfId="393"/>
    <tableColumn id="4" xr3:uid="{F084C36B-FA3E-4A1F-B290-32E1AEAA6DB6}" name="Difference" totalsRowFunction="sum" dataDxfId="392" totalsRowDxfId="391">
      <calculatedColumnFormula>Food3244566880[[#This Row],[Projected Cost]]-Food3244566880[[#This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6EB1B3D8-C03E-415B-9874-4855E8E31372}" name="Gifts3345576981" displayName="Gifts3345576981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14C9BDE6-1678-4A79-9668-45CEBCC167ED}" name="GIFTS AND DONATIONS" totalsRowLabel="Subtotal"/>
    <tableColumn id="2" xr3:uid="{8A74779D-5338-462C-B72D-1D3DDB89A242}" name="Projected Cost" dataDxfId="390" totalsRowDxfId="389"/>
    <tableColumn id="3" xr3:uid="{14591FF4-82C5-4F5B-92C2-F8728023E0C5}" name="Actual Cost" dataDxfId="388" totalsRowDxfId="387"/>
    <tableColumn id="4" xr3:uid="{012CE4E2-9129-4EF3-BCB0-2D0E83987FE0}" name="Difference" totalsRowFunction="sum" dataDxfId="386" totalsRowDxfId="385">
      <calculatedColumnFormula>Gifts3345576981[[#This Row],[Projected Cost]]-Gifts3345576981[[#This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5E698692-9E67-4BE0-BB65-4B4BA2BEE1DA}" name="Pets3446587082" displayName="Pets3446587082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CC6F0123-177A-48F6-843F-0FB1EE67F497}" name="PETS" totalsRowLabel="Subtotal"/>
    <tableColumn id="2" xr3:uid="{76DABA45-DC75-48A9-8327-C3B8BF749A94}" name="Projected Cost" dataDxfId="384" totalsRowDxfId="383"/>
    <tableColumn id="3" xr3:uid="{FDB45139-BD9A-4A8D-9233-CB4D28F97BCC}" name="Actual Cost" dataDxfId="382" totalsRowDxfId="381"/>
    <tableColumn id="4" xr3:uid="{3BF19074-2798-485F-BA34-7F3444DC643C}" name="Difference" totalsRowFunction="sum" dataDxfId="380" totalsRowDxfId="379">
      <calculatedColumnFormula>Pets3446587082[[#This Row],[Projected Cost]]-Pets3446587082[[#This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25A5EA18-F67C-4EC8-BE78-CFEEAC11557B}" name="Legal3547597183" displayName="Legal3547597183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250982FA-504E-4AB3-88C7-150F6341E57B}" name="CHINNI EXPENSES" totalsRowLabel="Subtotal"/>
    <tableColumn id="2" xr3:uid="{5E13E95E-7F00-4341-8A78-E4622F8D58F4}" name="Projected Cost" totalsRowFunction="sum" dataDxfId="378" totalsRowDxfId="377"/>
    <tableColumn id="3" xr3:uid="{09A129B0-31C9-4AF8-8A8D-A9DB89AAC717}" name="Actual Cost" totalsRowFunction="sum" dataDxfId="376" totalsRowDxfId="375"/>
    <tableColumn id="4" xr3:uid="{5A5C3D49-63CA-4B78-B5B3-31321454EFA4}" name="Difference" totalsRowFunction="sum" dataDxfId="374" totalsRowDxfId="373">
      <calculatedColumnFormula>Legal3547597183[[#This Row],[Projected Cost]]-Legal3547597183[[#This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BA028F9-5A3B-4CD2-A2AE-7EF726A12CC0}" name="PersonalCare3648607284" displayName="PersonalCare3648607284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4F9DFC94-5A3D-466D-95B5-09982E83BCAE}" name="PERSONAL CARE" totalsRowLabel="Subtotal" totalsRowDxfId="372"/>
    <tableColumn id="2" xr3:uid="{32729EE4-BE4C-47D2-9054-2D2E58C1A3F3}" name="z" totalsRowDxfId="371"/>
    <tableColumn id="3" xr3:uid="{FCDE8BEB-137B-4401-B127-2A0EFA26CD0A}" name="Actual Cost" totalsRowDxfId="370"/>
    <tableColumn id="4" xr3:uid="{5575A86E-499E-42C6-862A-D377BC6125A4}" name="Difference" totalsRowFunction="sum" totalsRowDxfId="369">
      <calculatedColumnFormula>PersonalCare3648607284[[#This Row],[z]]-PersonalCare3648607284[[#This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D1B23C6-B978-4ADC-8DCC-3DA653A74963}" name="Housing25374961" displayName="Housing25374961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4B36B1F2-176B-4D7F-B0A0-33B04C0D2A17}" name="HOUSING" totalsRowLabel="Subtotal" totalsRowDxfId="366"/>
    <tableColumn id="2" xr3:uid="{B3F9A8CF-58A8-4972-BD49-4EBF4324447F}" name="Projected Cost" totalsRowFunction="sum" totalsRowDxfId="365"/>
    <tableColumn id="3" xr3:uid="{5F04415E-13D2-4C4A-B179-8CF529A7F9DC}" name="Actual Cost" totalsRowFunction="sum" totalsRowDxfId="364"/>
    <tableColumn id="4" xr3:uid="{4914DF69-B829-4752-970B-917A22C506DA}" name="Difference" totalsRowFunction="sum" totalsRowDxfId="363">
      <calculatedColumnFormula>Housing25374961[[#This Row],[Projected Cost]]-Housing25374961[[#This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3DF059A2-BB7B-4139-A89D-CF412D6FB5D0}" name="Entertainment26385062" displayName="Entertainment26385062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AC3E215B-F22F-402A-B345-AD68A1D968AA}" name="ENTERTAINMENT" totalsRowLabel="Subtotal"/>
    <tableColumn id="2" xr3:uid="{684307A5-59C2-4400-B403-7CAAF7E8022F}" name="Projected Cost" dataDxfId="362" totalsRowDxfId="361"/>
    <tableColumn id="3" xr3:uid="{FB23AE16-10D9-4B3E-B935-9DBE537714FC}" name="Actual Cost" dataDxfId="360" totalsRowDxfId="359"/>
    <tableColumn id="4" xr3:uid="{A6FAF5B9-9856-4318-90AE-1E9BA0C5DEAB}" name="Difference" totalsRowFunction="sum" dataDxfId="358" totalsRowDxfId="357">
      <calculatedColumnFormula>Entertainment26385062[[#This Row],[Projected Cost]]-Entertainment26385062[[#This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83FDD46-B9B2-4F97-97DA-411518D6F930}" name="Loans27395163" displayName="Loans27395163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9F52DEB8-205A-4537-A245-2E770221C157}" name="LOANS" totalsRowLabel="Subtotal"/>
    <tableColumn id="2" xr3:uid="{7E6D9338-F071-45B7-8531-68B54BB7BCCC}" name="Projected Cost" totalsRowFunction="sum" dataDxfId="356" totalsRowDxfId="355"/>
    <tableColumn id="3" xr3:uid="{23FFF3FF-CA40-4E34-B2A1-778BAB1BE9B9}" name="Actual Cost" totalsRowFunction="sum" dataDxfId="354" totalsRowDxfId="353"/>
    <tableColumn id="4" xr3:uid="{FCDC664A-164C-4FA6-AB0B-168FB17D92CB}" name="Difference" totalsRowFunction="sum" dataDxfId="352" totalsRowDxfId="351">
      <calculatedColumnFormula>Loans27395163[[#This Row],[Projected Cost]]-Loans27395163[[#This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3.xml"/><Relationship Id="rId13" Type="http://schemas.openxmlformats.org/officeDocument/2006/relationships/table" Target="../tables/table108.xml"/><Relationship Id="rId3" Type="http://schemas.openxmlformats.org/officeDocument/2006/relationships/table" Target="../tables/table98.xml"/><Relationship Id="rId7" Type="http://schemas.openxmlformats.org/officeDocument/2006/relationships/table" Target="../tables/table102.xml"/><Relationship Id="rId12" Type="http://schemas.openxmlformats.org/officeDocument/2006/relationships/table" Target="../tables/table107.xml"/><Relationship Id="rId2" Type="http://schemas.openxmlformats.org/officeDocument/2006/relationships/table" Target="../tables/table97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101.xml"/><Relationship Id="rId11" Type="http://schemas.openxmlformats.org/officeDocument/2006/relationships/table" Target="../tables/table106.xml"/><Relationship Id="rId5" Type="http://schemas.openxmlformats.org/officeDocument/2006/relationships/table" Target="../tables/table100.xml"/><Relationship Id="rId10" Type="http://schemas.openxmlformats.org/officeDocument/2006/relationships/table" Target="../tables/table105.xml"/><Relationship Id="rId4" Type="http://schemas.openxmlformats.org/officeDocument/2006/relationships/table" Target="../tables/table99.xml"/><Relationship Id="rId9" Type="http://schemas.openxmlformats.org/officeDocument/2006/relationships/table" Target="../tables/table10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5.xml"/><Relationship Id="rId13" Type="http://schemas.openxmlformats.org/officeDocument/2006/relationships/table" Target="../tables/table120.xml"/><Relationship Id="rId3" Type="http://schemas.openxmlformats.org/officeDocument/2006/relationships/table" Target="../tables/table110.xml"/><Relationship Id="rId7" Type="http://schemas.openxmlformats.org/officeDocument/2006/relationships/table" Target="../tables/table114.xml"/><Relationship Id="rId12" Type="http://schemas.openxmlformats.org/officeDocument/2006/relationships/table" Target="../tables/table119.xml"/><Relationship Id="rId2" Type="http://schemas.openxmlformats.org/officeDocument/2006/relationships/table" Target="../tables/table109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13.xml"/><Relationship Id="rId11" Type="http://schemas.openxmlformats.org/officeDocument/2006/relationships/table" Target="../tables/table118.xml"/><Relationship Id="rId5" Type="http://schemas.openxmlformats.org/officeDocument/2006/relationships/table" Target="../tables/table112.xml"/><Relationship Id="rId10" Type="http://schemas.openxmlformats.org/officeDocument/2006/relationships/table" Target="../tables/table117.xml"/><Relationship Id="rId4" Type="http://schemas.openxmlformats.org/officeDocument/2006/relationships/table" Target="../tables/table111.xml"/><Relationship Id="rId9" Type="http://schemas.openxmlformats.org/officeDocument/2006/relationships/table" Target="../tables/table1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7.xml"/><Relationship Id="rId13" Type="http://schemas.openxmlformats.org/officeDocument/2006/relationships/table" Target="../tables/table132.xml"/><Relationship Id="rId3" Type="http://schemas.openxmlformats.org/officeDocument/2006/relationships/table" Target="../tables/table122.xml"/><Relationship Id="rId7" Type="http://schemas.openxmlformats.org/officeDocument/2006/relationships/table" Target="../tables/table126.xml"/><Relationship Id="rId12" Type="http://schemas.openxmlformats.org/officeDocument/2006/relationships/table" Target="../tables/table131.xml"/><Relationship Id="rId2" Type="http://schemas.openxmlformats.org/officeDocument/2006/relationships/table" Target="../tables/table12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25.xml"/><Relationship Id="rId11" Type="http://schemas.openxmlformats.org/officeDocument/2006/relationships/table" Target="../tables/table130.xml"/><Relationship Id="rId5" Type="http://schemas.openxmlformats.org/officeDocument/2006/relationships/table" Target="../tables/table124.xml"/><Relationship Id="rId10" Type="http://schemas.openxmlformats.org/officeDocument/2006/relationships/table" Target="../tables/table129.xml"/><Relationship Id="rId4" Type="http://schemas.openxmlformats.org/officeDocument/2006/relationships/table" Target="../tables/table123.xml"/><Relationship Id="rId9" Type="http://schemas.openxmlformats.org/officeDocument/2006/relationships/table" Target="../tables/table1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9.xml"/><Relationship Id="rId13" Type="http://schemas.openxmlformats.org/officeDocument/2006/relationships/table" Target="../tables/table144.xml"/><Relationship Id="rId3" Type="http://schemas.openxmlformats.org/officeDocument/2006/relationships/table" Target="../tables/table134.xml"/><Relationship Id="rId7" Type="http://schemas.openxmlformats.org/officeDocument/2006/relationships/table" Target="../tables/table138.xml"/><Relationship Id="rId12" Type="http://schemas.openxmlformats.org/officeDocument/2006/relationships/table" Target="../tables/table143.xml"/><Relationship Id="rId2" Type="http://schemas.openxmlformats.org/officeDocument/2006/relationships/table" Target="../tables/table13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137.xml"/><Relationship Id="rId11" Type="http://schemas.openxmlformats.org/officeDocument/2006/relationships/table" Target="../tables/table142.xml"/><Relationship Id="rId5" Type="http://schemas.openxmlformats.org/officeDocument/2006/relationships/table" Target="../tables/table136.xml"/><Relationship Id="rId10" Type="http://schemas.openxmlformats.org/officeDocument/2006/relationships/table" Target="../tables/table141.xml"/><Relationship Id="rId4" Type="http://schemas.openxmlformats.org/officeDocument/2006/relationships/table" Target="../tables/table135.xml"/><Relationship Id="rId9" Type="http://schemas.openxmlformats.org/officeDocument/2006/relationships/table" Target="../tables/table14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0.xml"/><Relationship Id="rId13" Type="http://schemas.openxmlformats.org/officeDocument/2006/relationships/table" Target="../tables/table155.xml"/><Relationship Id="rId3" Type="http://schemas.openxmlformats.org/officeDocument/2006/relationships/table" Target="../tables/table145.xml"/><Relationship Id="rId7" Type="http://schemas.openxmlformats.org/officeDocument/2006/relationships/table" Target="../tables/table149.xml"/><Relationship Id="rId12" Type="http://schemas.openxmlformats.org/officeDocument/2006/relationships/table" Target="../tables/table15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148.xml"/><Relationship Id="rId11" Type="http://schemas.openxmlformats.org/officeDocument/2006/relationships/table" Target="../tables/table153.xml"/><Relationship Id="rId5" Type="http://schemas.openxmlformats.org/officeDocument/2006/relationships/table" Target="../tables/table147.xml"/><Relationship Id="rId10" Type="http://schemas.openxmlformats.org/officeDocument/2006/relationships/table" Target="../tables/table152.xml"/><Relationship Id="rId4" Type="http://schemas.openxmlformats.org/officeDocument/2006/relationships/table" Target="../tables/table146.xml"/><Relationship Id="rId9" Type="http://schemas.openxmlformats.org/officeDocument/2006/relationships/table" Target="../tables/table151.xml"/><Relationship Id="rId14" Type="http://schemas.openxmlformats.org/officeDocument/2006/relationships/table" Target="../tables/table15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3.xml"/><Relationship Id="rId13" Type="http://schemas.openxmlformats.org/officeDocument/2006/relationships/table" Target="../tables/table48.xml"/><Relationship Id="rId3" Type="http://schemas.openxmlformats.org/officeDocument/2006/relationships/table" Target="../tables/table38.xml"/><Relationship Id="rId7" Type="http://schemas.openxmlformats.org/officeDocument/2006/relationships/table" Target="../tables/table42.xml"/><Relationship Id="rId12" Type="http://schemas.openxmlformats.org/officeDocument/2006/relationships/table" Target="../tables/table47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41.xml"/><Relationship Id="rId11" Type="http://schemas.openxmlformats.org/officeDocument/2006/relationships/table" Target="../tables/table46.xml"/><Relationship Id="rId5" Type="http://schemas.openxmlformats.org/officeDocument/2006/relationships/table" Target="../tables/table40.xml"/><Relationship Id="rId10" Type="http://schemas.openxmlformats.org/officeDocument/2006/relationships/table" Target="../tables/table45.xml"/><Relationship Id="rId4" Type="http://schemas.openxmlformats.org/officeDocument/2006/relationships/table" Target="../tables/table39.xml"/><Relationship Id="rId9" Type="http://schemas.openxmlformats.org/officeDocument/2006/relationships/table" Target="../tables/table4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13" Type="http://schemas.openxmlformats.org/officeDocument/2006/relationships/table" Target="../tables/table60.xml"/><Relationship Id="rId3" Type="http://schemas.openxmlformats.org/officeDocument/2006/relationships/table" Target="../tables/table50.xml"/><Relationship Id="rId7" Type="http://schemas.openxmlformats.org/officeDocument/2006/relationships/table" Target="../tables/table54.xml"/><Relationship Id="rId12" Type="http://schemas.openxmlformats.org/officeDocument/2006/relationships/table" Target="../tables/table59.xml"/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3.xml"/><Relationship Id="rId11" Type="http://schemas.openxmlformats.org/officeDocument/2006/relationships/table" Target="../tables/table58.xml"/><Relationship Id="rId5" Type="http://schemas.openxmlformats.org/officeDocument/2006/relationships/table" Target="../tables/table52.xml"/><Relationship Id="rId10" Type="http://schemas.openxmlformats.org/officeDocument/2006/relationships/table" Target="../tables/table57.xml"/><Relationship Id="rId4" Type="http://schemas.openxmlformats.org/officeDocument/2006/relationships/table" Target="../tables/table51.xml"/><Relationship Id="rId9" Type="http://schemas.openxmlformats.org/officeDocument/2006/relationships/table" Target="../tables/table5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7.xml"/><Relationship Id="rId13" Type="http://schemas.openxmlformats.org/officeDocument/2006/relationships/table" Target="../tables/table72.xml"/><Relationship Id="rId3" Type="http://schemas.openxmlformats.org/officeDocument/2006/relationships/table" Target="../tables/table62.xml"/><Relationship Id="rId7" Type="http://schemas.openxmlformats.org/officeDocument/2006/relationships/table" Target="../tables/table66.xml"/><Relationship Id="rId12" Type="http://schemas.openxmlformats.org/officeDocument/2006/relationships/table" Target="../tables/table71.xml"/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65.xml"/><Relationship Id="rId11" Type="http://schemas.openxmlformats.org/officeDocument/2006/relationships/table" Target="../tables/table70.xml"/><Relationship Id="rId5" Type="http://schemas.openxmlformats.org/officeDocument/2006/relationships/table" Target="../tables/table64.xml"/><Relationship Id="rId10" Type="http://schemas.openxmlformats.org/officeDocument/2006/relationships/table" Target="../tables/table69.xml"/><Relationship Id="rId4" Type="http://schemas.openxmlformats.org/officeDocument/2006/relationships/table" Target="../tables/table63.xml"/><Relationship Id="rId9" Type="http://schemas.openxmlformats.org/officeDocument/2006/relationships/table" Target="../tables/table6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9.xml"/><Relationship Id="rId13" Type="http://schemas.openxmlformats.org/officeDocument/2006/relationships/table" Target="../tables/table84.xml"/><Relationship Id="rId3" Type="http://schemas.openxmlformats.org/officeDocument/2006/relationships/table" Target="../tables/table74.xml"/><Relationship Id="rId7" Type="http://schemas.openxmlformats.org/officeDocument/2006/relationships/table" Target="../tables/table78.xml"/><Relationship Id="rId12" Type="http://schemas.openxmlformats.org/officeDocument/2006/relationships/table" Target="../tables/table83.xml"/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7.xml"/><Relationship Id="rId11" Type="http://schemas.openxmlformats.org/officeDocument/2006/relationships/table" Target="../tables/table82.xml"/><Relationship Id="rId5" Type="http://schemas.openxmlformats.org/officeDocument/2006/relationships/table" Target="../tables/table76.xml"/><Relationship Id="rId10" Type="http://schemas.openxmlformats.org/officeDocument/2006/relationships/table" Target="../tables/table81.xml"/><Relationship Id="rId4" Type="http://schemas.openxmlformats.org/officeDocument/2006/relationships/table" Target="../tables/table75.xml"/><Relationship Id="rId9" Type="http://schemas.openxmlformats.org/officeDocument/2006/relationships/table" Target="../tables/table8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1.xml"/><Relationship Id="rId13" Type="http://schemas.openxmlformats.org/officeDocument/2006/relationships/table" Target="../tables/table96.xml"/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12" Type="http://schemas.openxmlformats.org/officeDocument/2006/relationships/table" Target="../tables/table95.xml"/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89.xml"/><Relationship Id="rId11" Type="http://schemas.openxmlformats.org/officeDocument/2006/relationships/table" Target="../tables/table94.xml"/><Relationship Id="rId5" Type="http://schemas.openxmlformats.org/officeDocument/2006/relationships/table" Target="../tables/table88.xml"/><Relationship Id="rId10" Type="http://schemas.openxmlformats.org/officeDocument/2006/relationships/table" Target="../tables/table93.xml"/><Relationship Id="rId4" Type="http://schemas.openxmlformats.org/officeDocument/2006/relationships/table" Target="../tables/table87.xml"/><Relationship Id="rId9" Type="http://schemas.openxmlformats.org/officeDocument/2006/relationships/table" Target="../tables/table9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/>
  </sheetViews>
  <sheetFormatPr defaultRowHeight="13" x14ac:dyDescent="0.3"/>
  <cols>
    <col min="1" max="1" width="2.69921875" customWidth="1"/>
    <col min="2" max="2" width="80.69921875" customWidth="1"/>
    <col min="3" max="3" width="2.69921875" customWidth="1"/>
  </cols>
  <sheetData>
    <row r="1" spans="2:2" s="15" customFormat="1" ht="30" customHeight="1" x14ac:dyDescent="0.3">
      <c r="B1" s="14" t="s">
        <v>73</v>
      </c>
    </row>
    <row r="2" spans="2:2" ht="30" customHeight="1" x14ac:dyDescent="0.3">
      <c r="B2" s="10" t="s">
        <v>68</v>
      </c>
    </row>
    <row r="3" spans="2:2" ht="30" customHeight="1" x14ac:dyDescent="0.3">
      <c r="B3" s="10" t="s">
        <v>69</v>
      </c>
    </row>
    <row r="4" spans="2:2" ht="30" customHeight="1" x14ac:dyDescent="0.3">
      <c r="B4" s="10" t="s">
        <v>76</v>
      </c>
    </row>
    <row r="5" spans="2:2" ht="30" customHeight="1" x14ac:dyDescent="0.3">
      <c r="B5" s="11" t="s">
        <v>70</v>
      </c>
    </row>
    <row r="6" spans="2:2" ht="45.75" customHeight="1" x14ac:dyDescent="0.3">
      <c r="B6" s="10" t="s">
        <v>71</v>
      </c>
    </row>
    <row r="7" spans="2:2" ht="36.75" customHeight="1" x14ac:dyDescent="0.3">
      <c r="B7" s="10" t="s">
        <v>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F50C-A6FC-402A-A7A6-581E7BA199DA}">
  <sheetPr>
    <tabColor theme="4"/>
    <pageSetUpPr autoPageBreaks="0" fitToPage="1"/>
  </sheetPr>
  <dimension ref="A1:J68"/>
  <sheetViews>
    <sheetView showGridLines="0" topLeftCell="A34" zoomScale="85" zoomScaleNormal="85" workbookViewId="0">
      <selection activeCell="B16" sqref="B16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105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v>85000</v>
      </c>
      <c r="G4" s="43" t="s">
        <v>97</v>
      </c>
      <c r="H4" s="44"/>
      <c r="I4" s="44"/>
      <c r="J4" s="37">
        <f>E6-J65</f>
        <v>16880</v>
      </c>
    </row>
    <row r="5" spans="1:10" x14ac:dyDescent="0.3">
      <c r="B5" s="39"/>
      <c r="C5" s="41" t="s">
        <v>111</v>
      </c>
      <c r="D5" s="42"/>
      <c r="E5" s="6">
        <v>23000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108000</v>
      </c>
      <c r="G6" s="43" t="s">
        <v>96</v>
      </c>
      <c r="H6" s="44"/>
      <c r="I6" s="44"/>
      <c r="J6" s="37">
        <f>E10-J65</f>
        <v>-91120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-108000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f>20000+100</f>
        <v>20100</v>
      </c>
      <c r="D13" s="9">
        <f>20000+100</f>
        <v>20100</v>
      </c>
      <c r="E13" s="9">
        <f>Housing25374961[[#This Row],[Projected Cost]]-Housing25374961[[#This Row],[Actual Cost]]</f>
        <v>0</v>
      </c>
      <c r="G13" t="s">
        <v>11</v>
      </c>
      <c r="H13" s="3"/>
      <c r="I13" s="3"/>
      <c r="J13" s="3">
        <f>Entertainment26385062[[#This Row],[Projected Cost]]-Entertainment26385062[[#This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Housing25374961[[#This Row],[Projected Cost]]-Housing25374961[[#This Row],[Actual Cost]]</f>
        <v>0</v>
      </c>
      <c r="G14" t="s">
        <v>13</v>
      </c>
      <c r="H14" s="3"/>
      <c r="I14" s="3"/>
      <c r="J14" s="3">
        <f>Entertainment26385062[[#This Row],[Projected Cost]]-Entertainment26385062[[#This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Housing25374961[[#This Row],[Projected Cost]]-Housing25374961[[#This Row],[Actual Cost]]</f>
        <v>0</v>
      </c>
      <c r="G15" t="s">
        <v>15</v>
      </c>
      <c r="H15" s="3"/>
      <c r="I15" s="3"/>
      <c r="J15" s="3">
        <f>Entertainment26385062[[#This Row],[Projected Cost]]-Entertainment26385062[[#This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Housing25374961[[#This Row],[Projected Cost]]-Housing25374961[[#This Row],[Actual Cost]]</f>
        <v>0</v>
      </c>
      <c r="G16" t="s">
        <v>17</v>
      </c>
      <c r="H16" s="3"/>
      <c r="I16" s="3"/>
      <c r="J16" s="3">
        <f>Entertainment26385062[[#This Row],[Projected Cost]]-Entertainment26385062[[#This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Housing25374961[[#This Row],[Projected Cost]]-Housing25374961[[#This Row],[Actual Cost]]</f>
        <v>0</v>
      </c>
      <c r="G17" t="s">
        <v>19</v>
      </c>
      <c r="H17" s="3"/>
      <c r="I17" s="3"/>
      <c r="J17" s="3">
        <f>Entertainment26385062[[#This Row],[Projected Cost]]-Entertainment26385062[[#This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Housing25374961[[#This Row],[Projected Cost]]-Housing25374961[[#This Row],[Actual Cost]]</f>
        <v>0</v>
      </c>
      <c r="G18" t="s">
        <v>21</v>
      </c>
      <c r="H18" s="3"/>
      <c r="I18" s="3"/>
      <c r="J18" s="3">
        <f>Entertainment26385062[[#This Row],[Projected Cost]]-Entertainment26385062[[#This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Housing25374961[[#This Row],[Projected Cost]]-Housing25374961[[#This Row],[Actual Cost]]</f>
        <v>0</v>
      </c>
      <c r="G19" t="s">
        <v>23</v>
      </c>
      <c r="H19" s="3"/>
      <c r="I19" s="3"/>
      <c r="J19" s="3">
        <f>Entertainment26385062[[#This Row],[Projected Cost]]-Entertainment26385062[[#This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Housing25374961[[#This Row],[Projected Cost]]-Housing25374961[[#This Row],[Actual Cost]]</f>
        <v>0</v>
      </c>
      <c r="G20" t="s">
        <v>23</v>
      </c>
      <c r="H20" s="3"/>
      <c r="I20" s="3"/>
      <c r="J20" s="3">
        <f>Entertainment26385062[[#This Row],[Projected Cost]]-Entertainment26385062[[#This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Housing25374961[[#This Row],[Projected Cost]]-Housing25374961[[#This Row],[Actual Cost]]</f>
        <v>0</v>
      </c>
      <c r="G21" t="s">
        <v>23</v>
      </c>
      <c r="H21" s="3"/>
      <c r="I21" s="3"/>
      <c r="J21" s="3">
        <f>Entertainment26385062[[#This Row],[Projected Cost]]-Entertainment26385062[[#This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Housing25374961[[#This Row],[Projected Cost]]-Housing25374961[[#This Row],[Actual Cost]]</f>
        <v>0</v>
      </c>
      <c r="G22" t="s">
        <v>66</v>
      </c>
      <c r="H22" s="3"/>
      <c r="I22" s="3"/>
      <c r="J22" s="3">
        <f>SUBTOTAL(109,Entertainment26385062[Difference])</f>
        <v>0</v>
      </c>
    </row>
    <row r="23" spans="1:10" x14ac:dyDescent="0.3">
      <c r="B23" s="8" t="s">
        <v>66</v>
      </c>
      <c r="C23" s="9">
        <f>SUBTOTAL(109,Housing25374961[Projected Cost])</f>
        <v>24000</v>
      </c>
      <c r="D23" s="9">
        <f>SUBTOTAL(109,Housing25374961[Actual Cost])</f>
        <v>24000</v>
      </c>
      <c r="E23" s="9">
        <f>SUBTOTAL(109,Housing25374961[Difference])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Loans27395163[[#This Row],[Projected Cost]]-Loans27395163[[#This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Transportation28405264[[#This Row],[Projected Cost]]-Transportation28405264[[#This Row],[Actual Cost]]</f>
        <v>0</v>
      </c>
      <c r="G26" t="s">
        <v>95</v>
      </c>
      <c r="H26" s="3">
        <v>21463</v>
      </c>
      <c r="I26" s="3">
        <v>21463</v>
      </c>
      <c r="J26" s="3">
        <f>Loans27395163[[#This Row],[Projected Cost]]-Loans27395163[[#This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Loans27395163[[#This Row],[Projected Cost]]-Loans27395163[[#This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Transportation28405264[[#This Row],[Projected Cost]]-Transportation28405264[[#This Row],[Actual Cost]]</f>
        <v>0</v>
      </c>
      <c r="G28" t="s">
        <v>89</v>
      </c>
      <c r="H28" s="3">
        <v>0</v>
      </c>
      <c r="I28" s="3">
        <v>0</v>
      </c>
      <c r="J28" s="3">
        <f>Loans27395163[[#This Row],[Projected Cost]]-Loans27395163[[#This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Transportation28405264[[#This Row],[Projected Cost]]-Transportation28405264[[#This Row],[Actual Cost]]</f>
        <v>0</v>
      </c>
      <c r="G29" t="s">
        <v>87</v>
      </c>
      <c r="H29" s="3">
        <v>5375</v>
      </c>
      <c r="I29" s="3">
        <v>5375</v>
      </c>
      <c r="J29" s="3">
        <f>Loans27395163[[#This Row],[Projected Cost]]-Loans27395163[[#This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Transportation28405264[[#This Row],[Projected Cost]]-Transportation28405264[[#This Row],[Actual Cost]]</f>
        <v>0</v>
      </c>
      <c r="G30" t="s">
        <v>103</v>
      </c>
      <c r="H30" s="3">
        <v>10000</v>
      </c>
      <c r="I30" s="3">
        <v>10000</v>
      </c>
      <c r="J30" s="3">
        <f>Loans27395163[[#This Row],[Projected Cost]]-Loans27395163[[#This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Transportation28405264[[#This Row],[Projected Cost]]-Transportation28405264[[#This Row],[Actual Cost]]</f>
        <v>0</v>
      </c>
      <c r="G31" t="s">
        <v>104</v>
      </c>
      <c r="H31" s="3">
        <v>0</v>
      </c>
      <c r="I31" s="3">
        <v>0</v>
      </c>
      <c r="J31" s="3">
        <f>Loans27395163[[#This Row],[Projected Cost]]-Loans27395163[[#This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Transportation28405264[[#This Row],[Projected Cost]]-Transportation28405264[[#This Row],[Actual Cost]]</f>
        <v>0</v>
      </c>
      <c r="G32" t="s">
        <v>100</v>
      </c>
      <c r="H32" s="3">
        <v>0</v>
      </c>
      <c r="I32" s="3">
        <v>0</v>
      </c>
      <c r="J32" s="3">
        <f>Loans27395163[[#This Row],[Projected Cost]]-Loans27395163[[#This Row],[Actual Cost]]</f>
        <v>0</v>
      </c>
    </row>
    <row r="33" spans="1:10" x14ac:dyDescent="0.3">
      <c r="B33" t="s">
        <v>66</v>
      </c>
      <c r="C33" s="3">
        <f>SUBTOTAL(109,Transportation28405264[Projected Cost])</f>
        <v>5300</v>
      </c>
      <c r="D33" s="3">
        <f>SUBTOTAL(109,Transportation28405264[Actual Cost])</f>
        <v>5300</v>
      </c>
      <c r="E33" s="3">
        <f>SUBTOTAL(109,Transportation28405264[Difference])</f>
        <v>0</v>
      </c>
      <c r="G33" t="s">
        <v>66</v>
      </c>
      <c r="H33" s="3">
        <f>SUBTOTAL(109,Loans27395163[Projected Cost])</f>
        <v>36838</v>
      </c>
      <c r="I33" s="3">
        <f>SUBTOTAL(109,Loans27395163[Actual Cost])</f>
        <v>36838</v>
      </c>
      <c r="J33" s="3">
        <f>SUBTOTAL(109,Loans27395163[Difference])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Insurance29415365[[#This Row],[Projected Cost]]-Insurance29415365[[#This Row],[Actual Cost]]</f>
        <v>0</v>
      </c>
      <c r="G36" t="s">
        <v>36</v>
      </c>
      <c r="H36" s="3"/>
      <c r="I36" s="3"/>
      <c r="J36" s="3">
        <f>Taxes30425466[[#This Row],[Projected Cost]]-Taxes30425466[[#This Row],[Actual Cost]]</f>
        <v>0</v>
      </c>
    </row>
    <row r="37" spans="1:10" x14ac:dyDescent="0.3">
      <c r="B37" t="s">
        <v>41</v>
      </c>
      <c r="C37" s="3"/>
      <c r="D37" s="3"/>
      <c r="E37" s="3">
        <f>Insurance29415365[[#This Row],[Projected Cost]]-Insurance29415365[[#This Row],[Actual Cost]]</f>
        <v>0</v>
      </c>
      <c r="G37" t="s">
        <v>38</v>
      </c>
      <c r="H37" s="3"/>
      <c r="I37" s="3"/>
      <c r="J37" s="3">
        <f>Taxes30425466[[#This Row],[Projected Cost]]-Taxes30425466[[#This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Insurance29415365[[#This Row],[Projected Cost]]-Insurance29415365[[#This Row],[Actual Cost]]</f>
        <v>0</v>
      </c>
      <c r="G38" t="s">
        <v>40</v>
      </c>
      <c r="H38" s="3"/>
      <c r="I38" s="3"/>
      <c r="J38" s="3">
        <f>Taxes30425466[[#This Row],[Projected Cost]]-Taxes30425466[[#This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Insurance29415365[[#This Row],[Projected Cost]]-Insurance29415365[[#This Row],[Actual Cost]]</f>
        <v>0</v>
      </c>
      <c r="G39" t="s">
        <v>23</v>
      </c>
      <c r="H39" s="3"/>
      <c r="I39" s="3"/>
      <c r="J39" s="3">
        <f>Taxes30425466[[#This Row],[Projected Cost]]-Taxes30425466[[#This Row],[Actual Cost]]</f>
        <v>0</v>
      </c>
    </row>
    <row r="40" spans="1:10" x14ac:dyDescent="0.3">
      <c r="B40" t="s">
        <v>66</v>
      </c>
      <c r="C40" s="3">
        <f>SUBTOTAL(109,Insurance29415365[Projected Cost])</f>
        <v>4040</v>
      </c>
      <c r="D40" s="3">
        <f>SUBTOTAL(109,Insurance29415365[Actual Cost])</f>
        <v>4040</v>
      </c>
      <c r="E40" s="3">
        <f>SUBTOTAL(109,Insurance29415365[Difference])</f>
        <v>0</v>
      </c>
      <c r="G40" t="s">
        <v>66</v>
      </c>
      <c r="H40" s="3"/>
      <c r="I40" s="3"/>
      <c r="J40" s="3">
        <f>SUBTOTAL(109,Taxes30425466[Difference])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3000</v>
      </c>
      <c r="D43" s="3">
        <v>3000</v>
      </c>
      <c r="E43" s="3">
        <f t="shared" ref="E43:E45" si="0">F45</f>
        <v>0</v>
      </c>
      <c r="G43" t="s">
        <v>44</v>
      </c>
      <c r="H43" s="3"/>
      <c r="I43" s="3"/>
      <c r="J43" s="3">
        <f>Savings31435567[[#This Row],[Projected Cost]]-Savings31435567[[#This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 t="shared" si="0"/>
        <v>0</v>
      </c>
      <c r="G44" t="s">
        <v>46</v>
      </c>
      <c r="H44" s="3"/>
      <c r="I44" s="3"/>
      <c r="J44" s="3">
        <f>Savings31435567[[#This Row],[Projected Cost]]-Savings31435567[[#This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 t="shared" si="0"/>
        <v>0</v>
      </c>
      <c r="G45" t="s">
        <v>91</v>
      </c>
      <c r="H45" s="3">
        <v>3000</v>
      </c>
      <c r="I45" s="3">
        <v>3000</v>
      </c>
      <c r="J45" s="3">
        <f>Savings31435567[[#This Row],[Projected Cost]]-Savings31435567[[#This Row],[Actual Cost]]</f>
        <v>0</v>
      </c>
    </row>
    <row r="46" spans="1:10" x14ac:dyDescent="0.3">
      <c r="B46" t="s">
        <v>66</v>
      </c>
      <c r="C46" s="3">
        <f>SUBTOTAL(109,Food32445668[Projected Cost])</f>
        <v>6000</v>
      </c>
      <c r="D46" s="3">
        <f>SUBTOTAL(109,Food32445668[Actual Cost])</f>
        <v>6000</v>
      </c>
      <c r="E46" s="3">
        <f>SUBTOTAL(109,Food32445668[Difference])</f>
        <v>0</v>
      </c>
      <c r="G46" t="s">
        <v>66</v>
      </c>
      <c r="H46" s="3">
        <f>SUBTOTAL(109,Savings31435567[Projected Cost])</f>
        <v>3000</v>
      </c>
      <c r="I46" s="3">
        <f>SUBTOTAL(109,Savings31435567[Actual Cost])</f>
        <v>3000</v>
      </c>
      <c r="J46" s="3">
        <f>SUBTOTAL(109,Savings31435567[Difference])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Pets34465870[[#This Row],[Projected Cost]]-Pets34465870[[#This Row],[Actual Cost]]</f>
        <v>0</v>
      </c>
      <c r="G49" t="s">
        <v>49</v>
      </c>
      <c r="H49" s="3"/>
      <c r="I49" s="3"/>
      <c r="J49" s="3">
        <f>Gifts33455769[[#This Row],[Projected Cost]]-Gifts33455769[[#This Row],[Actual Cost]]</f>
        <v>0</v>
      </c>
    </row>
    <row r="50" spans="1:10" x14ac:dyDescent="0.3">
      <c r="B50" t="s">
        <v>54</v>
      </c>
      <c r="C50" s="3"/>
      <c r="D50" s="3"/>
      <c r="E50" s="3">
        <f>Pets34465870[[#This Row],[Projected Cost]]-Pets34465870[[#This Row],[Actual Cost]]</f>
        <v>0</v>
      </c>
      <c r="G50" t="s">
        <v>51</v>
      </c>
      <c r="H50" s="3"/>
      <c r="I50" s="3"/>
      <c r="J50" s="3">
        <f>Gifts33455769[[#This Row],[Projected Cost]]-Gifts33455769[[#This Row],[Actual Cost]]</f>
        <v>0</v>
      </c>
    </row>
    <row r="51" spans="1:10" x14ac:dyDescent="0.3">
      <c r="B51" t="s">
        <v>55</v>
      </c>
      <c r="C51" s="3"/>
      <c r="D51" s="3"/>
      <c r="E51" s="3">
        <f>Pets34465870[[#This Row],[Projected Cost]]-Pets34465870[[#This Row],[Actual Cost]]</f>
        <v>0</v>
      </c>
      <c r="G51" t="s">
        <v>53</v>
      </c>
      <c r="H51" s="3"/>
      <c r="I51" s="3"/>
      <c r="J51" s="3">
        <f>Gifts33455769[[#This Row],[Projected Cost]]-Gifts33455769[[#This Row],[Actual Cost]]</f>
        <v>0</v>
      </c>
    </row>
    <row r="52" spans="1:10" x14ac:dyDescent="0.3">
      <c r="B52" t="s">
        <v>56</v>
      </c>
      <c r="C52" s="3"/>
      <c r="D52" s="3"/>
      <c r="E52" s="3">
        <f>Pets34465870[[#This Row],[Projected Cost]]-Pets34465870[[#This Row],[Actual Cost]]</f>
        <v>0</v>
      </c>
      <c r="G52" t="s">
        <v>66</v>
      </c>
      <c r="H52" s="3"/>
      <c r="I52" s="3"/>
      <c r="J52" s="3">
        <f>SUBTOTAL(109,Gifts33455769[Difference])</f>
        <v>0</v>
      </c>
    </row>
    <row r="53" spans="1:10" x14ac:dyDescent="0.3">
      <c r="B53" t="s">
        <v>23</v>
      </c>
      <c r="C53" s="3"/>
      <c r="D53" s="3"/>
      <c r="E53" s="3">
        <f>Pets34465870[[#This Row],[Projected Cost]]-Pets34465870[[#This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2500</v>
      </c>
      <c r="I55" s="3">
        <v>2500</v>
      </c>
      <c r="J55" s="3">
        <f>Legal35475971[[#This Row],[Projected Cost]]-Legal35475971[[#This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6673</v>
      </c>
      <c r="I56" s="3">
        <v>6673</v>
      </c>
      <c r="J56" s="3">
        <f>Legal35475971[[#This Row],[Projected Cost]]-Legal35475971[[#This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PersonalCare36486072[[#This Row],[z]]-PersonalCare36486072[[#This Row],[Actual Cost]]</f>
        <v>0</v>
      </c>
      <c r="G57" t="s">
        <v>109</v>
      </c>
      <c r="H57" s="3">
        <v>0</v>
      </c>
      <c r="I57" s="3">
        <v>0</v>
      </c>
      <c r="J57" s="3">
        <f>Legal35475971[[#This Row],[Projected Cost]]-Legal35475971[[#This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PersonalCare36486072[[#This Row],[z]]-PersonalCare36486072[[#This Row],[Actual Cost]]</f>
        <v>0</v>
      </c>
      <c r="G58" t="s">
        <v>120</v>
      </c>
      <c r="H58" s="3">
        <v>2769</v>
      </c>
      <c r="I58" s="3">
        <v>2769</v>
      </c>
      <c r="J58" s="3">
        <f>Legal35475971[[#This Row],[Projected Cost]]-Legal35475971[[#This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PersonalCare36486072[[#This Row],[z]]-PersonalCare36486072[[#This Row],[Actual Cost]]</f>
        <v>0</v>
      </c>
      <c r="G59" t="s">
        <v>113</v>
      </c>
      <c r="H59" s="3">
        <v>0</v>
      </c>
      <c r="I59" s="3">
        <v>0</v>
      </c>
      <c r="J59" s="3">
        <f>Legal35475971[[#This Row],[Projected Cost]]-Legal35475971[[#This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PersonalCare36486072[[#This Row],[z]]-PersonalCare36486072[[#This Row],[Actual Cost]]</f>
        <v>0</v>
      </c>
      <c r="G60" t="s">
        <v>128</v>
      </c>
      <c r="H60" s="3">
        <v>0</v>
      </c>
      <c r="I60" s="3">
        <v>0</v>
      </c>
      <c r="J60" s="3">
        <f>Legal35475971[[#This Row],[Projected Cost]]-Legal35475971[[#This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PersonalCare36486072[[#This Row],[z]]-PersonalCare36486072[[#This Row],[Actual Cost]]</f>
        <v>0</v>
      </c>
      <c r="G61" t="s">
        <v>66</v>
      </c>
      <c r="H61" s="3">
        <f>SUBTOTAL(109,Legal35475971[Projected Cost])</f>
        <v>11942</v>
      </c>
      <c r="I61" s="3">
        <f>SUBTOTAL(109,Legal35475971[Actual Cost])</f>
        <v>11942</v>
      </c>
      <c r="J61" s="3">
        <f>SUBTOTAL(109,Legal35475971[Difference])</f>
        <v>0</v>
      </c>
    </row>
    <row r="62" spans="1:10" x14ac:dyDescent="0.3">
      <c r="B62" s="8" t="s">
        <v>64</v>
      </c>
      <c r="C62" s="9"/>
      <c r="D62" s="9"/>
      <c r="E62" s="9">
        <f>PersonalCare36486072[[#This Row],[z]]-PersonalCare36486072[[#This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PersonalCare36486072[[#This Row],[z]]-PersonalCare36486072[[#This Row],[Actual Cost]]</f>
        <v>0</v>
      </c>
      <c r="G63" s="36" t="s">
        <v>60</v>
      </c>
      <c r="H63" s="36"/>
      <c r="I63" s="36"/>
      <c r="J63" s="37">
        <f>SUBTOTAL(109,Housing25374961[Projected Cost],Transportation28405264[Projected Cost],Insurance29415365[Projected Cost],Food32445668[Projected Cost],Pets34465870[Projected Cost],PersonalCare36486072[z],Entertainment26385062[Projected Cost],Loans27395163[Projected Cost],Taxes30425466[Projected Cost],Savings31435567[Projected Cost],Gifts33455769[Projected Cost],Legal35475971[Projected Cost])</f>
        <v>91120</v>
      </c>
    </row>
    <row r="64" spans="1:10" x14ac:dyDescent="0.3">
      <c r="B64" s="8" t="s">
        <v>66</v>
      </c>
      <c r="C64" s="9"/>
      <c r="D64" s="9"/>
      <c r="E64" s="9">
        <f>SUBTOTAL(109,PersonalCare36486072[Difference])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SUBTOTAL(109,Housing25374961[Actual Cost],Transportation28405264[Actual Cost],Insurance29415365[Actual Cost],Food32445668[Actual Cost],Pets34465870[Actual Cost],PersonalCare36486072[Actual Cost],Entertainment26385062[Actual Cost],Loans27395163[Actual Cost],Taxes30425466[Actual Cost],Savings31435567[Actual Cost],Gifts33455769[Actual Cost],Legal35475971[Actual Cost])</f>
        <v>91120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368" priority="2" operator="lessThan">
      <formula>0</formula>
    </cfRule>
  </conditionalFormatting>
  <conditionalFormatting sqref="J67:J68">
    <cfRule type="cellIs" dxfId="367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C0D4-A220-4FD3-B43B-BCEC4F1C3E6C}">
  <sheetPr>
    <tabColor theme="4"/>
    <pageSetUpPr autoPageBreaks="0" fitToPage="1"/>
  </sheetPr>
  <dimension ref="A1:J68"/>
  <sheetViews>
    <sheetView showGridLines="0" topLeftCell="A21" zoomScale="85" zoomScaleNormal="85" workbookViewId="0">
      <selection activeCell="K26" sqref="K26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102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169</v>
      </c>
      <c r="D4" s="42"/>
      <c r="E4" s="5">
        <f>117000+10000</f>
        <v>127000</v>
      </c>
      <c r="G4" s="43" t="s">
        <v>97</v>
      </c>
      <c r="H4" s="44"/>
      <c r="I4" s="44"/>
      <c r="J4" s="37">
        <f>E6-J65</f>
        <v>23052</v>
      </c>
    </row>
    <row r="5" spans="1:10" x14ac:dyDescent="0.3">
      <c r="B5" s="39"/>
      <c r="C5" s="41" t="s">
        <v>111</v>
      </c>
      <c r="D5" s="42"/>
      <c r="E5" s="6">
        <v>10000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137000</v>
      </c>
      <c r="G6" s="43" t="s">
        <v>96</v>
      </c>
      <c r="H6" s="44"/>
      <c r="I6" s="44"/>
      <c r="J6" s="37">
        <f>E10-J65</f>
        <v>-113948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-137000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16" t="s">
        <v>10</v>
      </c>
      <c r="C13" s="33">
        <v>30000</v>
      </c>
      <c r="D13" s="33">
        <v>30000</v>
      </c>
      <c r="E13" s="33">
        <f>Housing253749[[#This Row],[Projected Cost]]-Housing253749[[#This Row],[Actual Cost]]</f>
        <v>0</v>
      </c>
      <c r="G13" t="s">
        <v>11</v>
      </c>
      <c r="H13" s="3"/>
      <c r="I13" s="3"/>
      <c r="J13" s="3">
        <f>Entertainment263850[[#This Row],[Projected Cost]]-Entertainment263850[[#This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Housing253749[[#This Row],[Projected Cost]]-Housing253749[[#This Row],[Actual Cost]]</f>
        <v>0</v>
      </c>
      <c r="G14" t="s">
        <v>13</v>
      </c>
      <c r="H14" s="3"/>
      <c r="I14" s="3"/>
      <c r="J14" s="3">
        <f>Entertainment263850[[#This Row],[Projected Cost]]-Entertainment263850[[#This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Housing253749[[#This Row],[Projected Cost]]-Housing253749[[#This Row],[Actual Cost]]</f>
        <v>0</v>
      </c>
      <c r="G15" t="s">
        <v>15</v>
      </c>
      <c r="H15" s="3"/>
      <c r="I15" s="3"/>
      <c r="J15" s="3">
        <f>Entertainment263850[[#This Row],[Projected Cost]]-Entertainment263850[[#This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Housing253749[[#This Row],[Projected Cost]]-Housing253749[[#This Row],[Actual Cost]]</f>
        <v>0</v>
      </c>
      <c r="G16" t="s">
        <v>17</v>
      </c>
      <c r="H16" s="3"/>
      <c r="I16" s="3"/>
      <c r="J16" s="3">
        <f>Entertainment263850[[#This Row],[Projected Cost]]-Entertainment263850[[#This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Housing253749[[#This Row],[Projected Cost]]-Housing253749[[#This Row],[Actual Cost]]</f>
        <v>0</v>
      </c>
      <c r="G17" t="s">
        <v>19</v>
      </c>
      <c r="H17" s="3"/>
      <c r="I17" s="3"/>
      <c r="J17" s="3">
        <f>Entertainment263850[[#This Row],[Projected Cost]]-Entertainment263850[[#This Row],[Actual Cost]]</f>
        <v>0</v>
      </c>
    </row>
    <row r="18" spans="1:10" x14ac:dyDescent="0.3">
      <c r="B18" s="8" t="s">
        <v>101</v>
      </c>
      <c r="C18" s="9">
        <v>1300</v>
      </c>
      <c r="D18" s="9">
        <v>1300</v>
      </c>
      <c r="E18" s="9">
        <f>Housing253749[[#This Row],[Projected Cost]]-Housing253749[[#This Row],[Actual Cost]]</f>
        <v>0</v>
      </c>
      <c r="G18" t="s">
        <v>21</v>
      </c>
      <c r="H18" s="3"/>
      <c r="I18" s="3"/>
      <c r="J18" s="3">
        <f>Entertainment263850[[#This Row],[Projected Cost]]-Entertainment263850[[#This Row],[Actual Cost]]</f>
        <v>0</v>
      </c>
    </row>
    <row r="19" spans="1:10" x14ac:dyDescent="0.3">
      <c r="B19" s="16" t="s">
        <v>181</v>
      </c>
      <c r="C19" s="33">
        <v>1000</v>
      </c>
      <c r="D19" s="33">
        <v>1000</v>
      </c>
      <c r="E19" s="33">
        <f>Housing253749[[#This Row],[Projected Cost]]-Housing253749[[#This Row],[Actual Cost]]</f>
        <v>0</v>
      </c>
      <c r="G19" t="s">
        <v>23</v>
      </c>
      <c r="H19" s="3"/>
      <c r="I19" s="3"/>
      <c r="J19" s="3">
        <f>Entertainment263850[[#This Row],[Projected Cost]]-Entertainment263850[[#This Row],[Actual Cost]]</f>
        <v>0</v>
      </c>
    </row>
    <row r="20" spans="1:10" x14ac:dyDescent="0.3">
      <c r="B20" s="16" t="s">
        <v>182</v>
      </c>
      <c r="C20" s="33">
        <v>3846</v>
      </c>
      <c r="D20" s="33">
        <v>3846</v>
      </c>
      <c r="E20" s="33">
        <f>Housing253749[[#This Row],[Projected Cost]]-Housing253749[[#This Row],[Actual Cost]]</f>
        <v>0</v>
      </c>
      <c r="F20" s="9"/>
      <c r="G20" t="s">
        <v>23</v>
      </c>
      <c r="H20" s="3"/>
      <c r="I20" s="3"/>
      <c r="J20" s="3">
        <f>Entertainment263850[[#This Row],[Projected Cost]]-Entertainment263850[[#This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Housing253749[[#This Row],[Projected Cost]]-Housing253749[[#This Row],[Actual Cost]]</f>
        <v>0</v>
      </c>
      <c r="G21" t="s">
        <v>23</v>
      </c>
      <c r="H21" s="3"/>
      <c r="I21" s="3"/>
      <c r="J21" s="3">
        <f>Entertainment263850[[#This Row],[Projected Cost]]-Entertainment263850[[#This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Housing253749[[#This Row],[Projected Cost]]-Housing253749[[#This Row],[Actual Cost]]</f>
        <v>0</v>
      </c>
      <c r="G22" t="s">
        <v>66</v>
      </c>
      <c r="H22" s="3"/>
      <c r="I22" s="3"/>
      <c r="J22" s="3">
        <f>SUBTOTAL(109,Entertainment263850[Difference])</f>
        <v>0</v>
      </c>
    </row>
    <row r="23" spans="1:10" x14ac:dyDescent="0.3">
      <c r="B23" s="8" t="s">
        <v>66</v>
      </c>
      <c r="C23" s="9">
        <f>SUBTOTAL(109,Housing253749[Projected Cost])</f>
        <v>37746</v>
      </c>
      <c r="D23" s="9">
        <f>SUBTOTAL(109,Housing253749[Actual Cost])</f>
        <v>37746</v>
      </c>
      <c r="E23" s="9">
        <f>SUBTOTAL(109,Housing253749[Difference])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170</v>
      </c>
      <c r="H25" s="3">
        <v>10000</v>
      </c>
      <c r="I25" s="3">
        <v>10000</v>
      </c>
      <c r="J25" s="3">
        <f>Loans273951[[#This Row],[Projected Cost]]-Loans273951[[#This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Transportation284052[[#This Row],[Projected Cost]]-Transportation284052[[#This Row],[Actual Cost]]</f>
        <v>0</v>
      </c>
      <c r="G26" s="31" t="s">
        <v>95</v>
      </c>
      <c r="H26" s="32">
        <v>21463</v>
      </c>
      <c r="I26" s="32">
        <v>21463</v>
      </c>
      <c r="J26" s="32">
        <f>Loans273951[[#This Row],[Projected Cost]]-Loans273951[[#This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Loans273951[[#This Row],[Projected Cost]]-Loans273951[[#This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Transportation284052[[#This Row],[Projected Cost]]-Transportation284052[[#This Row],[Actual Cost]]</f>
        <v>0</v>
      </c>
      <c r="G28" s="16" t="s">
        <v>89</v>
      </c>
      <c r="H28" s="33">
        <v>2000</v>
      </c>
      <c r="I28" s="33">
        <v>2000</v>
      </c>
      <c r="J28" s="33">
        <f>Loans273951[[#This Row],[Projected Cost]]-Loans273951[[#This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Transportation284052[[#This Row],[Projected Cost]]-Transportation284052[[#This Row],[Actual Cost]]</f>
        <v>0</v>
      </c>
      <c r="G29" t="s">
        <v>87</v>
      </c>
      <c r="H29" s="3">
        <v>5375</v>
      </c>
      <c r="I29" s="3">
        <v>5375</v>
      </c>
      <c r="J29" s="3">
        <f>Loans273951[[#This Row],[Projected Cost]]-Loans273951[[#This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Transportation284052[[#This Row],[Projected Cost]]-Transportation284052[[#This Row],[Actual Cost]]</f>
        <v>0</v>
      </c>
      <c r="G30" t="s">
        <v>103</v>
      </c>
      <c r="H30" s="3">
        <v>0</v>
      </c>
      <c r="I30" s="3">
        <v>0</v>
      </c>
      <c r="J30" s="3">
        <f>Loans273951[[#This Row],[Projected Cost]]-Loans273951[[#This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Transportation284052[[#This Row],[Projected Cost]]-Transportation284052[[#This Row],[Actual Cost]]</f>
        <v>0</v>
      </c>
      <c r="G31" t="s">
        <v>104</v>
      </c>
      <c r="H31" s="3">
        <v>0</v>
      </c>
      <c r="I31" s="3">
        <v>0</v>
      </c>
      <c r="J31" s="3">
        <f>Loans273951[[#This Row],[Projected Cost]]-Loans273951[[#This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Transportation284052[[#This Row],[Projected Cost]]-Transportation284052[[#This Row],[Actual Cost]]</f>
        <v>0</v>
      </c>
      <c r="G32" s="16" t="s">
        <v>135</v>
      </c>
      <c r="H32" s="33">
        <v>8600</v>
      </c>
      <c r="I32" s="33">
        <v>8600</v>
      </c>
      <c r="J32" s="33">
        <f>Loans273951[[#This Row],[Projected Cost]]-Loans273951[[#This Row],[Actual Cost]]</f>
        <v>0</v>
      </c>
    </row>
    <row r="33" spans="1:10" x14ac:dyDescent="0.3">
      <c r="B33" t="s">
        <v>66</v>
      </c>
      <c r="C33" s="3">
        <f>SUBTOTAL(109,Transportation284052[Projected Cost])</f>
        <v>5300</v>
      </c>
      <c r="D33" s="3">
        <f>SUBTOTAL(109,Transportation284052[Actual Cost])</f>
        <v>5300</v>
      </c>
      <c r="E33" s="3">
        <f>SUBTOTAL(109,Transportation284052[Difference])</f>
        <v>0</v>
      </c>
      <c r="G33" t="s">
        <v>66</v>
      </c>
      <c r="H33" s="3">
        <f>SUBTOTAL(109,Loans273951[Projected Cost])</f>
        <v>47438</v>
      </c>
      <c r="I33" s="3">
        <f>SUBTOTAL(109,Loans273951[Actual Cost])</f>
        <v>47438</v>
      </c>
      <c r="J33" s="3">
        <f>SUBTOTAL(109,Loans273951[Difference])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Insurance294153[[#This Row],[Projected Cost]]-Insurance294153[[#This Row],[Actual Cost]]</f>
        <v>0</v>
      </c>
      <c r="G36" t="s">
        <v>36</v>
      </c>
      <c r="H36" s="3"/>
      <c r="I36" s="3"/>
      <c r="J36" s="3">
        <f>Taxes304254[[#This Row],[Projected Cost]]-Taxes304254[[#This Row],[Actual Cost]]</f>
        <v>0</v>
      </c>
    </row>
    <row r="37" spans="1:10" x14ac:dyDescent="0.3">
      <c r="B37" t="s">
        <v>41</v>
      </c>
      <c r="C37" s="3"/>
      <c r="D37" s="3"/>
      <c r="E37" s="3">
        <f>Insurance294153[[#This Row],[Projected Cost]]-Insurance294153[[#This Row],[Actual Cost]]</f>
        <v>0</v>
      </c>
      <c r="G37" t="s">
        <v>38</v>
      </c>
      <c r="H37" s="3"/>
      <c r="I37" s="3"/>
      <c r="J37" s="3">
        <f>Taxes304254[[#This Row],[Projected Cost]]-Taxes304254[[#This Row],[Actual Cost]]</f>
        <v>0</v>
      </c>
    </row>
    <row r="38" spans="1:10" x14ac:dyDescent="0.3">
      <c r="B38" t="s">
        <v>42</v>
      </c>
      <c r="C38" s="3">
        <v>2050</v>
      </c>
      <c r="D38" s="3">
        <v>2050</v>
      </c>
      <c r="E38" s="3">
        <f>Insurance294153[[#This Row],[Projected Cost]]-Insurance294153[[#This Row],[Actual Cost]]</f>
        <v>0</v>
      </c>
      <c r="G38" t="s">
        <v>40</v>
      </c>
      <c r="H38" s="3"/>
      <c r="I38" s="3"/>
      <c r="J38" s="3">
        <f>Taxes304254[[#This Row],[Projected Cost]]-Taxes304254[[#This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Insurance294153[[#This Row],[Projected Cost]]-Insurance294153[[#This Row],[Actual Cost]]</f>
        <v>0</v>
      </c>
      <c r="G39" t="s">
        <v>23</v>
      </c>
      <c r="H39" s="3"/>
      <c r="I39" s="3"/>
      <c r="J39" s="3">
        <f>Taxes304254[[#This Row],[Projected Cost]]-Taxes304254[[#This Row],[Actual Cost]]</f>
        <v>0</v>
      </c>
    </row>
    <row r="40" spans="1:10" x14ac:dyDescent="0.3">
      <c r="B40" t="s">
        <v>66</v>
      </c>
      <c r="C40" s="3">
        <f>SUBTOTAL(109,Insurance294153[Projected Cost])</f>
        <v>4050</v>
      </c>
      <c r="D40" s="3">
        <f>SUBTOTAL(109,Insurance294153[Actual Cost])</f>
        <v>4050</v>
      </c>
      <c r="E40" s="3">
        <f>SUBTOTAL(109,Insurance294153[Difference])</f>
        <v>0</v>
      </c>
      <c r="G40" t="s">
        <v>66</v>
      </c>
      <c r="H40" s="3"/>
      <c r="I40" s="3"/>
      <c r="J40" s="3">
        <f>SUBTOTAL(109,Taxes304254[Difference])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s="17" t="s">
        <v>47</v>
      </c>
      <c r="C43" s="34">
        <v>3824</v>
      </c>
      <c r="D43" s="34">
        <v>3824</v>
      </c>
      <c r="E43" s="34">
        <v>0</v>
      </c>
      <c r="G43" t="s">
        <v>44</v>
      </c>
      <c r="H43" s="3"/>
      <c r="I43" s="3"/>
      <c r="J43" s="3">
        <f>Savings314355[[#This Row],[Projected Cost]]-Savings314355[[#This Row],[Actual Cost]]</f>
        <v>0</v>
      </c>
    </row>
    <row r="44" spans="1:10" x14ac:dyDescent="0.3">
      <c r="B44" s="17" t="s">
        <v>94</v>
      </c>
      <c r="C44" s="34">
        <v>1217</v>
      </c>
      <c r="D44" s="34">
        <v>1217</v>
      </c>
      <c r="E44" s="34">
        <f>Food324456[[#This Row],[Projected Cost]]-Food324456[[#This Row],[Actual Cost]]</f>
        <v>0</v>
      </c>
      <c r="G44" t="s">
        <v>46</v>
      </c>
      <c r="H44" s="3"/>
      <c r="I44" s="3"/>
      <c r="J44" s="3">
        <f>Savings314355[[#This Row],[Projected Cost]]-Savings314355[[#This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Food324456[[#This Row],[Projected Cost]]-Food324456[[#This Row],[Actual Cost]]</f>
        <v>0</v>
      </c>
      <c r="G45" t="s">
        <v>91</v>
      </c>
      <c r="H45" s="3">
        <v>3000</v>
      </c>
      <c r="I45" s="3">
        <v>3000</v>
      </c>
      <c r="J45" s="3">
        <f>Savings314355[[#This Row],[Projected Cost]]-Savings314355[[#This Row],[Actual Cost]]</f>
        <v>0</v>
      </c>
    </row>
    <row r="46" spans="1:10" x14ac:dyDescent="0.3">
      <c r="B46" t="s">
        <v>66</v>
      </c>
      <c r="C46" s="3">
        <f>SUBTOTAL(109,Food324456[Projected Cost])</f>
        <v>7041</v>
      </c>
      <c r="D46" s="3">
        <f>SUBTOTAL(109,Food324456[Actual Cost])</f>
        <v>7041</v>
      </c>
      <c r="E46" s="3">
        <f>SUBTOTAL(109,Food324456[Difference])</f>
        <v>0</v>
      </c>
      <c r="G46" t="s">
        <v>66</v>
      </c>
      <c r="H46" s="3">
        <f>SUBTOTAL(109,Savings314355[Projected Cost])</f>
        <v>3000</v>
      </c>
      <c r="I46" s="3">
        <f>SUBTOTAL(109,Savings314355[Actual Cost])</f>
        <v>3000</v>
      </c>
      <c r="J46" s="3">
        <f>SUBTOTAL(109,Savings314355[Difference])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Pets344658[[#This Row],[Projected Cost]]-Pets344658[[#This Row],[Actual Cost]]</f>
        <v>0</v>
      </c>
      <c r="G49" t="s">
        <v>49</v>
      </c>
      <c r="H49" s="3"/>
      <c r="I49" s="3"/>
      <c r="J49" s="3">
        <f>Gifts334557[[#This Row],[Projected Cost]]-Gifts334557[[#This Row],[Actual Cost]]</f>
        <v>0</v>
      </c>
    </row>
    <row r="50" spans="1:10" x14ac:dyDescent="0.3">
      <c r="B50" t="s">
        <v>54</v>
      </c>
      <c r="C50" s="3"/>
      <c r="D50" s="3"/>
      <c r="E50" s="3">
        <f>Pets344658[[#This Row],[Projected Cost]]-Pets344658[[#This Row],[Actual Cost]]</f>
        <v>0</v>
      </c>
      <c r="G50" t="s">
        <v>51</v>
      </c>
      <c r="H50" s="3"/>
      <c r="I50" s="3"/>
      <c r="J50" s="3">
        <f>Gifts334557[[#This Row],[Projected Cost]]-Gifts334557[[#This Row],[Actual Cost]]</f>
        <v>0</v>
      </c>
    </row>
    <row r="51" spans="1:10" x14ac:dyDescent="0.3">
      <c r="B51" t="s">
        <v>55</v>
      </c>
      <c r="C51" s="3"/>
      <c r="D51" s="3"/>
      <c r="E51" s="3">
        <f>Pets344658[[#This Row],[Projected Cost]]-Pets344658[[#This Row],[Actual Cost]]</f>
        <v>0</v>
      </c>
      <c r="G51" t="s">
        <v>53</v>
      </c>
      <c r="H51" s="3"/>
      <c r="I51" s="3"/>
      <c r="J51" s="3">
        <f>Gifts334557[[#This Row],[Projected Cost]]-Gifts334557[[#This Row],[Actual Cost]]</f>
        <v>0</v>
      </c>
    </row>
    <row r="52" spans="1:10" x14ac:dyDescent="0.3">
      <c r="B52" t="s">
        <v>56</v>
      </c>
      <c r="C52" s="3"/>
      <c r="D52" s="3"/>
      <c r="E52" s="3">
        <f>Pets344658[[#This Row],[Projected Cost]]-Pets344658[[#This Row],[Actual Cost]]</f>
        <v>0</v>
      </c>
      <c r="G52" t="s">
        <v>66</v>
      </c>
      <c r="H52" s="3"/>
      <c r="I52" s="3"/>
      <c r="J52" s="3">
        <f>SUBTOTAL(109,Gifts334557[Difference])</f>
        <v>0</v>
      </c>
    </row>
    <row r="53" spans="1:10" x14ac:dyDescent="0.3">
      <c r="B53" t="s">
        <v>23</v>
      </c>
      <c r="C53" s="3"/>
      <c r="D53" s="3"/>
      <c r="E53" s="3">
        <f>Pets344658[[#This Row],[Projected Cost]]-Pets344658[[#This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0</v>
      </c>
      <c r="I55" s="3">
        <v>0</v>
      </c>
      <c r="J55" s="3">
        <f>Legal354759[[#This Row],[Projected Cost]]-Legal354759[[#This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6673</v>
      </c>
      <c r="I56" s="3">
        <v>6673</v>
      </c>
      <c r="J56" s="3">
        <f>Legal354759[[#This Row],[Projected Cost]]-Legal354759[[#This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PersonalCare364860[[#This Row],[z]]-PersonalCare364860[[#This Row],[Actual Cost]]</f>
        <v>0</v>
      </c>
      <c r="G57" t="s">
        <v>109</v>
      </c>
      <c r="H57" s="3">
        <v>0</v>
      </c>
      <c r="I57" s="3">
        <v>0</v>
      </c>
      <c r="J57" s="3">
        <f>Legal354759[[#This Row],[Projected Cost]]-Legal354759[[#This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PersonalCare364860[[#This Row],[z]]-PersonalCare364860[[#This Row],[Actual Cost]]</f>
        <v>0</v>
      </c>
      <c r="G58" t="s">
        <v>120</v>
      </c>
      <c r="H58" s="3">
        <v>2700</v>
      </c>
      <c r="I58" s="3">
        <v>2700</v>
      </c>
      <c r="J58" s="3">
        <f>Legal354759[[#This Row],[Projected Cost]]-Legal354759[[#This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PersonalCare364860[[#This Row],[z]]-PersonalCare364860[[#This Row],[Actual Cost]]</f>
        <v>0</v>
      </c>
      <c r="G59" t="s">
        <v>113</v>
      </c>
      <c r="H59" s="3">
        <v>0</v>
      </c>
      <c r="I59" s="3">
        <v>0</v>
      </c>
      <c r="J59" s="3">
        <f>Legal354759[[#This Row],[Projected Cost]]-Legal354759[[#This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PersonalCare364860[[#This Row],[z]]-PersonalCare364860[[#This Row],[Actual Cost]]</f>
        <v>0</v>
      </c>
      <c r="G60" t="s">
        <v>128</v>
      </c>
      <c r="H60" s="3">
        <v>0</v>
      </c>
      <c r="I60" s="3">
        <v>0</v>
      </c>
      <c r="J60" s="3">
        <f>Legal354759[[#This Row],[Projected Cost]]-Legal354759[[#This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PersonalCare364860[[#This Row],[z]]-PersonalCare364860[[#This Row],[Actual Cost]]</f>
        <v>0</v>
      </c>
      <c r="G61" t="s">
        <v>66</v>
      </c>
      <c r="H61" s="3">
        <f>SUBTOTAL(109,Legal354759[Projected Cost])</f>
        <v>9373</v>
      </c>
      <c r="I61" s="3">
        <f>SUBTOTAL(109,Legal354759[Actual Cost])</f>
        <v>9373</v>
      </c>
      <c r="J61" s="3">
        <f>SUBTOTAL(109,Legal354759[Difference])</f>
        <v>0</v>
      </c>
    </row>
    <row r="62" spans="1:10" x14ac:dyDescent="0.3">
      <c r="B62" s="8" t="s">
        <v>64</v>
      </c>
      <c r="C62" s="9"/>
      <c r="D62" s="9"/>
      <c r="E62" s="9">
        <f>PersonalCare364860[[#This Row],[z]]-PersonalCare364860[[#This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PersonalCare364860[[#This Row],[z]]-PersonalCare364860[[#This Row],[Actual Cost]]</f>
        <v>0</v>
      </c>
      <c r="G63" s="36" t="s">
        <v>60</v>
      </c>
      <c r="H63" s="36"/>
      <c r="I63" s="36"/>
      <c r="J63" s="37">
        <f>SUBTOTAL(109,Housing253749[Projected Cost],Transportation284052[Projected Cost],Insurance294153[Projected Cost],Food324456[Projected Cost],Pets344658[Projected Cost],PersonalCare364860[z],Entertainment263850[Projected Cost],Loans273951[Projected Cost],Taxes304254[Projected Cost],Savings314355[Projected Cost],Gifts334557[Projected Cost],Legal354759[Projected Cost])</f>
        <v>113948</v>
      </c>
    </row>
    <row r="64" spans="1:10" x14ac:dyDescent="0.3">
      <c r="B64" s="8" t="s">
        <v>66</v>
      </c>
      <c r="C64" s="9"/>
      <c r="D64" s="9"/>
      <c r="E64" s="9">
        <f>SUBTOTAL(109,PersonalCare364860[Difference])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SUBTOTAL(109,Housing253749[Actual Cost],Transportation284052[Actual Cost],Insurance294153[Actual Cost],Food324456[Actual Cost],Pets344658[Actual Cost],PersonalCare364860[Actual Cost],Entertainment263850[Actual Cost],Loans273951[Actual Cost],Taxes304254[Actual Cost],Savings314355[Actual Cost],Gifts334557[Actual Cost],Legal354759[Actual Cost])</f>
        <v>113948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298" priority="2" operator="lessThan">
      <formula>0</formula>
    </cfRule>
  </conditionalFormatting>
  <conditionalFormatting sqref="J67:J68">
    <cfRule type="cellIs" dxfId="297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F154-CAAE-49D6-A544-D0217EE26B9E}">
  <sheetPr>
    <tabColor theme="4"/>
    <pageSetUpPr autoPageBreaks="0" fitToPage="1"/>
  </sheetPr>
  <dimension ref="A1:K67"/>
  <sheetViews>
    <sheetView showGridLines="0" topLeftCell="A40" zoomScale="85" zoomScaleNormal="85" workbookViewId="0">
      <selection activeCell="G56" sqref="G56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8.5" bestFit="1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115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50000+10000+8000</f>
        <v>68000</v>
      </c>
      <c r="G4" s="43" t="s">
        <v>97</v>
      </c>
      <c r="H4" s="44"/>
      <c r="I4" s="44"/>
      <c r="J4" s="37">
        <f>E6-J64</f>
        <v>13294</v>
      </c>
    </row>
    <row r="5" spans="1:10" x14ac:dyDescent="0.3">
      <c r="B5" s="39"/>
      <c r="C5" s="41" t="s">
        <v>111</v>
      </c>
      <c r="D5" s="42"/>
      <c r="E5" s="6">
        <v>20000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88000</v>
      </c>
      <c r="G6" s="43" t="s">
        <v>96</v>
      </c>
      <c r="H6" s="44"/>
      <c r="I6" s="44"/>
      <c r="J6" s="37">
        <f>E10-J64</f>
        <v>-74706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-88000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16" t="s">
        <v>10</v>
      </c>
      <c r="C13" s="33">
        <v>10000</v>
      </c>
      <c r="D13" s="33">
        <v>10000</v>
      </c>
      <c r="E13" s="33">
        <f>Housing2537[[#This Row],[Projected Cost]]-Housing2537[[#This Row],[Actual Cost]]</f>
        <v>0</v>
      </c>
      <c r="G13" t="s">
        <v>11</v>
      </c>
      <c r="H13" s="3"/>
      <c r="I13" s="3"/>
      <c r="J13" s="3">
        <f>Entertainment2638[[#This Row],[Projected Cost]]-Entertainment2638[[#This Row],[Actual Cost]]</f>
        <v>0</v>
      </c>
    </row>
    <row r="14" spans="1:10" x14ac:dyDescent="0.3">
      <c r="B14" s="16" t="s">
        <v>149</v>
      </c>
      <c r="C14" s="33">
        <f>250+149</f>
        <v>399</v>
      </c>
      <c r="D14" s="33">
        <f>250+149</f>
        <v>399</v>
      </c>
      <c r="E14" s="33">
        <f>Housing2537[[#This Row],[Projected Cost]]-Housing2537[[#This Row],[Actual Cost]]</f>
        <v>0</v>
      </c>
      <c r="G14" t="s">
        <v>13</v>
      </c>
      <c r="H14" s="3"/>
      <c r="I14" s="3"/>
      <c r="J14" s="3">
        <f>Entertainment2638[[#This Row],[Projected Cost]]-Entertainment2638[[#This Row],[Actual Cost]]</f>
        <v>0</v>
      </c>
    </row>
    <row r="15" spans="1:10" x14ac:dyDescent="0.3">
      <c r="B15" s="16" t="s">
        <v>14</v>
      </c>
      <c r="C15" s="33">
        <v>662</v>
      </c>
      <c r="D15" s="33">
        <v>662</v>
      </c>
      <c r="E15" s="33">
        <f>Housing2537[[#This Row],[Projected Cost]]-Housing2537[[#This Row],[Actual Cost]]</f>
        <v>0</v>
      </c>
      <c r="G15" t="s">
        <v>15</v>
      </c>
      <c r="H15" s="3"/>
      <c r="I15" s="3"/>
      <c r="J15" s="3">
        <f>Entertainment2638[[#This Row],[Projected Cost]]-Entertainment2638[[#This Row],[Actual Cost]]</f>
        <v>0</v>
      </c>
    </row>
    <row r="16" spans="1:10" x14ac:dyDescent="0.3">
      <c r="B16" s="16" t="s">
        <v>16</v>
      </c>
      <c r="C16" s="33">
        <v>1000</v>
      </c>
      <c r="D16" s="33">
        <v>10000</v>
      </c>
      <c r="E16" s="33">
        <f>Housing2537[[#This Row],[Projected Cost]]-Housing2537[[#This Row],[Actual Cost]]</f>
        <v>-9000</v>
      </c>
      <c r="G16" t="s">
        <v>17</v>
      </c>
      <c r="H16" s="3"/>
      <c r="I16" s="3"/>
      <c r="J16" s="3">
        <f>Entertainment2638[[#This Row],[Projected Cost]]-Entertainment2638[[#This Row],[Actual Cost]]</f>
        <v>0</v>
      </c>
    </row>
    <row r="17" spans="1:10" x14ac:dyDescent="0.3">
      <c r="B17" s="16" t="s">
        <v>139</v>
      </c>
      <c r="C17" s="33">
        <v>1120</v>
      </c>
      <c r="D17" s="33">
        <v>1120</v>
      </c>
      <c r="E17" s="33">
        <f>Housing2537[[#This Row],[Projected Cost]]-Housing2537[[#This Row],[Actual Cost]]</f>
        <v>0</v>
      </c>
      <c r="G17" t="s">
        <v>19</v>
      </c>
      <c r="H17" s="3"/>
      <c r="I17" s="3"/>
      <c r="J17" s="3">
        <f>Entertainment2638[[#This Row],[Projected Cost]]-Entertainment2638[[#This Row],[Actual Cost]]</f>
        <v>0</v>
      </c>
    </row>
    <row r="18" spans="1:10" x14ac:dyDescent="0.3">
      <c r="B18" s="16" t="s">
        <v>20</v>
      </c>
      <c r="C18" s="33">
        <v>0</v>
      </c>
      <c r="D18" s="33">
        <v>0</v>
      </c>
      <c r="E18" s="33">
        <f>Housing2537[[#This Row],[Projected Cost]]-Housing2537[[#This Row],[Actual Cost]]</f>
        <v>0</v>
      </c>
      <c r="G18" t="s">
        <v>21</v>
      </c>
      <c r="H18" s="3"/>
      <c r="I18" s="3"/>
      <c r="J18" s="3">
        <f>Entertainment2638[[#This Row],[Projected Cost]]-Entertainment2638[[#This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Housing2537[[#This Row],[Projected Cost]]-Housing2537[[#This Row],[Actual Cost]]</f>
        <v>0</v>
      </c>
      <c r="G19" t="s">
        <v>23</v>
      </c>
      <c r="H19" s="3"/>
      <c r="I19" s="3"/>
      <c r="J19" s="3">
        <f>Entertainment2638[[#This Row],[Projected Cost]]-Entertainment2638[[#This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Housing2537[[#This Row],[Projected Cost]]-Housing2537[[#This Row],[Actual Cost]]</f>
        <v>0</v>
      </c>
      <c r="G20" t="s">
        <v>23</v>
      </c>
      <c r="H20" s="3"/>
      <c r="I20" s="3"/>
      <c r="J20" s="3">
        <f>Entertainment2638[[#This Row],[Projected Cost]]-Entertainment2638[[#This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Housing2537[[#This Row],[Projected Cost]]-Housing2537[[#This Row],[Actual Cost]]</f>
        <v>0</v>
      </c>
      <c r="G21" t="s">
        <v>23</v>
      </c>
      <c r="H21" s="3"/>
      <c r="I21" s="3"/>
      <c r="J21" s="3">
        <f>Entertainment2638[[#This Row],[Projected Cost]]-Entertainment2638[[#This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Housing2537[[#This Row],[Projected Cost]]-Housing2537[[#This Row],[Actual Cost]]</f>
        <v>0</v>
      </c>
      <c r="G22" t="s">
        <v>66</v>
      </c>
      <c r="H22" s="3"/>
      <c r="I22" s="3"/>
      <c r="J22" s="3">
        <f>SUBTOTAL(109,Entertainment2638[Difference])</f>
        <v>0</v>
      </c>
    </row>
    <row r="23" spans="1:10" x14ac:dyDescent="0.3">
      <c r="B23" s="8" t="s">
        <v>66</v>
      </c>
      <c r="C23" s="9">
        <f>SUBTOTAL(109,Housing2537[Projected Cost])</f>
        <v>13181</v>
      </c>
      <c r="D23" s="9">
        <f>SUBTOTAL(109,Housing2537[Actual Cost])</f>
        <v>22181</v>
      </c>
      <c r="E23" s="9">
        <f>SUBTOTAL(109,Housing2537[Difference])</f>
        <v>-9000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117</v>
      </c>
      <c r="H25" s="3"/>
      <c r="I25" s="3"/>
      <c r="J25" s="3">
        <f>Loans2739[[#This Row],[Projected Cost]]-Loans2739[[#This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Transportation2840[[#This Row],[Projected Cost]]-Transportation2840[[#This Row],[Actual Cost]]</f>
        <v>0</v>
      </c>
      <c r="G26" t="s">
        <v>165</v>
      </c>
      <c r="H26" s="3">
        <v>0</v>
      </c>
      <c r="I26" s="3">
        <v>0</v>
      </c>
      <c r="J26" s="3">
        <f>Loans2739[[#This Row],[Projected Cost]]-Loans2739[[#This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Loans2739[[#This Row],[Projected Cost]]-Loans2739[[#This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Transportation2840[[#This Row],[Projected Cost]]-Transportation2840[[#This Row],[Actual Cost]]</f>
        <v>0</v>
      </c>
      <c r="G28" t="s">
        <v>164</v>
      </c>
      <c r="H28" s="3">
        <v>10000</v>
      </c>
      <c r="I28" s="3">
        <v>10000</v>
      </c>
      <c r="J28" s="3">
        <f>Loans2739[[#This Row],[Projected Cost]]-Loans2739[[#This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Transportation2840[[#This Row],[Projected Cost]]-Transportation2840[[#This Row],[Actual Cost]]</f>
        <v>0</v>
      </c>
      <c r="G29" s="17" t="s">
        <v>87</v>
      </c>
      <c r="H29" s="34">
        <v>5375</v>
      </c>
      <c r="I29" s="34">
        <v>5375</v>
      </c>
      <c r="J29" s="34">
        <f>Loans2739[[#This Row],[Projected Cost]]-Loans2739[[#This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Transportation2840[[#This Row],[Projected Cost]]-Transportation2840[[#This Row],[Actual Cost]]</f>
        <v>0</v>
      </c>
      <c r="G30" t="s">
        <v>121</v>
      </c>
      <c r="H30" s="3">
        <v>10000</v>
      </c>
      <c r="I30" s="3">
        <v>10000</v>
      </c>
      <c r="J30" s="3">
        <f>Loans2739[[#This Row],[Projected Cost]]-Loans2739[[#This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Transportation2840[[#This Row],[Projected Cost]]-Transportation2840[[#This Row],[Actual Cost]]</f>
        <v>0</v>
      </c>
      <c r="G31" t="s">
        <v>104</v>
      </c>
      <c r="H31" s="3">
        <v>0</v>
      </c>
      <c r="I31" s="3">
        <v>0</v>
      </c>
      <c r="J31" s="3">
        <f>Loans2739[[#This Row],[Projected Cost]]-Loans2739[[#This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Transportation2840[[#This Row],[Projected Cost]]-Transportation2840[[#This Row],[Actual Cost]]</f>
        <v>0</v>
      </c>
      <c r="G32" s="17" t="s">
        <v>100</v>
      </c>
      <c r="H32" s="34">
        <v>5000</v>
      </c>
      <c r="I32" s="34">
        <v>5000</v>
      </c>
      <c r="J32" s="34">
        <f>Loans2739[[#This Row],[Projected Cost]]-Loans2739[[#This Row],[Actual Cost]]</f>
        <v>0</v>
      </c>
    </row>
    <row r="33" spans="1:10" x14ac:dyDescent="0.3">
      <c r="B33" t="s">
        <v>66</v>
      </c>
      <c r="C33" s="3">
        <f>SUBTOTAL(109,Transportation2840[Projected Cost])</f>
        <v>5300</v>
      </c>
      <c r="D33" s="3">
        <f>SUBTOTAL(109,Transportation2840[Actual Cost])</f>
        <v>5300</v>
      </c>
      <c r="E33" s="3">
        <f>SUBTOTAL(109,Transportation2840[Difference])</f>
        <v>0</v>
      </c>
      <c r="G33" t="s">
        <v>66</v>
      </c>
      <c r="H33" s="3">
        <f>SUBTOTAL(109,Loans2739[Projected Cost])</f>
        <v>30375</v>
      </c>
      <c r="I33" s="3">
        <f>SUBTOTAL(109,Loans2739[Actual Cost])</f>
        <v>30375</v>
      </c>
      <c r="J33" s="3">
        <f>SUBTOTAL(109,Loans2739[Difference])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Insurance2941[[#This Row],[Projected Cost]]-Insurance2941[[#This Row],[Actual Cost]]</f>
        <v>0</v>
      </c>
      <c r="G36" t="s">
        <v>36</v>
      </c>
      <c r="H36" s="3"/>
      <c r="I36" s="3"/>
      <c r="J36" s="3">
        <f>Taxes3042[[#This Row],[Projected Cost]]-Taxes3042[[#This Row],[Actual Cost]]</f>
        <v>0</v>
      </c>
    </row>
    <row r="37" spans="1:10" x14ac:dyDescent="0.3">
      <c r="B37" s="17" t="s">
        <v>167</v>
      </c>
      <c r="C37" s="34">
        <v>600</v>
      </c>
      <c r="D37" s="34">
        <v>600</v>
      </c>
      <c r="E37" s="34">
        <f>Insurance2941[[#This Row],[Projected Cost]]-Insurance2941[[#This Row],[Actual Cost]]</f>
        <v>0</v>
      </c>
      <c r="G37" t="s">
        <v>38</v>
      </c>
      <c r="H37" s="3"/>
      <c r="I37" s="3"/>
      <c r="J37" s="3">
        <f>Taxes3042[[#This Row],[Projected Cost]]-Taxes3042[[#This Row],[Actual Cost]]</f>
        <v>0</v>
      </c>
    </row>
    <row r="38" spans="1:10" x14ac:dyDescent="0.3">
      <c r="B38" s="17" t="s">
        <v>42</v>
      </c>
      <c r="C38" s="34">
        <v>2050</v>
      </c>
      <c r="D38" s="34">
        <v>2050</v>
      </c>
      <c r="E38" s="34">
        <f>Insurance2941[[#This Row],[Projected Cost]]-Insurance2941[[#This Row],[Actual Cost]]</f>
        <v>0</v>
      </c>
      <c r="G38" t="s">
        <v>40</v>
      </c>
      <c r="H38" s="3"/>
      <c r="I38" s="3"/>
      <c r="J38" s="3">
        <f>Taxes3042[[#This Row],[Projected Cost]]-Taxes3042[[#This Row],[Actual Cost]]</f>
        <v>0</v>
      </c>
    </row>
    <row r="39" spans="1:10" x14ac:dyDescent="0.3">
      <c r="B39" s="17" t="s">
        <v>168</v>
      </c>
      <c r="C39" s="34">
        <v>2000</v>
      </c>
      <c r="D39" s="34">
        <v>2000</v>
      </c>
      <c r="E39" s="34">
        <f>Insurance2941[[#This Row],[Projected Cost]]-Insurance2941[[#This Row],[Actual Cost]]</f>
        <v>0</v>
      </c>
      <c r="G39" t="s">
        <v>23</v>
      </c>
      <c r="H39" s="3"/>
      <c r="I39" s="3"/>
      <c r="J39" s="3">
        <f>Taxes3042[[#This Row],[Projected Cost]]-Taxes3042[[#This Row],[Actual Cost]]</f>
        <v>0</v>
      </c>
    </row>
    <row r="40" spans="1:10" x14ac:dyDescent="0.3">
      <c r="B40" t="s">
        <v>66</v>
      </c>
      <c r="C40" s="3">
        <f>SUBTOTAL(109,Insurance2941[Projected Cost])</f>
        <v>4650</v>
      </c>
      <c r="D40" s="3">
        <f>SUBTOTAL(109,Insurance2941[Actual Cost])</f>
        <v>4650</v>
      </c>
      <c r="E40" s="3">
        <f>SUBTOTAL(109,Insurance2941[Difference])</f>
        <v>0</v>
      </c>
      <c r="G40" t="s">
        <v>66</v>
      </c>
      <c r="H40" s="3"/>
      <c r="I40" s="3"/>
      <c r="J40" s="3">
        <f>SUBTOTAL(109,Taxes3042[Difference])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s="17" t="s">
        <v>47</v>
      </c>
      <c r="C43" s="34">
        <v>3200</v>
      </c>
      <c r="D43" s="34">
        <v>3200</v>
      </c>
      <c r="E43" s="34">
        <f>Food3244[[#This Row],[Projected Cost]]-Food3244[[#This Row],[Actual Cost]]</f>
        <v>0</v>
      </c>
      <c r="G43" t="s">
        <v>44</v>
      </c>
      <c r="H43" s="3"/>
      <c r="I43" s="3"/>
      <c r="J43" s="3">
        <f>Savings3143[[#This Row],[Projected Cost]]-Savings3143[[#This Row],[Actual Cost]]</f>
        <v>0</v>
      </c>
    </row>
    <row r="44" spans="1:10" x14ac:dyDescent="0.3">
      <c r="B44" s="17" t="s">
        <v>94</v>
      </c>
      <c r="C44" s="34">
        <v>1000</v>
      </c>
      <c r="D44" s="34">
        <v>1000</v>
      </c>
      <c r="E44" s="34">
        <f>Food3244[[#This Row],[Projected Cost]]-Food3244[[#This Row],[Actual Cost]]</f>
        <v>0</v>
      </c>
      <c r="G44" t="s">
        <v>46</v>
      </c>
      <c r="H44" s="3"/>
      <c r="I44" s="3"/>
      <c r="J44" s="3">
        <f>Savings3143[[#This Row],[Projected Cost]]-Savings3143[[#This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Food3244[[#This Row],[Projected Cost]]-Food3244[[#This Row],[Actual Cost]]</f>
        <v>0</v>
      </c>
      <c r="G45" s="17" t="s">
        <v>91</v>
      </c>
      <c r="H45" s="34">
        <v>6000</v>
      </c>
      <c r="I45" s="34">
        <v>6000</v>
      </c>
      <c r="J45" s="34">
        <f>Savings3143[[#This Row],[Projected Cost]]-Savings3143[[#This Row],[Actual Cost]]</f>
        <v>0</v>
      </c>
    </row>
    <row r="46" spans="1:10" x14ac:dyDescent="0.3">
      <c r="B46" t="s">
        <v>66</v>
      </c>
      <c r="C46" s="3">
        <f>SUBTOTAL(109,Food3244[Projected Cost])</f>
        <v>6200</v>
      </c>
      <c r="D46" s="3">
        <f>SUBTOTAL(109,Food3244[Actual Cost])</f>
        <v>6200</v>
      </c>
      <c r="E46" s="3">
        <f>SUBTOTAL(109,Food3244[Difference])</f>
        <v>0</v>
      </c>
      <c r="G46" t="s">
        <v>66</v>
      </c>
      <c r="H46" s="3">
        <f>SUBTOTAL(109,Savings3143[Projected Cost])</f>
        <v>6000</v>
      </c>
      <c r="I46" s="3">
        <f>SUBTOTAL(109,Savings3143[Actual Cost])</f>
        <v>6000</v>
      </c>
      <c r="J46" s="3">
        <f>SUBTOTAL(109,Savings3143[Difference])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1" x14ac:dyDescent="0.3">
      <c r="B49" t="s">
        <v>52</v>
      </c>
      <c r="C49" s="3"/>
      <c r="D49" s="3"/>
      <c r="E49" s="3">
        <f>Pets3446[[#This Row],[Projected Cost]]-Pets3446[[#This Row],[Actual Cost]]</f>
        <v>0</v>
      </c>
      <c r="G49" t="s">
        <v>49</v>
      </c>
      <c r="H49" s="3"/>
      <c r="I49" s="3"/>
      <c r="J49" s="3">
        <f>Gifts3345[[#This Row],[Projected Cost]]-Gifts3345[[#This Row],[Actual Cost]]</f>
        <v>0</v>
      </c>
    </row>
    <row r="50" spans="1:11" x14ac:dyDescent="0.3">
      <c r="B50" t="s">
        <v>54</v>
      </c>
      <c r="C50" s="3"/>
      <c r="D50" s="3"/>
      <c r="E50" s="3">
        <f>Pets3446[[#This Row],[Projected Cost]]-Pets3446[[#This Row],[Actual Cost]]</f>
        <v>0</v>
      </c>
      <c r="G50" t="s">
        <v>51</v>
      </c>
      <c r="H50" s="3"/>
      <c r="I50" s="3"/>
      <c r="J50" s="3">
        <f>Gifts3345[[#This Row],[Projected Cost]]-Gifts3345[[#This Row],[Actual Cost]]</f>
        <v>0</v>
      </c>
    </row>
    <row r="51" spans="1:11" x14ac:dyDescent="0.3">
      <c r="B51" t="s">
        <v>55</v>
      </c>
      <c r="C51" s="3"/>
      <c r="D51" s="3"/>
      <c r="E51" s="3">
        <f>Pets3446[[#This Row],[Projected Cost]]-Pets3446[[#This Row],[Actual Cost]]</f>
        <v>0</v>
      </c>
      <c r="G51" t="s">
        <v>53</v>
      </c>
      <c r="H51" s="3"/>
      <c r="I51" s="3"/>
      <c r="J51" s="3">
        <f>Gifts3345[[#This Row],[Projected Cost]]-Gifts3345[[#This Row],[Actual Cost]]</f>
        <v>0</v>
      </c>
    </row>
    <row r="52" spans="1:11" x14ac:dyDescent="0.3">
      <c r="B52" t="s">
        <v>56</v>
      </c>
      <c r="C52" s="3"/>
      <c r="D52" s="3"/>
      <c r="E52" s="3">
        <f>Pets3446[[#This Row],[Projected Cost]]-Pets3446[[#This Row],[Actual Cost]]</f>
        <v>0</v>
      </c>
      <c r="G52" t="s">
        <v>66</v>
      </c>
      <c r="H52" s="3"/>
      <c r="I52" s="3"/>
      <c r="J52" s="3">
        <f>SUBTOTAL(109,Gifts3345[Difference])</f>
        <v>0</v>
      </c>
    </row>
    <row r="53" spans="1:11" x14ac:dyDescent="0.3">
      <c r="B53" t="s">
        <v>23</v>
      </c>
      <c r="C53" s="3"/>
      <c r="D53" s="3"/>
      <c r="E53" s="3">
        <f>Pets3446[[#This Row],[Projected Cost]]-Pets3446[[#This Row],[Actual Cost]]</f>
        <v>0</v>
      </c>
      <c r="G53" s="35"/>
      <c r="H53" s="35"/>
      <c r="I53" s="35"/>
      <c r="J53" s="35"/>
    </row>
    <row r="54" spans="1:11" x14ac:dyDescent="0.3">
      <c r="B54" t="s">
        <v>66</v>
      </c>
      <c r="C54" s="3"/>
      <c r="D54" s="3"/>
      <c r="E54" s="3">
        <f>SUBTOTAL(109,Pets3446[Difference])</f>
        <v>0</v>
      </c>
      <c r="G54" t="s">
        <v>106</v>
      </c>
      <c r="H54" t="s">
        <v>6</v>
      </c>
      <c r="I54" t="s">
        <v>7</v>
      </c>
      <c r="J54" t="s">
        <v>8</v>
      </c>
      <c r="K54" s="24" t="s">
        <v>127</v>
      </c>
    </row>
    <row r="55" spans="1:11" x14ac:dyDescent="0.3">
      <c r="B55" s="35"/>
      <c r="C55" s="35"/>
      <c r="D55" s="35"/>
      <c r="E55" s="35"/>
      <c r="G55" t="s">
        <v>126</v>
      </c>
      <c r="H55" s="3">
        <v>0</v>
      </c>
      <c r="I55" s="3">
        <v>0</v>
      </c>
      <c r="J55" s="3">
        <f>Legal3547[[#This Row],[Projected Cost]]-Legal3547[[#This Row],[Actual Cost]]</f>
        <v>0</v>
      </c>
      <c r="K55" s="3" t="s">
        <v>142</v>
      </c>
    </row>
    <row r="56" spans="1:11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Legal3547[[#This Row],[Projected Cost]]-Legal3547[[#This Row],[Actual Cost]]</f>
        <v>0</v>
      </c>
      <c r="K56" s="3" t="s">
        <v>142</v>
      </c>
    </row>
    <row r="57" spans="1:11" x14ac:dyDescent="0.3">
      <c r="B57" s="8" t="s">
        <v>54</v>
      </c>
      <c r="C57" s="9"/>
      <c r="D57" s="9"/>
      <c r="E57" s="9">
        <f>PersonalCare3648[[#This Row],[z]]-PersonalCare3648[[#This Row],[Actual Cost]]</f>
        <v>0</v>
      </c>
      <c r="G57" t="s">
        <v>109</v>
      </c>
      <c r="H57" s="3">
        <v>0</v>
      </c>
      <c r="I57" s="3">
        <v>0</v>
      </c>
      <c r="J57" s="3">
        <f>Legal3547[[#This Row],[Projected Cost]]-Legal3547[[#This Row],[Actual Cost]]</f>
        <v>0</v>
      </c>
      <c r="K57" s="3" t="s">
        <v>144</v>
      </c>
    </row>
    <row r="58" spans="1:11" x14ac:dyDescent="0.3">
      <c r="B58" s="8" t="s">
        <v>58</v>
      </c>
      <c r="C58" s="9"/>
      <c r="D58" s="9"/>
      <c r="E58" s="9">
        <f>PersonalCare3648[[#This Row],[z]]-PersonalCare3648[[#This Row],[Actual Cost]]</f>
        <v>0</v>
      </c>
      <c r="G58" t="s">
        <v>124</v>
      </c>
      <c r="H58" s="3">
        <v>0</v>
      </c>
      <c r="I58" s="3">
        <v>0</v>
      </c>
      <c r="J58" s="3">
        <f>Legal3547[[#This Row],[Projected Cost]]-Legal3547[[#This Row],[Actual Cost]]</f>
        <v>0</v>
      </c>
      <c r="K58" s="3"/>
    </row>
    <row r="59" spans="1:11" x14ac:dyDescent="0.3">
      <c r="A59" s="13" t="s">
        <v>86</v>
      </c>
      <c r="B59" s="8" t="s">
        <v>59</v>
      </c>
      <c r="C59" s="9"/>
      <c r="D59" s="9"/>
      <c r="E59" s="9">
        <f>PersonalCare3648[[#This Row],[z]]-PersonalCare3648[[#This Row],[Actual Cost]]</f>
        <v>0</v>
      </c>
      <c r="G59" t="s">
        <v>122</v>
      </c>
      <c r="H59" s="3">
        <v>0</v>
      </c>
      <c r="I59" s="3">
        <v>0</v>
      </c>
      <c r="J59" s="3">
        <f>Legal3547[[#This Row],[Projected Cost]]-Legal3547[[#This Row],[Actual Cost]]</f>
        <v>0</v>
      </c>
      <c r="K59" s="3" t="s">
        <v>143</v>
      </c>
    </row>
    <row r="60" spans="1:11" x14ac:dyDescent="0.3">
      <c r="B60" s="8" t="s">
        <v>61</v>
      </c>
      <c r="C60" s="9"/>
      <c r="D60" s="9"/>
      <c r="E60" s="9">
        <f>PersonalCare3648[[#This Row],[z]]-PersonalCare3648[[#This Row],[Actual Cost]]</f>
        <v>0</v>
      </c>
      <c r="G60" t="s">
        <v>66</v>
      </c>
      <c r="H60" s="3">
        <f>SUBTOTAL(109,Legal3547[Projected Cost])</f>
        <v>0</v>
      </c>
      <c r="I60" s="3">
        <f>SUBTOTAL(109,Legal3547[Actual Cost])</f>
        <v>0</v>
      </c>
      <c r="J60" s="3">
        <f>SUBTOTAL(109,Legal3547[Difference])</f>
        <v>0</v>
      </c>
    </row>
    <row r="61" spans="1:11" x14ac:dyDescent="0.3">
      <c r="B61" s="8" t="s">
        <v>62</v>
      </c>
      <c r="C61" s="9"/>
      <c r="D61" s="9"/>
      <c r="E61" s="9">
        <f>PersonalCare3648[[#This Row],[z]]-PersonalCare3648[[#This Row],[Actual Cost]]</f>
        <v>0</v>
      </c>
      <c r="G61" s="35"/>
      <c r="H61" s="35"/>
      <c r="I61" s="35"/>
      <c r="J61" s="35"/>
    </row>
    <row r="62" spans="1:11" x14ac:dyDescent="0.3">
      <c r="B62" s="8" t="s">
        <v>64</v>
      </c>
      <c r="C62" s="9"/>
      <c r="D62" s="9"/>
      <c r="E62" s="9">
        <f>PersonalCare3648[[#This Row],[z]]-PersonalCare3648[[#This Row],[Actual Cost]]</f>
        <v>0</v>
      </c>
      <c r="G62" s="36" t="s">
        <v>60</v>
      </c>
      <c r="H62" s="36"/>
      <c r="I62" s="36"/>
      <c r="J62" s="37">
        <f>SUBTOTAL(109,Housing2537[Projected Cost],Transportation2840[Projected Cost],Insurance2941[Projected Cost],Food3244[Projected Cost],Pets3446[Projected Cost],PersonalCare3648[z],Entertainment2638[Projected Cost],Loans2739[Projected Cost],Taxes3042[Projected Cost],Savings3143[Projected Cost],Gifts3345[Projected Cost],Legal3547[Projected Cost])</f>
        <v>65706</v>
      </c>
    </row>
    <row r="63" spans="1:11" x14ac:dyDescent="0.3">
      <c r="B63" s="8" t="s">
        <v>23</v>
      </c>
      <c r="C63" s="9"/>
      <c r="D63" s="9"/>
      <c r="E63" s="9">
        <f>PersonalCare3648[[#This Row],[z]]-PersonalCare3648[[#This Row],[Actual Cost]]</f>
        <v>0</v>
      </c>
      <c r="G63" s="36"/>
      <c r="H63" s="36"/>
      <c r="I63" s="36"/>
      <c r="J63" s="37"/>
    </row>
    <row r="64" spans="1:11" x14ac:dyDescent="0.3">
      <c r="B64" s="8" t="s">
        <v>66</v>
      </c>
      <c r="C64" s="9"/>
      <c r="D64" s="9"/>
      <c r="E64" s="9">
        <f>SUBTOTAL(109,PersonalCare3648[Difference])</f>
        <v>0</v>
      </c>
      <c r="G64" s="36" t="s">
        <v>63</v>
      </c>
      <c r="H64" s="36"/>
      <c r="I64" s="36"/>
      <c r="J64" s="37">
        <f>SUBTOTAL(109,Housing2537[Actual Cost],Transportation2840[Actual Cost],Insurance2941[Actual Cost],Food3244[Actual Cost],Pets3446[Actual Cost],PersonalCare3648[Actual Cost],Entertainment2638[Actual Cost],Loans2739[Actual Cost],Taxes3042[Actual Cost],Savings3143[Actual Cost],Gifts3345[Actual Cost],Legal3547[Actual Cost])</f>
        <v>74706</v>
      </c>
    </row>
    <row r="65" spans="2:10" x14ac:dyDescent="0.3">
      <c r="B65" s="35"/>
      <c r="C65" s="35"/>
      <c r="D65" s="35"/>
      <c r="E65" s="35"/>
      <c r="G65" s="36"/>
      <c r="H65" s="36"/>
      <c r="I65" s="36"/>
      <c r="J65" s="37"/>
    </row>
    <row r="66" spans="2:10" x14ac:dyDescent="0.3">
      <c r="G66" s="36" t="s">
        <v>65</v>
      </c>
      <c r="H66" s="36"/>
      <c r="I66" s="36"/>
      <c r="J66" s="37">
        <f>J62-J64</f>
        <v>-9000</v>
      </c>
    </row>
    <row r="67" spans="2:10" x14ac:dyDescent="0.3">
      <c r="G67" s="36"/>
      <c r="H67" s="36"/>
      <c r="I67" s="36"/>
      <c r="J67" s="37"/>
    </row>
  </sheetData>
  <mergeCells count="32">
    <mergeCell ref="B65:E65"/>
    <mergeCell ref="G64:I65"/>
    <mergeCell ref="J64:J65"/>
    <mergeCell ref="G66:I67"/>
    <mergeCell ref="J66:J67"/>
    <mergeCell ref="G62:I63"/>
    <mergeCell ref="J62:J63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1:J61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phoneticPr fontId="10" type="noConversion"/>
  <conditionalFormatting sqref="J8:J9">
    <cfRule type="cellIs" dxfId="228" priority="2" operator="lessThan">
      <formula>0</formula>
    </cfRule>
  </conditionalFormatting>
  <conditionalFormatting sqref="J66:J67">
    <cfRule type="cellIs" dxfId="227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8C0A-B22E-4AD1-BCB4-9E1A0B22865E}">
  <sheetPr>
    <tabColor theme="4"/>
  </sheetPr>
  <dimension ref="A1:N12"/>
  <sheetViews>
    <sheetView workbookViewId="0">
      <selection activeCell="B12" sqref="B12"/>
    </sheetView>
  </sheetViews>
  <sheetFormatPr defaultRowHeight="13" x14ac:dyDescent="0.3"/>
  <cols>
    <col min="1" max="1" width="10.296875" bestFit="1" customWidth="1"/>
    <col min="2" max="2" width="6.8984375" bestFit="1" customWidth="1"/>
    <col min="4" max="4" width="10.3984375" bestFit="1" customWidth="1"/>
    <col min="8" max="8" width="10.8984375" bestFit="1" customWidth="1"/>
    <col min="9" max="9" width="5.8984375" bestFit="1" customWidth="1"/>
  </cols>
  <sheetData>
    <row r="1" spans="1:14" x14ac:dyDescent="0.3">
      <c r="A1" t="s">
        <v>150</v>
      </c>
      <c r="B1">
        <v>32000</v>
      </c>
      <c r="D1" t="s">
        <v>157</v>
      </c>
      <c r="E1">
        <v>142000</v>
      </c>
      <c r="H1" t="s">
        <v>158</v>
      </c>
      <c r="I1">
        <v>6673</v>
      </c>
      <c r="L1">
        <v>102000</v>
      </c>
      <c r="M1">
        <f>86000+15000</f>
        <v>101000</v>
      </c>
    </row>
    <row r="2" spans="1:14" x14ac:dyDescent="0.3">
      <c r="A2" t="s">
        <v>125</v>
      </c>
      <c r="B2">
        <v>36000</v>
      </c>
      <c r="D2" t="s">
        <v>154</v>
      </c>
      <c r="E2">
        <v>0</v>
      </c>
      <c r="H2" t="s">
        <v>159</v>
      </c>
      <c r="I2">
        <f>20642</f>
        <v>20642</v>
      </c>
      <c r="L2">
        <v>39022</v>
      </c>
      <c r="M2">
        <f>M1-40040</f>
        <v>60960</v>
      </c>
      <c r="N2">
        <v>60000</v>
      </c>
    </row>
    <row r="3" spans="1:14" x14ac:dyDescent="0.3">
      <c r="A3" t="s">
        <v>148</v>
      </c>
      <c r="B3">
        <v>10000</v>
      </c>
      <c r="D3" t="s">
        <v>151</v>
      </c>
      <c r="E3">
        <v>0</v>
      </c>
      <c r="H3" t="s">
        <v>160</v>
      </c>
      <c r="I3">
        <v>2700</v>
      </c>
    </row>
    <row r="4" spans="1:14" x14ac:dyDescent="0.3">
      <c r="A4" t="s">
        <v>118</v>
      </c>
      <c r="B4">
        <v>10000</v>
      </c>
      <c r="D4" t="s">
        <v>156</v>
      </c>
      <c r="E4">
        <v>0</v>
      </c>
      <c r="H4" t="s">
        <v>161</v>
      </c>
      <c r="I4">
        <v>5000</v>
      </c>
    </row>
    <row r="5" spans="1:14" x14ac:dyDescent="0.3">
      <c r="A5" t="s">
        <v>166</v>
      </c>
      <c r="B5">
        <v>5222</v>
      </c>
      <c r="D5" t="s">
        <v>129</v>
      </c>
      <c r="E5">
        <f>SUM(E1:E4)</f>
        <v>142000</v>
      </c>
      <c r="H5" t="s">
        <v>162</v>
      </c>
      <c r="I5">
        <v>4007</v>
      </c>
    </row>
    <row r="6" spans="1:14" x14ac:dyDescent="0.3">
      <c r="A6" t="s">
        <v>151</v>
      </c>
      <c r="B6">
        <v>32000</v>
      </c>
    </row>
    <row r="7" spans="1:14" x14ac:dyDescent="0.3">
      <c r="A7" t="s">
        <v>121</v>
      </c>
      <c r="B7">
        <v>10000</v>
      </c>
      <c r="D7" t="s">
        <v>155</v>
      </c>
      <c r="E7">
        <f>E5-B12</f>
        <v>2778</v>
      </c>
      <c r="H7" t="s">
        <v>163</v>
      </c>
      <c r="I7">
        <f>SUM(I1:I5)</f>
        <v>39022</v>
      </c>
    </row>
    <row r="8" spans="1:14" x14ac:dyDescent="0.3">
      <c r="A8" t="s">
        <v>152</v>
      </c>
      <c r="B8">
        <v>0</v>
      </c>
    </row>
    <row r="9" spans="1:14" x14ac:dyDescent="0.3">
      <c r="A9" t="s">
        <v>119</v>
      </c>
      <c r="B9">
        <v>4000</v>
      </c>
    </row>
    <row r="10" spans="1:14" x14ac:dyDescent="0.3">
      <c r="A10" t="s">
        <v>153</v>
      </c>
      <c r="B10">
        <v>0</v>
      </c>
    </row>
    <row r="12" spans="1:14" x14ac:dyDescent="0.3">
      <c r="A12" t="s">
        <v>129</v>
      </c>
      <c r="B12">
        <f>SUM(B1:B10)</f>
        <v>139222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829F-5D23-44BD-A8F4-FF0168BF948F}">
  <sheetPr>
    <tabColor theme="4"/>
    <pageSetUpPr autoPageBreaks="0" fitToPage="1"/>
  </sheetPr>
  <dimension ref="A1:K68"/>
  <sheetViews>
    <sheetView showGridLines="0" topLeftCell="A37" zoomScale="70" zoomScaleNormal="70" workbookViewId="0">
      <selection activeCell="G56" sqref="G56"/>
    </sheetView>
  </sheetViews>
  <sheetFormatPr defaultRowHeight="13" x14ac:dyDescent="0.3"/>
  <cols>
    <col min="1" max="1" width="2.69921875" style="13" customWidth="1"/>
    <col min="2" max="2" width="102.19921875" bestFit="1" customWidth="1"/>
    <col min="3" max="3" width="16" customWidth="1"/>
    <col min="4" max="4" width="25.19921875" bestFit="1" customWidth="1"/>
    <col min="5" max="5" width="19.398437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6.09765625" bestFit="1" customWidth="1"/>
    <col min="11" max="11" width="14.796875" bestFit="1" customWidth="1"/>
  </cols>
  <sheetData>
    <row r="1" spans="1:11" s="2" customFormat="1" ht="14.5" x14ac:dyDescent="0.35">
      <c r="A1" s="12" t="s">
        <v>74</v>
      </c>
    </row>
    <row r="2" spans="1:11" s="2" customFormat="1" ht="30.5" thickBot="1" x14ac:dyDescent="0.7">
      <c r="A2" s="12" t="s">
        <v>75</v>
      </c>
      <c r="B2" s="1" t="s">
        <v>92</v>
      </c>
      <c r="C2" s="1"/>
      <c r="D2" s="1" t="s">
        <v>147</v>
      </c>
      <c r="E2" s="21">
        <f>E6-82126</f>
        <v>50874</v>
      </c>
      <c r="F2" s="1"/>
      <c r="G2" s="1"/>
      <c r="H2" s="1"/>
      <c r="I2" s="1"/>
      <c r="J2" s="1"/>
    </row>
    <row r="4" spans="1:11" x14ac:dyDescent="0.3">
      <c r="A4" s="13" t="s">
        <v>77</v>
      </c>
      <c r="B4" s="38" t="s">
        <v>0</v>
      </c>
      <c r="C4" s="41" t="s">
        <v>1</v>
      </c>
      <c r="D4" s="45"/>
      <c r="E4" s="20">
        <f>85000+30000</f>
        <v>115000</v>
      </c>
      <c r="G4" s="43" t="s">
        <v>97</v>
      </c>
      <c r="H4" s="44"/>
      <c r="I4" s="44"/>
      <c r="J4" s="37">
        <f>E6-J65</f>
        <v>2734</v>
      </c>
    </row>
    <row r="5" spans="1:11" x14ac:dyDescent="0.3">
      <c r="B5" s="39"/>
      <c r="C5" s="41" t="s">
        <v>111</v>
      </c>
      <c r="D5" s="45"/>
      <c r="E5" s="20">
        <f>13000+3500+1500</f>
        <v>18000</v>
      </c>
      <c r="G5" s="44"/>
      <c r="H5" s="44"/>
      <c r="I5" s="44"/>
      <c r="J5" s="37"/>
    </row>
    <row r="6" spans="1:11" x14ac:dyDescent="0.3">
      <c r="A6" s="13" t="s">
        <v>78</v>
      </c>
      <c r="B6" s="40"/>
      <c r="C6" s="41" t="s">
        <v>3</v>
      </c>
      <c r="D6" s="42"/>
      <c r="E6" s="7">
        <f>SUM(E4:E5)</f>
        <v>133000</v>
      </c>
      <c r="G6" s="43" t="s">
        <v>96</v>
      </c>
      <c r="H6" s="44"/>
      <c r="I6" s="44"/>
      <c r="J6" s="37">
        <f>E10-J65</f>
        <v>-130266</v>
      </c>
    </row>
    <row r="7" spans="1:11" x14ac:dyDescent="0.3">
      <c r="B7" s="4"/>
      <c r="C7" s="4"/>
      <c r="D7" s="4"/>
      <c r="E7" s="4"/>
      <c r="G7" s="44"/>
      <c r="H7" s="44"/>
      <c r="I7" s="44"/>
      <c r="J7" s="37"/>
    </row>
    <row r="8" spans="1:11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-133000</v>
      </c>
    </row>
    <row r="9" spans="1:11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1" x14ac:dyDescent="0.3">
      <c r="B10" s="40"/>
      <c r="C10" s="41" t="s">
        <v>3</v>
      </c>
      <c r="D10" s="42"/>
      <c r="E10" s="7">
        <f>SUM(E8:E9)</f>
        <v>0</v>
      </c>
    </row>
    <row r="12" spans="1:11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  <c r="K12" s="24" t="s">
        <v>127</v>
      </c>
    </row>
    <row r="13" spans="1:11" x14ac:dyDescent="0.3">
      <c r="B13" s="25" t="s">
        <v>133</v>
      </c>
      <c r="C13" s="26">
        <f xml:space="preserve"> 4000 + 8000</f>
        <v>12000</v>
      </c>
      <c r="D13" s="26">
        <f xml:space="preserve"> 4000 + 8000</f>
        <v>12000</v>
      </c>
      <c r="E13" s="26">
        <f>Housing25[[#This Row],[Projected Cost]]-Housing25[[#This Row],[Actual Cost]]</f>
        <v>0</v>
      </c>
      <c r="G13" s="27" t="s">
        <v>146</v>
      </c>
      <c r="H13" s="28">
        <v>500</v>
      </c>
      <c r="I13" s="28">
        <v>500</v>
      </c>
      <c r="J13" s="28">
        <f>Entertainment26[[#This Row],[Projected Cost]]-Entertainment26[[#This Row],[Actual Cost]]</f>
        <v>0</v>
      </c>
      <c r="K13" s="28"/>
    </row>
    <row r="14" spans="1:11" x14ac:dyDescent="0.3">
      <c r="B14" s="27" t="s">
        <v>12</v>
      </c>
      <c r="C14" s="28">
        <v>500</v>
      </c>
      <c r="D14" s="28">
        <v>500</v>
      </c>
      <c r="E14" s="28">
        <f>Housing25[[#This Row],[Projected Cost]]-Housing25[[#This Row],[Actual Cost]]</f>
        <v>0</v>
      </c>
      <c r="G14" t="s">
        <v>13</v>
      </c>
      <c r="H14" s="3"/>
      <c r="I14" s="3"/>
      <c r="J14" s="3">
        <f>Entertainment26[[#This Row],[Projected Cost]]-Entertainment26[[#This Row],[Actual Cost]]</f>
        <v>0</v>
      </c>
      <c r="K14" s="3"/>
    </row>
    <row r="15" spans="1:11" x14ac:dyDescent="0.3">
      <c r="B15" s="29" t="s">
        <v>14</v>
      </c>
      <c r="C15" s="30">
        <v>1022</v>
      </c>
      <c r="D15" s="30">
        <v>1022</v>
      </c>
      <c r="E15" s="30">
        <f>Housing25[[#This Row],[Projected Cost]]-Housing25[[#This Row],[Actual Cost]]</f>
        <v>0</v>
      </c>
      <c r="G15" t="s">
        <v>15</v>
      </c>
      <c r="H15" s="3"/>
      <c r="I15" s="3"/>
      <c r="J15" s="3">
        <f>Entertainment26[[#This Row],[Projected Cost]]-Entertainment26[[#This Row],[Actual Cost]]</f>
        <v>0</v>
      </c>
      <c r="K15" s="3"/>
    </row>
    <row r="16" spans="1:11" x14ac:dyDescent="0.3">
      <c r="B16" s="8" t="s">
        <v>16</v>
      </c>
      <c r="C16" s="9">
        <v>0</v>
      </c>
      <c r="D16" s="9">
        <v>0</v>
      </c>
      <c r="E16" s="9">
        <f>Housing25[[#This Row],[Projected Cost]]-Housing25[[#This Row],[Actual Cost]]</f>
        <v>0</v>
      </c>
      <c r="G16" t="s">
        <v>17</v>
      </c>
      <c r="H16" s="3"/>
      <c r="I16" s="3"/>
      <c r="J16" s="3">
        <f>Entertainment26[[#This Row],[Projected Cost]]-Entertainment26[[#This Row],[Actual Cost]]</f>
        <v>0</v>
      </c>
      <c r="K16" s="3"/>
    </row>
    <row r="17" spans="1:11" x14ac:dyDescent="0.3">
      <c r="B17" s="29" t="s">
        <v>132</v>
      </c>
      <c r="C17" s="30">
        <v>1200</v>
      </c>
      <c r="D17" s="30">
        <v>1200</v>
      </c>
      <c r="E17" s="30">
        <f>Housing25[[#This Row],[Projected Cost]]-Housing25[[#This Row],[Actual Cost]]</f>
        <v>0</v>
      </c>
      <c r="G17" s="27" t="s">
        <v>131</v>
      </c>
      <c r="H17" s="28">
        <v>3400</v>
      </c>
      <c r="I17" s="28">
        <v>3400</v>
      </c>
      <c r="J17" s="28">
        <f>Entertainment26[[#This Row],[Projected Cost]]-Entertainment26[[#This Row],[Actual Cost]]</f>
        <v>0</v>
      </c>
      <c r="K17" s="28"/>
    </row>
    <row r="18" spans="1:11" x14ac:dyDescent="0.3">
      <c r="B18" s="8" t="s">
        <v>20</v>
      </c>
      <c r="C18" s="9">
        <v>0</v>
      </c>
      <c r="D18" s="9">
        <v>0</v>
      </c>
      <c r="E18" s="9">
        <f>Housing25[[#This Row],[Projected Cost]]-Housing25[[#This Row],[Actual Cost]]</f>
        <v>0</v>
      </c>
      <c r="G18" s="27" t="s">
        <v>136</v>
      </c>
      <c r="H18" s="28">
        <v>1450</v>
      </c>
      <c r="I18" s="28">
        <v>1450</v>
      </c>
      <c r="J18" s="28">
        <f>Entertainment26[[#This Row],[Projected Cost]]-Entertainment26[[#This Row],[Actual Cost]]</f>
        <v>0</v>
      </c>
      <c r="K18" s="28"/>
    </row>
    <row r="19" spans="1:11" x14ac:dyDescent="0.3">
      <c r="B19" s="8" t="s">
        <v>22</v>
      </c>
      <c r="C19" s="9">
        <v>0</v>
      </c>
      <c r="D19" s="9">
        <v>0</v>
      </c>
      <c r="E19" s="9">
        <f>Housing25[[#This Row],[Projected Cost]]-Housing25[[#This Row],[Actual Cost]]</f>
        <v>0</v>
      </c>
      <c r="G19" s="22" t="s">
        <v>135</v>
      </c>
      <c r="H19" s="23">
        <v>20000</v>
      </c>
      <c r="I19" s="23">
        <v>20000</v>
      </c>
      <c r="J19" s="23">
        <f>Entertainment26[[#This Row],[Projected Cost]]-Entertainment26[[#This Row],[Actual Cost]]</f>
        <v>0</v>
      </c>
      <c r="K19" s="3" t="s">
        <v>137</v>
      </c>
    </row>
    <row r="20" spans="1:11" x14ac:dyDescent="0.3">
      <c r="B20" s="8" t="s">
        <v>24</v>
      </c>
      <c r="C20" s="9">
        <v>0</v>
      </c>
      <c r="D20" s="9">
        <v>0</v>
      </c>
      <c r="E20" s="9">
        <f>Housing25[[#This Row],[Projected Cost]]-Housing25[[#This Row],[Actual Cost]]</f>
        <v>0</v>
      </c>
      <c r="G20" t="s">
        <v>23</v>
      </c>
      <c r="H20" s="3"/>
      <c r="I20" s="3"/>
      <c r="J20" s="3">
        <f>Entertainment26[[#This Row],[Projected Cost]]-Entertainment26[[#This Row],[Actual Cost]]</f>
        <v>0</v>
      </c>
      <c r="K20" s="3"/>
    </row>
    <row r="21" spans="1:11" x14ac:dyDescent="0.3">
      <c r="B21" s="29" t="s">
        <v>134</v>
      </c>
      <c r="C21" s="30">
        <v>100</v>
      </c>
      <c r="D21" s="30">
        <v>100</v>
      </c>
      <c r="E21" s="30">
        <f>Housing25[[#This Row],[Projected Cost]]-Housing25[[#This Row],[Actual Cost]]</f>
        <v>0</v>
      </c>
      <c r="G21" t="s">
        <v>23</v>
      </c>
      <c r="H21" s="3"/>
      <c r="I21" s="3"/>
      <c r="J21" s="3">
        <f>Entertainment26[[#This Row],[Projected Cost]]-Entertainment26[[#This Row],[Actual Cost]]</f>
        <v>0</v>
      </c>
      <c r="K21" s="3"/>
    </row>
    <row r="22" spans="1:11" x14ac:dyDescent="0.3">
      <c r="B22" s="29" t="s">
        <v>138</v>
      </c>
      <c r="C22" s="30">
        <v>630</v>
      </c>
      <c r="D22" s="30">
        <v>630</v>
      </c>
      <c r="E22" s="30">
        <f>Housing25[[#This Row],[Projected Cost]]-Housing25[[#This Row],[Actual Cost]]</f>
        <v>0</v>
      </c>
      <c r="G22" t="s">
        <v>66</v>
      </c>
      <c r="H22" s="3"/>
      <c r="I22" s="3"/>
      <c r="J22" s="3">
        <f>SUBTOTAL(109,Entertainment26[Difference])</f>
        <v>0</v>
      </c>
    </row>
    <row r="23" spans="1:11" x14ac:dyDescent="0.3">
      <c r="B23" s="8" t="s">
        <v>66</v>
      </c>
      <c r="C23" s="9">
        <f>SUBTOTAL(109,Housing25[Projected Cost])</f>
        <v>15452</v>
      </c>
      <c r="D23" s="9">
        <f>SUBTOTAL(109,Housing25[Actual Cost])</f>
        <v>15452</v>
      </c>
      <c r="E23" s="9">
        <f>SUBTOTAL(109,Housing25[Difference])</f>
        <v>0</v>
      </c>
      <c r="G23" s="35"/>
      <c r="H23" s="35"/>
      <c r="I23" s="35"/>
      <c r="J23" s="35"/>
    </row>
    <row r="24" spans="1:11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  <c r="K24" t="s">
        <v>127</v>
      </c>
    </row>
    <row r="25" spans="1:11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s="27" t="s">
        <v>117</v>
      </c>
      <c r="H25" s="28">
        <v>12280</v>
      </c>
      <c r="I25" s="28">
        <v>12280</v>
      </c>
      <c r="J25" s="28">
        <f>Loans27[[#This Row],[Projected Cost]]-Loans27[[#This Row],[Actual Cost]]</f>
        <v>0</v>
      </c>
      <c r="K25" s="28">
        <v>0</v>
      </c>
    </row>
    <row r="26" spans="1:11" x14ac:dyDescent="0.3">
      <c r="B26" t="s">
        <v>29</v>
      </c>
      <c r="C26" s="3">
        <v>0</v>
      </c>
      <c r="D26" s="3">
        <v>0</v>
      </c>
      <c r="E26" s="3">
        <f>Transportation28[[#This Row],[Projected Cost]]-Transportation28[[#This Row],[Actual Cost]]</f>
        <v>0</v>
      </c>
      <c r="G26" s="27" t="s">
        <v>95</v>
      </c>
      <c r="H26" s="28">
        <v>20020</v>
      </c>
      <c r="I26" s="28">
        <v>20020</v>
      </c>
      <c r="J26" s="28">
        <f>Loans27[[#This Row],[Projected Cost]]-Loans27[[#This Row],[Actual Cost]]</f>
        <v>0</v>
      </c>
      <c r="K26" s="28">
        <v>0</v>
      </c>
    </row>
    <row r="27" spans="1:11" x14ac:dyDescent="0.3">
      <c r="B27" s="27" t="s">
        <v>130</v>
      </c>
      <c r="C27" s="28">
        <v>620</v>
      </c>
      <c r="D27" s="28">
        <v>620</v>
      </c>
      <c r="E27" s="28">
        <v>0</v>
      </c>
      <c r="G27" s="27" t="s">
        <v>88</v>
      </c>
      <c r="H27" s="28">
        <v>692</v>
      </c>
      <c r="I27" s="28">
        <v>692</v>
      </c>
      <c r="J27" s="28">
        <f>Loans27[[#This Row],[Projected Cost]]-Loans27[[#This Row],[Actual Cost]]</f>
        <v>0</v>
      </c>
      <c r="K27" s="28">
        <v>0</v>
      </c>
    </row>
    <row r="28" spans="1:11" x14ac:dyDescent="0.3">
      <c r="B28" s="27" t="s">
        <v>31</v>
      </c>
      <c r="C28" s="28">
        <v>2042</v>
      </c>
      <c r="D28" s="28">
        <v>2042</v>
      </c>
      <c r="E28" s="28">
        <f>Transportation28[[#This Row],[Projected Cost]]-Transportation28[[#This Row],[Actual Cost]]</f>
        <v>0</v>
      </c>
      <c r="G28" s="27" t="s">
        <v>89</v>
      </c>
      <c r="H28" s="28">
        <v>8800</v>
      </c>
      <c r="I28" s="28">
        <v>8800</v>
      </c>
      <c r="J28" s="28">
        <f>Loans27[[#This Row],[Projected Cost]]-Loans27[[#This Row],[Actual Cost]]</f>
        <v>0</v>
      </c>
      <c r="K28" s="28">
        <v>0</v>
      </c>
    </row>
    <row r="29" spans="1:11" x14ac:dyDescent="0.3">
      <c r="B29" t="s">
        <v>32</v>
      </c>
      <c r="C29" s="3">
        <v>0</v>
      </c>
      <c r="D29" s="3">
        <v>0</v>
      </c>
      <c r="E29" s="3">
        <f>Transportation28[[#This Row],[Projected Cost]]-Transportation28[[#This Row],[Actual Cost]]</f>
        <v>0</v>
      </c>
      <c r="G29" s="27" t="s">
        <v>87</v>
      </c>
      <c r="H29" s="28">
        <v>5375</v>
      </c>
      <c r="I29" s="28">
        <v>5375</v>
      </c>
      <c r="J29" s="28">
        <f>Loans27[[#This Row],[Projected Cost]]-Loans27[[#This Row],[Actual Cost]]</f>
        <v>0</v>
      </c>
      <c r="K29" s="28">
        <v>0</v>
      </c>
    </row>
    <row r="30" spans="1:11" x14ac:dyDescent="0.3">
      <c r="B30" s="27" t="s">
        <v>33</v>
      </c>
      <c r="C30" s="28">
        <f>220+200</f>
        <v>420</v>
      </c>
      <c r="D30" s="28">
        <f>220+200</f>
        <v>420</v>
      </c>
      <c r="E30" s="28">
        <f>Transportation28[[#This Row],[Projected Cost]]-Transportation28[[#This Row],[Actual Cost]]</f>
        <v>0</v>
      </c>
      <c r="G30" t="s">
        <v>103</v>
      </c>
      <c r="H30" s="3">
        <v>0</v>
      </c>
      <c r="I30" s="3">
        <v>0</v>
      </c>
      <c r="J30" s="3">
        <f>Loans27[[#This Row],[Projected Cost]]-Loans27[[#This Row],[Actual Cost]]</f>
        <v>0</v>
      </c>
      <c r="K30" s="3">
        <v>0</v>
      </c>
    </row>
    <row r="31" spans="1:11" x14ac:dyDescent="0.3">
      <c r="B31" t="s">
        <v>34</v>
      </c>
      <c r="C31" s="3">
        <v>0</v>
      </c>
      <c r="D31" s="3">
        <v>0</v>
      </c>
      <c r="E31" s="3">
        <f>Transportation28[[#This Row],[Projected Cost]]-Transportation28[[#This Row],[Actual Cost]]</f>
        <v>0</v>
      </c>
      <c r="G31" t="s">
        <v>104</v>
      </c>
      <c r="H31" s="3">
        <v>0</v>
      </c>
      <c r="I31" s="3">
        <v>0</v>
      </c>
      <c r="J31" s="3">
        <f>Loans27[[#This Row],[Projected Cost]]-Loans27[[#This Row],[Actual Cost]]</f>
        <v>0</v>
      </c>
      <c r="K31" s="3">
        <v>0</v>
      </c>
    </row>
    <row r="32" spans="1:11" x14ac:dyDescent="0.3">
      <c r="B32" t="s">
        <v>23</v>
      </c>
      <c r="C32" s="3">
        <v>0</v>
      </c>
      <c r="D32" s="3">
        <v>0</v>
      </c>
      <c r="E32" s="3">
        <f>Transportation28[[#This Row],[Projected Cost]]-Transportation28[[#This Row],[Actual Cost]]</f>
        <v>0</v>
      </c>
      <c r="G32" t="s">
        <v>121</v>
      </c>
      <c r="H32" s="3">
        <v>10000</v>
      </c>
      <c r="I32" s="3">
        <v>10000</v>
      </c>
      <c r="J32" s="3">
        <f>Loans27[[#This Row],[Projected Cost]]-Loans27[[#This Row],[Actual Cost]]</f>
        <v>0</v>
      </c>
      <c r="K32" s="3">
        <v>0</v>
      </c>
    </row>
    <row r="33" spans="1:10" x14ac:dyDescent="0.3">
      <c r="B33" t="s">
        <v>66</v>
      </c>
      <c r="C33" s="3">
        <f>SUBTOTAL(109,Transportation28[Projected Cost])</f>
        <v>3082</v>
      </c>
      <c r="D33" s="3">
        <f>SUBTOTAL(109,Transportation28[Actual Cost])</f>
        <v>3082</v>
      </c>
      <c r="E33" s="3">
        <f>SUBTOTAL(109,Transportation28[Difference])</f>
        <v>0</v>
      </c>
      <c r="G33" t="s">
        <v>66</v>
      </c>
      <c r="H33" s="3">
        <f>SUBTOTAL(109,Loans27[Projected Cost])</f>
        <v>57167</v>
      </c>
      <c r="I33" s="3">
        <f>SUBTOTAL(109,Loans27[Actual Cost])</f>
        <v>57167</v>
      </c>
      <c r="J33" s="3">
        <f>SUBTOTAL(109,Loans27[Difference])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Insurance29[[#This Row],[Projected Cost]]-Insurance29[[#This Row],[Actual Cost]]</f>
        <v>0</v>
      </c>
      <c r="G36" t="s">
        <v>36</v>
      </c>
      <c r="H36" s="3"/>
      <c r="I36" s="3"/>
      <c r="J36" s="3">
        <f>Taxes30[[#This Row],[Projected Cost]]-Taxes30[[#This Row],[Actual Cost]]</f>
        <v>0</v>
      </c>
    </row>
    <row r="37" spans="1:10" x14ac:dyDescent="0.3">
      <c r="B37" t="s">
        <v>41</v>
      </c>
      <c r="C37" s="3"/>
      <c r="D37" s="3"/>
      <c r="E37" s="3">
        <f>Insurance29[[#This Row],[Projected Cost]]-Insurance29[[#This Row],[Actual Cost]]</f>
        <v>0</v>
      </c>
      <c r="G37" t="s">
        <v>38</v>
      </c>
      <c r="H37" s="3"/>
      <c r="I37" s="3"/>
      <c r="J37" s="3">
        <f>Taxes30[[#This Row],[Projected Cost]]-Taxes30[[#This Row],[Actual Cost]]</f>
        <v>0</v>
      </c>
    </row>
    <row r="38" spans="1:10" x14ac:dyDescent="0.3">
      <c r="B38" t="s">
        <v>42</v>
      </c>
      <c r="C38" s="3"/>
      <c r="D38" s="3"/>
      <c r="E38" s="3">
        <f>Insurance29[[#This Row],[Projected Cost]]-Insurance29[[#This Row],[Actual Cost]]</f>
        <v>0</v>
      </c>
      <c r="G38" t="s">
        <v>40</v>
      </c>
      <c r="H38" s="3"/>
      <c r="I38" s="3"/>
      <c r="J38" s="3">
        <f>Taxes30[[#This Row],[Projected Cost]]-Taxes30[[#This Row],[Actual Cost]]</f>
        <v>0</v>
      </c>
    </row>
    <row r="39" spans="1:10" x14ac:dyDescent="0.3">
      <c r="B39" t="s">
        <v>23</v>
      </c>
      <c r="C39" s="3"/>
      <c r="D39" s="3"/>
      <c r="E39" s="3">
        <f>Insurance29[[#This Row],[Projected Cost]]-Insurance29[[#This Row],[Actual Cost]]</f>
        <v>0</v>
      </c>
      <c r="G39" t="s">
        <v>23</v>
      </c>
      <c r="H39" s="3"/>
      <c r="I39" s="3"/>
      <c r="J39" s="3">
        <f>Taxes30[[#This Row],[Projected Cost]]-Taxes30[[#This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SUBTOTAL(109,Insurance29[Difference])</f>
        <v>0</v>
      </c>
      <c r="G40" t="s">
        <v>66</v>
      </c>
      <c r="H40" s="3"/>
      <c r="I40" s="3"/>
      <c r="J40" s="3">
        <f>SUBTOTAL(109,Taxes30[Difference])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s="27" t="s">
        <v>47</v>
      </c>
      <c r="C43" s="27">
        <f xml:space="preserve"> 508+1160+460</f>
        <v>2128</v>
      </c>
      <c r="D43" s="27">
        <f>508+1160+460</f>
        <v>2128</v>
      </c>
      <c r="E43" s="27">
        <f>Food32[[#This Row],[Projected Cost]]-Food32[[#This Row],[Actual Cost]]</f>
        <v>0</v>
      </c>
      <c r="G43" t="s">
        <v>44</v>
      </c>
      <c r="H43" s="3"/>
      <c r="I43" s="3"/>
      <c r="J43" s="3">
        <f>Savings31[[#This Row],[Projected Cost]]-Savings31[[#This Row],[Actual Cost]]</f>
        <v>0</v>
      </c>
    </row>
    <row r="44" spans="1:10" x14ac:dyDescent="0.3">
      <c r="B44" s="27" t="s">
        <v>94</v>
      </c>
      <c r="C44" s="27">
        <v>165</v>
      </c>
      <c r="D44" s="27">
        <v>165</v>
      </c>
      <c r="E44" s="27">
        <f>Food32[[#This Row],[Projected Cost]]-Food32[[#This Row],[Actual Cost]]</f>
        <v>0</v>
      </c>
      <c r="G44" t="s">
        <v>46</v>
      </c>
      <c r="H44" s="3"/>
      <c r="I44" s="3"/>
      <c r="J44" s="3">
        <f>Savings31[[#This Row],[Projected Cost]]-Savings31[[#This Row],[Actual Cost]]</f>
        <v>0</v>
      </c>
    </row>
    <row r="45" spans="1:10" x14ac:dyDescent="0.3">
      <c r="B45" s="27" t="s">
        <v>98</v>
      </c>
      <c r="C45" s="28">
        <f>1844+245</f>
        <v>2089</v>
      </c>
      <c r="D45" s="28">
        <f>1844+245</f>
        <v>2089</v>
      </c>
      <c r="E45" s="28">
        <f>Food32[[#This Row],[Projected Cost]]-Food32[[#This Row],[Actual Cost]]</f>
        <v>0</v>
      </c>
      <c r="G45" t="s">
        <v>91</v>
      </c>
      <c r="H45" s="3">
        <v>0</v>
      </c>
      <c r="I45" s="3">
        <v>0</v>
      </c>
      <c r="J45" s="3">
        <f>Savings31[[#This Row],[Projected Cost]]-Savings31[[#This Row],[Actual Cost]]</f>
        <v>0</v>
      </c>
    </row>
    <row r="46" spans="1:10" x14ac:dyDescent="0.3">
      <c r="B46" t="s">
        <v>66</v>
      </c>
      <c r="C46" s="3">
        <f>SUBTOTAL(109,Food32[Projected Cost])</f>
        <v>4382</v>
      </c>
      <c r="D46" s="3">
        <f>SUBTOTAL(109,Food32[Actual Cost])</f>
        <v>4382</v>
      </c>
      <c r="E46" s="3">
        <f>SUBTOTAL(109,Food32[Difference])</f>
        <v>0</v>
      </c>
      <c r="G46" t="s">
        <v>66</v>
      </c>
      <c r="H46" s="3">
        <f>SUBTOTAL(109,Savings31[Projected Cost])</f>
        <v>0</v>
      </c>
      <c r="I46" s="3">
        <f>SUBTOTAL(109,Savings31[Actual Cost])</f>
        <v>0</v>
      </c>
      <c r="J46" s="3">
        <f>SUBTOTAL(109,Savings31[Difference])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1" x14ac:dyDescent="0.3">
      <c r="B49" t="s">
        <v>52</v>
      </c>
      <c r="C49" s="3"/>
      <c r="D49" s="3"/>
      <c r="E49" s="3">
        <f>Pets34[[#This Row],[Projected Cost]]-Pets34[[#This Row],[Actual Cost]]</f>
        <v>0</v>
      </c>
      <c r="G49" t="s">
        <v>49</v>
      </c>
      <c r="H49" s="3"/>
      <c r="I49" s="3"/>
      <c r="J49" s="3">
        <f>Gifts33[[#This Row],[Projected Cost]]-Gifts33[[#This Row],[Actual Cost]]</f>
        <v>0</v>
      </c>
    </row>
    <row r="50" spans="1:11" x14ac:dyDescent="0.3">
      <c r="B50" t="s">
        <v>54</v>
      </c>
      <c r="C50" s="3"/>
      <c r="D50" s="3"/>
      <c r="E50" s="3">
        <f>Pets34[[#This Row],[Projected Cost]]-Pets34[[#This Row],[Actual Cost]]</f>
        <v>0</v>
      </c>
      <c r="G50" t="s">
        <v>51</v>
      </c>
      <c r="H50" s="3"/>
      <c r="I50" s="3"/>
      <c r="J50" s="3">
        <f>Gifts33[[#This Row],[Projected Cost]]-Gifts33[[#This Row],[Actual Cost]]</f>
        <v>0</v>
      </c>
    </row>
    <row r="51" spans="1:11" x14ac:dyDescent="0.3">
      <c r="B51" t="s">
        <v>55</v>
      </c>
      <c r="C51" s="3"/>
      <c r="D51" s="3"/>
      <c r="E51" s="3">
        <f>Pets34[[#This Row],[Projected Cost]]-Pets34[[#This Row],[Actual Cost]]</f>
        <v>0</v>
      </c>
      <c r="G51" t="s">
        <v>53</v>
      </c>
      <c r="H51" s="3"/>
      <c r="I51" s="3"/>
      <c r="J51" s="3">
        <f>Gifts33[[#This Row],[Projected Cost]]-Gifts33[[#This Row],[Actual Cost]]</f>
        <v>0</v>
      </c>
    </row>
    <row r="52" spans="1:11" x14ac:dyDescent="0.3">
      <c r="B52" t="s">
        <v>56</v>
      </c>
      <c r="C52" s="3"/>
      <c r="D52" s="3"/>
      <c r="E52" s="3">
        <f>Pets34[[#This Row],[Projected Cost]]-Pets34[[#This Row],[Actual Cost]]</f>
        <v>0</v>
      </c>
      <c r="G52" t="s">
        <v>66</v>
      </c>
      <c r="H52" s="3"/>
      <c r="I52" s="3"/>
      <c r="J52" s="3">
        <f>SUBTOTAL(109,Gifts33[Difference])</f>
        <v>0</v>
      </c>
    </row>
    <row r="53" spans="1:11" x14ac:dyDescent="0.3">
      <c r="B53" t="s">
        <v>23</v>
      </c>
      <c r="C53" s="3"/>
      <c r="D53" s="3"/>
      <c r="E53" s="3">
        <f>Pets34[[#This Row],[Projected Cost]]-Pets34[[#This Row],[Actual Cost]]</f>
        <v>0</v>
      </c>
      <c r="G53" s="35"/>
      <c r="H53" s="35"/>
      <c r="I53" s="35"/>
      <c r="J53" s="35"/>
    </row>
    <row r="54" spans="1:11" x14ac:dyDescent="0.3">
      <c r="B54" t="s">
        <v>66</v>
      </c>
      <c r="C54" s="3"/>
      <c r="D54" s="3"/>
      <c r="E54" s="3">
        <f>SUBTOTAL(109,Pets34[Difference])</f>
        <v>0</v>
      </c>
      <c r="G54" t="s">
        <v>106</v>
      </c>
      <c r="H54" t="s">
        <v>6</v>
      </c>
      <c r="I54" t="s">
        <v>7</v>
      </c>
      <c r="J54" t="s">
        <v>8</v>
      </c>
      <c r="K54" t="s">
        <v>127</v>
      </c>
    </row>
    <row r="55" spans="1:11" x14ac:dyDescent="0.3">
      <c r="B55" s="35"/>
      <c r="C55" s="35"/>
      <c r="D55" s="35"/>
      <c r="E55" s="35"/>
      <c r="G55" s="27" t="s">
        <v>123</v>
      </c>
      <c r="H55" s="28">
        <v>6896</v>
      </c>
      <c r="I55" s="28">
        <v>6896</v>
      </c>
      <c r="J55" s="28">
        <f>Legal35[[#This Row],[Projected Cost]]-Legal35[[#This Row],[Actual Cost]]</f>
        <v>0</v>
      </c>
      <c r="K55" s="28" t="s">
        <v>140</v>
      </c>
    </row>
    <row r="56" spans="1:11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s="31" t="s">
        <v>108</v>
      </c>
      <c r="H56" s="32">
        <v>6673</v>
      </c>
      <c r="I56" s="32">
        <v>6673</v>
      </c>
      <c r="J56" s="32">
        <f>Legal35[[#This Row],[Projected Cost]]-Legal35[[#This Row],[Actual Cost]]</f>
        <v>0</v>
      </c>
      <c r="K56" s="32" t="s">
        <v>140</v>
      </c>
    </row>
    <row r="57" spans="1:11" x14ac:dyDescent="0.3">
      <c r="B57" s="8" t="s">
        <v>54</v>
      </c>
      <c r="C57" s="9"/>
      <c r="D57" s="9"/>
      <c r="E57" s="9">
        <f>PersonalCare36[[#This Row],[z]]-PersonalCare36[[#This Row],[Actual Cost]]</f>
        <v>0</v>
      </c>
      <c r="G57" s="27" t="s">
        <v>109</v>
      </c>
      <c r="H57" s="28">
        <v>4007</v>
      </c>
      <c r="I57" s="28">
        <v>4007</v>
      </c>
      <c r="J57" s="28">
        <f>Legal35[[#This Row],[Projected Cost]]-Legal35[[#This Row],[Actual Cost]]</f>
        <v>0</v>
      </c>
      <c r="K57" s="28"/>
    </row>
    <row r="58" spans="1:11" x14ac:dyDescent="0.3">
      <c r="B58" s="8" t="s">
        <v>58</v>
      </c>
      <c r="C58" s="9"/>
      <c r="D58" s="9"/>
      <c r="E58" s="9">
        <f>PersonalCare36[[#This Row],[z]]-PersonalCare36[[#This Row],[Actual Cost]]</f>
        <v>0</v>
      </c>
      <c r="G58" s="27" t="s">
        <v>120</v>
      </c>
      <c r="H58" s="28">
        <v>2790</v>
      </c>
      <c r="I58" s="28">
        <v>2790</v>
      </c>
      <c r="J58" s="28">
        <f>Legal35[[#This Row],[Projected Cost]]-Legal35[[#This Row],[Actual Cost]]</f>
        <v>0</v>
      </c>
      <c r="K58" s="28" t="s">
        <v>141</v>
      </c>
    </row>
    <row r="59" spans="1:11" x14ac:dyDescent="0.3">
      <c r="A59" s="13" t="s">
        <v>86</v>
      </c>
      <c r="B59" s="8" t="s">
        <v>59</v>
      </c>
      <c r="C59" s="9"/>
      <c r="D59" s="9"/>
      <c r="E59" s="9">
        <f>PersonalCare36[[#This Row],[z]]-PersonalCare36[[#This Row],[Actual Cost]]</f>
        <v>0</v>
      </c>
      <c r="G59" t="s">
        <v>113</v>
      </c>
      <c r="H59" s="3">
        <v>0</v>
      </c>
      <c r="I59" s="3">
        <v>0</v>
      </c>
      <c r="J59" s="3">
        <f>Legal35[[#This Row],[Projected Cost]]-Legal35[[#This Row],[Actual Cost]]</f>
        <v>0</v>
      </c>
      <c r="K59" s="3"/>
    </row>
    <row r="60" spans="1:11" x14ac:dyDescent="0.3">
      <c r="B60" s="8" t="s">
        <v>61</v>
      </c>
      <c r="C60" s="9"/>
      <c r="D60" s="9"/>
      <c r="E60" s="9">
        <f>PersonalCare36[[#This Row],[z]]-PersonalCare36[[#This Row],[Actual Cost]]</f>
        <v>0</v>
      </c>
      <c r="G60" t="s">
        <v>124</v>
      </c>
      <c r="H60" s="3">
        <v>4467</v>
      </c>
      <c r="I60" s="3">
        <v>4467</v>
      </c>
      <c r="J60" s="3">
        <f>Legal35[[#This Row],[Projected Cost]]-Legal35[[#This Row],[Actual Cost]]</f>
        <v>0</v>
      </c>
      <c r="K60" s="3"/>
    </row>
    <row r="61" spans="1:11" x14ac:dyDescent="0.3">
      <c r="B61" s="8" t="s">
        <v>62</v>
      </c>
      <c r="C61" s="9"/>
      <c r="D61" s="9"/>
      <c r="E61" s="9">
        <f>PersonalCare36[[#This Row],[z]]-PersonalCare36[[#This Row],[Actual Cost]]</f>
        <v>0</v>
      </c>
      <c r="G61" t="s">
        <v>66</v>
      </c>
      <c r="H61" s="3">
        <f>SUBTOTAL(109,Legal35[Projected Cost])</f>
        <v>24833</v>
      </c>
      <c r="I61" s="3">
        <f>SUBTOTAL(109,Legal35[Actual Cost])</f>
        <v>24833</v>
      </c>
      <c r="J61" s="3">
        <f>SUBTOTAL(109,Legal35[Difference])</f>
        <v>0</v>
      </c>
    </row>
    <row r="62" spans="1:11" x14ac:dyDescent="0.3">
      <c r="B62" s="8" t="s">
        <v>64</v>
      </c>
      <c r="C62" s="9"/>
      <c r="D62" s="9"/>
      <c r="E62" s="9">
        <f>PersonalCare36[[#This Row],[z]]-PersonalCare36[[#This Row],[Actual Cost]]</f>
        <v>0</v>
      </c>
      <c r="G62" s="35"/>
      <c r="H62" s="35"/>
      <c r="I62" s="35"/>
      <c r="J62" s="35"/>
    </row>
    <row r="63" spans="1:11" x14ac:dyDescent="0.3">
      <c r="B63" s="8" t="s">
        <v>23</v>
      </c>
      <c r="C63" s="9"/>
      <c r="D63" s="9"/>
      <c r="E63" s="9">
        <f>PersonalCare36[[#This Row],[z]]-PersonalCare36[[#This Row],[Actual Cost]]</f>
        <v>0</v>
      </c>
      <c r="G63" s="36" t="s">
        <v>60</v>
      </c>
      <c r="H63" s="36"/>
      <c r="I63" s="36"/>
      <c r="J63" s="37">
        <f>SUBTOTAL(109,Housing25[Projected Cost],Transportation28[Projected Cost],Insurance29[Projected Cost],Food32[Projected Cost],Pets34[Projected Cost],PersonalCare36[z],Entertainment26[Projected Cost],Loans27[Projected Cost],Taxes30[Projected Cost],Savings31[Projected Cost],Gifts33[Projected Cost],Legal35[Projected Cost])</f>
        <v>130266</v>
      </c>
    </row>
    <row r="64" spans="1:11" x14ac:dyDescent="0.3">
      <c r="B64" s="8" t="s">
        <v>66</v>
      </c>
      <c r="C64" s="9"/>
      <c r="D64" s="9"/>
      <c r="E64" s="9">
        <f>SUBTOTAL(109,PersonalCare36[Difference])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SUBTOTAL(109,Housing25[Actual Cost],Transportation28[Actual Cost],Insurance29[Actual Cost],Food32[Actual Cost],Pets34[Actual Cost],PersonalCare36[Actual Cost],Entertainment26[Actual Cost],Loans27[Actual Cost],Taxes30[Actual Cost],Savings31[Actual Cost],Gifts33[Actual Cost],Legal35[Actual Cost])</f>
        <v>130266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157" priority="2" operator="lessThan">
      <formula>0</formula>
    </cfRule>
  </conditionalFormatting>
  <conditionalFormatting sqref="J67:J68">
    <cfRule type="cellIs" dxfId="156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8"/>
  <sheetViews>
    <sheetView showGridLines="0" zoomScale="85" zoomScaleNormal="85" workbookViewId="0">
      <selection activeCell="B49" sqref="B49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90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v>80000</v>
      </c>
      <c r="G4" s="43" t="s">
        <v>97</v>
      </c>
      <c r="H4" s="44"/>
      <c r="I4" s="44"/>
      <c r="J4" s="37">
        <f>E6-J65</f>
        <v>9094</v>
      </c>
    </row>
    <row r="5" spans="1:10" x14ac:dyDescent="0.3">
      <c r="B5" s="39"/>
      <c r="C5" s="41" t="s">
        <v>111</v>
      </c>
      <c r="D5" s="42"/>
      <c r="E5" s="6">
        <v>23000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103000</v>
      </c>
      <c r="G6" s="43" t="s">
        <v>96</v>
      </c>
      <c r="H6" s="44"/>
      <c r="I6" s="44"/>
      <c r="J6" s="37">
        <f>E10-J65</f>
        <v>-93906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-103000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13600</v>
      </c>
      <c r="D13" s="9">
        <v>13600</v>
      </c>
      <c r="E13" s="9">
        <f>Housing[[#This Row],[Projected Cost]]-Housing[[#This Row],[Actual Cost]]</f>
        <v>0</v>
      </c>
      <c r="G13" t="s">
        <v>11</v>
      </c>
      <c r="H13" s="3"/>
      <c r="I13" s="3"/>
      <c r="J13" s="3">
        <f>Entertainment[[#This Row],[Projected Cost]]-Entertainment[[#This Row],[Actual Cost]]</f>
        <v>0</v>
      </c>
    </row>
    <row r="14" spans="1:10" x14ac:dyDescent="0.3">
      <c r="B14" s="16" t="s">
        <v>12</v>
      </c>
      <c r="C14" s="9">
        <v>300</v>
      </c>
      <c r="D14" s="9">
        <v>300</v>
      </c>
      <c r="E14" s="9">
        <f>Housing[[#This Row],[Projected Cost]]-Housing[[#This Row],[Actual Cost]]</f>
        <v>0</v>
      </c>
      <c r="G14" t="s">
        <v>13</v>
      </c>
      <c r="H14" s="3"/>
      <c r="I14" s="3"/>
      <c r="J14" s="3">
        <f>Entertainment[[#This Row],[Projected Cost]]-Entertainment[[#This Row],[Actual Cost]]</f>
        <v>0</v>
      </c>
    </row>
    <row r="15" spans="1:10" x14ac:dyDescent="0.3">
      <c r="B15" s="8" t="s">
        <v>14</v>
      </c>
      <c r="C15" s="9">
        <v>707</v>
      </c>
      <c r="D15" s="9">
        <v>707</v>
      </c>
      <c r="E15" s="9">
        <f>Housing[[#This Row],[Projected Cost]]-Housing[[#This Row],[Actual Cost]]</f>
        <v>0</v>
      </c>
      <c r="G15" t="s">
        <v>15</v>
      </c>
      <c r="H15" s="3"/>
      <c r="I15" s="3"/>
      <c r="J15" s="3">
        <f>Entertainment[[#This Row],[Projected Cost]]-Entertainment[[#This Row],[Actual Cost]]</f>
        <v>0</v>
      </c>
    </row>
    <row r="16" spans="1:10" x14ac:dyDescent="0.3">
      <c r="B16" s="8" t="s">
        <v>16</v>
      </c>
      <c r="C16" s="9">
        <v>1061</v>
      </c>
      <c r="D16" s="9">
        <v>1061</v>
      </c>
      <c r="E16" s="9">
        <f>Housing[[#This Row],[Projected Cost]]-Housing[[#This Row],[Actual Cost]]</f>
        <v>0</v>
      </c>
      <c r="G16" t="s">
        <v>17</v>
      </c>
      <c r="H16" s="3"/>
      <c r="I16" s="3"/>
      <c r="J16" s="3">
        <f>Entertainment[[#This Row],[Projected Cost]]-Entertainment[[#This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Housing[[#This Row],[Projected Cost]]-Housing[[#This Row],[Actual Cost]]</f>
        <v>0</v>
      </c>
      <c r="G17" t="s">
        <v>19</v>
      </c>
      <c r="H17" s="3"/>
      <c r="I17" s="3"/>
      <c r="J17" s="3">
        <f>Entertainment[[#This Row],[Projected Cost]]-Entertainment[[#This Row],[Actual Cost]]</f>
        <v>0</v>
      </c>
    </row>
    <row r="18" spans="1:10" x14ac:dyDescent="0.3">
      <c r="B18" s="16" t="s">
        <v>20</v>
      </c>
      <c r="C18" s="9">
        <v>2410</v>
      </c>
      <c r="D18" s="9">
        <v>2410</v>
      </c>
      <c r="E18" s="9">
        <f>Housing[[#This Row],[Projected Cost]]-Housing[[#This Row],[Actual Cost]]</f>
        <v>0</v>
      </c>
      <c r="G18" t="s">
        <v>21</v>
      </c>
      <c r="H18" s="3"/>
      <c r="I18" s="3"/>
      <c r="J18" s="3">
        <f>Entertainment[[#This Row],[Projected Cost]]-Entertainment[[#This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Housing[[#This Row],[Projected Cost]]-Housing[[#This Row],[Actual Cost]]</f>
        <v>0</v>
      </c>
      <c r="G19" t="s">
        <v>23</v>
      </c>
      <c r="H19" s="3"/>
      <c r="I19" s="3"/>
      <c r="J19" s="3">
        <f>Entertainment[[#This Row],[Projected Cost]]-Entertainment[[#This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Housing[[#This Row],[Projected Cost]]-Housing[[#This Row],[Actual Cost]]</f>
        <v>0</v>
      </c>
      <c r="G20" t="s">
        <v>23</v>
      </c>
      <c r="H20" s="3"/>
      <c r="I20" s="3"/>
      <c r="J20" s="3">
        <f>Entertainment[[#This Row],[Projected Cost]]-Entertainment[[#This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Housing[[#This Row],[Projected Cost]]-Housing[[#This Row],[Actual Cost]]</f>
        <v>0</v>
      </c>
      <c r="G21" t="s">
        <v>23</v>
      </c>
      <c r="H21" s="3"/>
      <c r="I21" s="3"/>
      <c r="J21" s="3">
        <f>Entertainment[[#This Row],[Projected Cost]]-Entertainment[[#This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Housing[[#This Row],[Projected Cost]]-Housing[[#This Row],[Actual Cost]]</f>
        <v>0</v>
      </c>
      <c r="G22" t="s">
        <v>66</v>
      </c>
      <c r="H22" s="3"/>
      <c r="I22" s="3"/>
      <c r="J22" s="3">
        <f>SUBTOTAL(109,Entertainment[Difference])</f>
        <v>0</v>
      </c>
    </row>
    <row r="23" spans="1:10" x14ac:dyDescent="0.3">
      <c r="B23" s="8" t="s">
        <v>66</v>
      </c>
      <c r="C23" s="9">
        <f>SUBTOTAL(109,Housing[Projected Cost])</f>
        <v>18078</v>
      </c>
      <c r="D23" s="9">
        <f>SUBTOTAL(109,Housing[Actual Cost])</f>
        <v>18078</v>
      </c>
      <c r="E23" s="9">
        <f>SUBTOTAL(109,Housing[Difference])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Loans[[#This Row],[Projected Cost]]-Loans[[#This Row],[Actual Cost]]</f>
        <v>0</v>
      </c>
    </row>
    <row r="26" spans="1:10" x14ac:dyDescent="0.3">
      <c r="B26" s="17" t="s">
        <v>29</v>
      </c>
      <c r="C26" s="3">
        <v>4147</v>
      </c>
      <c r="D26" s="3">
        <v>4147</v>
      </c>
      <c r="E26" s="3">
        <f>Transportation[[#This Row],[Projected Cost]]-Transportation[[#This Row],[Actual Cost]]</f>
        <v>0</v>
      </c>
      <c r="G26" s="18" t="s">
        <v>95</v>
      </c>
      <c r="H26" s="3">
        <v>20020</v>
      </c>
      <c r="I26" s="3">
        <v>20020</v>
      </c>
      <c r="J26" s="3">
        <f>Loans[[#This Row],[Projected Cost]]-Loans[[#This Row],[Actual Cost]]</f>
        <v>0</v>
      </c>
    </row>
    <row r="27" spans="1:10" x14ac:dyDescent="0.3">
      <c r="B27" t="s">
        <v>30</v>
      </c>
      <c r="C27" s="3">
        <v>2561</v>
      </c>
      <c r="D27" s="3">
        <v>2561</v>
      </c>
      <c r="E27" s="3">
        <v>0</v>
      </c>
      <c r="G27" s="19" t="s">
        <v>88</v>
      </c>
      <c r="H27" s="3">
        <v>0</v>
      </c>
      <c r="I27" s="3">
        <v>0</v>
      </c>
      <c r="J27" s="3">
        <f>Loans[[#This Row],[Projected Cost]]-Loans[[#This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Transportation[[#This Row],[Projected Cost]]-Transportation[[#This Row],[Actual Cost]]</f>
        <v>0</v>
      </c>
      <c r="G28" s="19" t="s">
        <v>89</v>
      </c>
      <c r="H28" s="3">
        <v>0</v>
      </c>
      <c r="I28" s="3">
        <v>0</v>
      </c>
      <c r="J28" s="3">
        <f>Loans[[#This Row],[Projected Cost]]-Loans[[#This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Transportation[[#This Row],[Projected Cost]]-Transportation[[#This Row],[Actual Cost]]</f>
        <v>0</v>
      </c>
      <c r="G29" s="18" t="s">
        <v>87</v>
      </c>
      <c r="H29" s="3">
        <v>5375</v>
      </c>
      <c r="I29" s="3">
        <v>5375</v>
      </c>
      <c r="J29" s="3">
        <f>Loans[[#This Row],[Projected Cost]]-Loans[[#This Row],[Actual Cost]]</f>
        <v>0</v>
      </c>
    </row>
    <row r="30" spans="1:10" x14ac:dyDescent="0.3">
      <c r="B30" t="s">
        <v>33</v>
      </c>
      <c r="C30" s="3">
        <v>1000</v>
      </c>
      <c r="D30" s="3">
        <v>1000</v>
      </c>
      <c r="E30" s="3">
        <f>Transportation[[#This Row],[Projected Cost]]-Transportation[[#This Row],[Actual Cost]]</f>
        <v>0</v>
      </c>
      <c r="G30" s="18" t="s">
        <v>93</v>
      </c>
      <c r="H30" s="3">
        <v>3000</v>
      </c>
      <c r="I30" s="3">
        <v>3000</v>
      </c>
      <c r="J30" s="3">
        <f>Loans[[#This Row],[Projected Cost]]-Loans[[#This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Transportation[[#This Row],[Projected Cost]]-Transportation[[#This Row],[Actual Cost]]</f>
        <v>0</v>
      </c>
      <c r="G31" s="18" t="s">
        <v>99</v>
      </c>
      <c r="H31" s="3">
        <v>5000</v>
      </c>
      <c r="I31" s="3">
        <v>5000</v>
      </c>
      <c r="J31" s="3">
        <f>Loans[[#This Row],[Projected Cost]]-Loans[[#This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Transportation[[#This Row],[Projected Cost]]-Transportation[[#This Row],[Actual Cost]]</f>
        <v>0</v>
      </c>
      <c r="G32" s="18" t="s">
        <v>116</v>
      </c>
      <c r="H32" s="3">
        <v>2000</v>
      </c>
      <c r="I32" s="3">
        <v>2000</v>
      </c>
      <c r="J32" s="3">
        <f>Loans[[#This Row],[Projected Cost]]-Loans[[#This Row],[Actual Cost]]</f>
        <v>0</v>
      </c>
    </row>
    <row r="33" spans="1:10" x14ac:dyDescent="0.3">
      <c r="B33" t="s">
        <v>66</v>
      </c>
      <c r="C33" s="3">
        <f>SUBTOTAL(109,Transportation[Projected Cost])</f>
        <v>7708</v>
      </c>
      <c r="D33" s="3">
        <f>SUBTOTAL(109,Transportation[Actual Cost])</f>
        <v>7708</v>
      </c>
      <c r="E33" s="3">
        <f>SUBTOTAL(109,Transportation[Difference])</f>
        <v>0</v>
      </c>
      <c r="G33" t="s">
        <v>66</v>
      </c>
      <c r="H33" s="3">
        <f>SUBTOTAL(109,Loans[Projected Cost])</f>
        <v>35395</v>
      </c>
      <c r="I33" s="3"/>
      <c r="J33" s="3">
        <f>SUBTOTAL(109,Loans[Difference])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Insurance[[#This Row],[Projected Cost]]-Insurance[[#This Row],[Actual Cost]]</f>
        <v>0</v>
      </c>
      <c r="G36" t="s">
        <v>36</v>
      </c>
      <c r="H36" s="3"/>
      <c r="I36" s="3"/>
      <c r="J36" s="3">
        <f>Taxes[[#This Row],[Projected Cost]]-Taxes[[#This Row],[Actual Cost]]</f>
        <v>0</v>
      </c>
    </row>
    <row r="37" spans="1:10" x14ac:dyDescent="0.3">
      <c r="B37" t="s">
        <v>41</v>
      </c>
      <c r="C37" s="3"/>
      <c r="D37" s="3"/>
      <c r="E37" s="3">
        <f>Insurance[[#This Row],[Projected Cost]]-Insurance[[#This Row],[Actual Cost]]</f>
        <v>0</v>
      </c>
      <c r="G37" t="s">
        <v>38</v>
      </c>
      <c r="H37" s="3"/>
      <c r="I37" s="3"/>
      <c r="J37" s="3">
        <f>Taxes[[#This Row],[Projected Cost]]-Taxes[[#This Row],[Actual Cost]]</f>
        <v>0</v>
      </c>
    </row>
    <row r="38" spans="1:10" x14ac:dyDescent="0.3">
      <c r="B38" t="s">
        <v>42</v>
      </c>
      <c r="C38" s="3"/>
      <c r="D38" s="3"/>
      <c r="E38" s="3">
        <f>Insurance[[#This Row],[Projected Cost]]-Insurance[[#This Row],[Actual Cost]]</f>
        <v>0</v>
      </c>
      <c r="G38" t="s">
        <v>40</v>
      </c>
      <c r="H38" s="3"/>
      <c r="I38" s="3"/>
      <c r="J38" s="3">
        <f>Taxes[[#This Row],[Projected Cost]]-Taxes[[#This Row],[Actual Cost]]</f>
        <v>0</v>
      </c>
    </row>
    <row r="39" spans="1:10" x14ac:dyDescent="0.3">
      <c r="B39" t="s">
        <v>23</v>
      </c>
      <c r="C39" s="3"/>
      <c r="D39" s="3"/>
      <c r="E39" s="3">
        <f>Insurance[[#This Row],[Projected Cost]]-Insurance[[#This Row],[Actual Cost]]</f>
        <v>0</v>
      </c>
      <c r="G39" t="s">
        <v>23</v>
      </c>
      <c r="H39" s="3"/>
      <c r="I39" s="3"/>
      <c r="J39" s="3">
        <f>Taxes[[#This Row],[Projected Cost]]-Taxes[[#This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SUBTOTAL(109,Insurance[Difference])</f>
        <v>0</v>
      </c>
      <c r="G40" t="s">
        <v>66</v>
      </c>
      <c r="H40" s="3"/>
      <c r="I40" s="3"/>
      <c r="J40" s="3">
        <f>SUBTOTAL(109,Taxes[Difference])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s="17" t="s">
        <v>47</v>
      </c>
      <c r="C43" s="3">
        <v>3157</v>
      </c>
      <c r="D43" s="3">
        <v>3157</v>
      </c>
      <c r="E43" s="3">
        <f>Food[[#This Row],[Projected Cost]]-Food[[#This Row],[Actual Cost]]</f>
        <v>0</v>
      </c>
      <c r="G43" t="s">
        <v>44</v>
      </c>
      <c r="H43" s="3"/>
      <c r="I43" s="3"/>
      <c r="J43" s="3">
        <f>Savings[[#This Row],[Projected Cost]]-Savings[[#This Row],[Actual Cost]]</f>
        <v>0</v>
      </c>
    </row>
    <row r="44" spans="1:10" x14ac:dyDescent="0.3">
      <c r="B44" s="17" t="s">
        <v>94</v>
      </c>
      <c r="C44" s="3">
        <v>700</v>
      </c>
      <c r="D44" s="3">
        <v>700</v>
      </c>
      <c r="E44" s="3">
        <f>Food[[#This Row],[Projected Cost]]-Food[[#This Row],[Actual Cost]]</f>
        <v>0</v>
      </c>
      <c r="G44" t="s">
        <v>46</v>
      </c>
      <c r="H44" s="3"/>
      <c r="I44" s="3"/>
      <c r="J44" s="3">
        <f>Savings[[#This Row],[Projected Cost]]-Savings[[#This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Food[[#This Row],[Projected Cost]]-Food[[#This Row],[Actual Cost]]</f>
        <v>0</v>
      </c>
      <c r="G45" t="s">
        <v>91</v>
      </c>
      <c r="H45" s="3">
        <v>3000</v>
      </c>
      <c r="I45" s="3">
        <v>3000</v>
      </c>
      <c r="J45" s="3">
        <f>Savings[[#This Row],[Projected Cost]]-Savings[[#This Row],[Actual Cost]]</f>
        <v>0</v>
      </c>
    </row>
    <row r="46" spans="1:10" x14ac:dyDescent="0.3">
      <c r="B46" t="s">
        <v>66</v>
      </c>
      <c r="C46" s="3">
        <f>SUBTOTAL(109,Food[Projected Cost])</f>
        <v>5857</v>
      </c>
      <c r="D46" s="3">
        <f>SUBTOTAL(109,Food[Actual Cost])</f>
        <v>5857</v>
      </c>
      <c r="E46" s="3">
        <f>SUBTOTAL(109,Food[Difference])</f>
        <v>0</v>
      </c>
      <c r="G46" t="s">
        <v>66</v>
      </c>
      <c r="H46" s="3">
        <f>SUBTOTAL(109,Savings[Projected Cost])</f>
        <v>3000</v>
      </c>
      <c r="I46" s="3">
        <f>SUBTOTAL(109,Savings[Actual Cost])</f>
        <v>3000</v>
      </c>
      <c r="J46" s="3">
        <f>SUBTOTAL(109,Savings[Difference])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Pets[[#This Row],[Projected Cost]]-Pets[[#This Row],[Actual Cost]]</f>
        <v>0</v>
      </c>
      <c r="G49" t="s">
        <v>49</v>
      </c>
      <c r="H49" s="3"/>
      <c r="I49" s="3"/>
      <c r="J49" s="3">
        <f>Gifts[[#This Row],[Projected Cost]]-Gifts[[#This Row],[Actual Cost]]</f>
        <v>0</v>
      </c>
    </row>
    <row r="50" spans="1:10" x14ac:dyDescent="0.3">
      <c r="B50" t="s">
        <v>54</v>
      </c>
      <c r="C50" s="3"/>
      <c r="D50" s="3"/>
      <c r="E50" s="3">
        <f>Pets[[#This Row],[Projected Cost]]-Pets[[#This Row],[Actual Cost]]</f>
        <v>0</v>
      </c>
      <c r="G50" t="s">
        <v>51</v>
      </c>
      <c r="H50" s="3"/>
      <c r="I50" s="3"/>
      <c r="J50" s="3">
        <f>Gifts[[#This Row],[Projected Cost]]-Gifts[[#This Row],[Actual Cost]]</f>
        <v>0</v>
      </c>
    </row>
    <row r="51" spans="1:10" x14ac:dyDescent="0.3">
      <c r="B51" t="s">
        <v>55</v>
      </c>
      <c r="C51" s="3"/>
      <c r="D51" s="3"/>
      <c r="E51" s="3">
        <f>Pets[[#This Row],[Projected Cost]]-Pets[[#This Row],[Actual Cost]]</f>
        <v>0</v>
      </c>
      <c r="G51" t="s">
        <v>53</v>
      </c>
      <c r="H51" s="3"/>
      <c r="I51" s="3"/>
      <c r="J51" s="3">
        <f>Gifts[[#This Row],[Projected Cost]]-Gifts[[#This Row],[Actual Cost]]</f>
        <v>0</v>
      </c>
    </row>
    <row r="52" spans="1:10" x14ac:dyDescent="0.3">
      <c r="B52" t="s">
        <v>56</v>
      </c>
      <c r="C52" s="3"/>
      <c r="D52" s="3"/>
      <c r="E52" s="3">
        <f>Pets[[#This Row],[Projected Cost]]-Pets[[#This Row],[Actual Cost]]</f>
        <v>0</v>
      </c>
      <c r="G52" t="s">
        <v>66</v>
      </c>
      <c r="H52" s="3"/>
      <c r="I52" s="3"/>
      <c r="J52" s="3">
        <f>SUBTOTAL(109,Gifts[Difference])</f>
        <v>0</v>
      </c>
    </row>
    <row r="53" spans="1:10" x14ac:dyDescent="0.3">
      <c r="B53" t="s">
        <v>23</v>
      </c>
      <c r="C53" s="3"/>
      <c r="D53" s="3"/>
      <c r="E53" s="3">
        <f>Pets[[#This Row],[Projected Cost]]-Pets[[#This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107</v>
      </c>
      <c r="H55" s="3">
        <v>8500</v>
      </c>
      <c r="I55" s="3">
        <v>8500</v>
      </c>
      <c r="J55" s="3">
        <f>Legal[[#This Row],[Projected Cost]]-Legal[[#This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6673</v>
      </c>
      <c r="I56" s="3">
        <v>6673</v>
      </c>
      <c r="J56" s="3">
        <f>Legal[[#This Row],[Projected Cost]]-Legal[[#This Row],[Actual Cost]]</f>
        <v>0</v>
      </c>
    </row>
    <row r="57" spans="1:10" x14ac:dyDescent="0.3">
      <c r="B57" s="8" t="s">
        <v>54</v>
      </c>
      <c r="C57" s="9"/>
      <c r="D57" s="9"/>
      <c r="E57" s="9">
        <f>PersonalCare[[#This Row],[z]]-PersonalCare[[#This Row],[Actual Cost]]</f>
        <v>0</v>
      </c>
      <c r="G57" t="s">
        <v>109</v>
      </c>
      <c r="H57" s="3">
        <v>4007</v>
      </c>
      <c r="I57" s="3">
        <v>4007</v>
      </c>
      <c r="J57" s="3">
        <f>Legal[[#This Row],[Projected Cost]]-Legal[[#This Row],[Actual Cost]]</f>
        <v>0</v>
      </c>
    </row>
    <row r="58" spans="1:10" x14ac:dyDescent="0.3">
      <c r="B58" s="8" t="s">
        <v>58</v>
      </c>
      <c r="C58" s="9"/>
      <c r="D58" s="9"/>
      <c r="E58" s="9">
        <f>PersonalCare[[#This Row],[z]]-PersonalCare[[#This Row],[Actual Cost]]</f>
        <v>0</v>
      </c>
      <c r="G58" t="s">
        <v>110</v>
      </c>
      <c r="H58" s="3">
        <v>0</v>
      </c>
      <c r="I58" s="3">
        <v>0</v>
      </c>
      <c r="J58" s="3">
        <f>Legal[[#This Row],[Projected Cost]]-Legal[[#This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PersonalCare[[#This Row],[z]]-PersonalCare[[#This Row],[Actual Cost]]</f>
        <v>0</v>
      </c>
      <c r="G59" s="17" t="s">
        <v>112</v>
      </c>
      <c r="H59" s="3">
        <v>719</v>
      </c>
      <c r="I59" s="3">
        <v>719</v>
      </c>
      <c r="J59" s="3">
        <f>Legal[[#This Row],[Projected Cost]]-Legal[[#This Row],[Actual Cost]]</f>
        <v>0</v>
      </c>
    </row>
    <row r="60" spans="1:10" x14ac:dyDescent="0.3">
      <c r="B60" s="8" t="s">
        <v>61</v>
      </c>
      <c r="C60" s="9"/>
      <c r="D60" s="9"/>
      <c r="E60" s="9">
        <f>PersonalCare[[#This Row],[z]]-PersonalCare[[#This Row],[Actual Cost]]</f>
        <v>0</v>
      </c>
      <c r="G60" t="s">
        <v>113</v>
      </c>
      <c r="H60" s="3">
        <v>3969</v>
      </c>
      <c r="I60" s="3">
        <v>3969</v>
      </c>
      <c r="J60" s="3">
        <f>Legal[[#This Row],[Projected Cost]]-Legal[[#This Row],[Actual Cost]]</f>
        <v>0</v>
      </c>
    </row>
    <row r="61" spans="1:10" x14ac:dyDescent="0.3">
      <c r="B61" s="8" t="s">
        <v>62</v>
      </c>
      <c r="C61" s="9"/>
      <c r="D61" s="9"/>
      <c r="E61" s="9">
        <f>PersonalCare[[#This Row],[z]]-PersonalCare[[#This Row],[Actual Cost]]</f>
        <v>0</v>
      </c>
      <c r="G61" t="s">
        <v>66</v>
      </c>
      <c r="H61" s="3">
        <f>SUBTOTAL(109,Legal[Projected Cost])</f>
        <v>23868</v>
      </c>
      <c r="I61" s="3">
        <f>SUBTOTAL(109,Legal[Actual Cost])</f>
        <v>23868</v>
      </c>
      <c r="J61" s="3">
        <f>SUBTOTAL(109,Legal[Difference])</f>
        <v>0</v>
      </c>
    </row>
    <row r="62" spans="1:10" x14ac:dyDescent="0.3">
      <c r="B62" s="8" t="s">
        <v>64</v>
      </c>
      <c r="C62" s="9"/>
      <c r="D62" s="9"/>
      <c r="E62" s="9">
        <f>PersonalCare[[#This Row],[z]]-PersonalCare[[#This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PersonalCare[[#This Row],[z]]-PersonalCare[[#This Row],[Actual Cost]]</f>
        <v>0</v>
      </c>
      <c r="G63" s="36" t="s">
        <v>60</v>
      </c>
      <c r="H63" s="36"/>
      <c r="I63" s="36"/>
      <c r="J63" s="37">
        <f>SUBTOTAL(109,Housing[Projected Cost],Transportation[Projected Cost],Insurance[Projected Cost],Food[Projected Cost],Pets[Projected Cost],PersonalCare[z],Entertainment[Projected Cost],Loans[Projected Cost],Taxes[Projected Cost],Savings[Projected Cost],Gifts[Projected Cost],Legal[Projected Cost])</f>
        <v>93906</v>
      </c>
    </row>
    <row r="64" spans="1:10" x14ac:dyDescent="0.3">
      <c r="B64" s="8" t="s">
        <v>66</v>
      </c>
      <c r="C64" s="9"/>
      <c r="D64" s="9"/>
      <c r="E64" s="9">
        <f>SUBTOTAL(109,PersonalCare[Difference])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93906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C4:D4"/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G34:J34"/>
    <mergeCell ref="J8:J9"/>
    <mergeCell ref="J6:J7"/>
    <mergeCell ref="J4:J5"/>
    <mergeCell ref="G63:I64"/>
    <mergeCell ref="G23:J23"/>
    <mergeCell ref="B24:E24"/>
    <mergeCell ref="B34:E34"/>
    <mergeCell ref="B41:E41"/>
    <mergeCell ref="B47:E47"/>
    <mergeCell ref="B55:E55"/>
    <mergeCell ref="G67:I68"/>
    <mergeCell ref="J67:J68"/>
    <mergeCell ref="J63:J64"/>
    <mergeCell ref="J65:J66"/>
    <mergeCell ref="G65:I66"/>
    <mergeCell ref="B65:E65"/>
    <mergeCell ref="G62:J62"/>
    <mergeCell ref="G53:J53"/>
    <mergeCell ref="G47:J47"/>
    <mergeCell ref="G41:J41"/>
  </mergeCells>
  <conditionalFormatting sqref="J8:J9">
    <cfRule type="cellIs" dxfId="84" priority="2" operator="lessThan">
      <formula>0</formula>
    </cfRule>
  </conditionalFormatting>
  <conditionalFormatting sqref="J67:J68">
    <cfRule type="cellIs" dxfId="83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3:J21 E26 J25:J30 J36:J39 E36:E39 E43:E45 J43:J45 J49:J51 J55:J58 J64 E57:E63 E49:E53 E28:E32 J66" emptyCellReference="1"/>
  </ignoredErrors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205C-C835-4FE4-AA9E-5D9553C00B38}">
  <sheetPr>
    <tabColor theme="4"/>
    <pageSetUpPr autoPageBreaks="0" fitToPage="1"/>
  </sheetPr>
  <dimension ref="A1:J68"/>
  <sheetViews>
    <sheetView showGridLines="0" zoomScale="85" zoomScaleNormal="85" workbookViewId="0">
      <selection activeCell="B3" sqref="B3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177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v>0</v>
      </c>
      <c r="G4" s="43" t="s">
        <v>97</v>
      </c>
      <c r="H4" s="44"/>
      <c r="I4" s="44"/>
      <c r="J4" s="37">
        <f>E6-J65</f>
        <v>-118040</v>
      </c>
    </row>
    <row r="5" spans="1:10" x14ac:dyDescent="0.3">
      <c r="B5" s="39"/>
      <c r="C5" s="41" t="s">
        <v>111</v>
      </c>
      <c r="D5" s="42"/>
      <c r="E5" s="6">
        <v>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0</v>
      </c>
      <c r="G6" s="43" t="s">
        <v>96</v>
      </c>
      <c r="H6" s="44"/>
      <c r="I6" s="44"/>
      <c r="J6" s="37">
        <f>E10-J65</f>
        <v>-118040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Housing2537496173148698[[#This Row],[Projected Cost]]-Housing2537496173148698[[#This Row],[Actual Cost]]</f>
        <v>0</v>
      </c>
      <c r="G13" t="s">
        <v>11</v>
      </c>
      <c r="H13" s="3"/>
      <c r="I13" s="3"/>
      <c r="J13" s="3">
        <f>Entertainment2638506274158799[[#This Row],[Projected Cost]]-Entertainment2638506274158799[[#This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Housing2537496173148698[[#This Row],[Projected Cost]]-Housing2537496173148698[[#This Row],[Actual Cost]]</f>
        <v>0</v>
      </c>
      <c r="G14" t="s">
        <v>13</v>
      </c>
      <c r="H14" s="3"/>
      <c r="I14" s="3"/>
      <c r="J14" s="3">
        <f>Entertainment2638506274158799[[#This Row],[Projected Cost]]-Entertainment2638506274158799[[#This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Housing2537496173148698[[#This Row],[Projected Cost]]-Housing2537496173148698[[#This Row],[Actual Cost]]</f>
        <v>0</v>
      </c>
      <c r="G15" t="s">
        <v>15</v>
      </c>
      <c r="H15" s="3"/>
      <c r="I15" s="3"/>
      <c r="J15" s="3">
        <f>Entertainment2638506274158799[[#This Row],[Projected Cost]]-Entertainment2638506274158799[[#This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Housing2537496173148698[[#This Row],[Projected Cost]]-Housing2537496173148698[[#This Row],[Actual Cost]]</f>
        <v>0</v>
      </c>
      <c r="G16" t="s">
        <v>17</v>
      </c>
      <c r="H16" s="3"/>
      <c r="I16" s="3"/>
      <c r="J16" s="3">
        <f>Entertainment2638506274158799[[#This Row],[Projected Cost]]-Entertainment2638506274158799[[#This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Housing2537496173148698[[#This Row],[Projected Cost]]-Housing2537496173148698[[#This Row],[Actual Cost]]</f>
        <v>0</v>
      </c>
      <c r="G17" t="s">
        <v>19</v>
      </c>
      <c r="H17" s="3"/>
      <c r="I17" s="3"/>
      <c r="J17" s="3">
        <f>Entertainment2638506274158799[[#This Row],[Projected Cost]]-Entertainment2638506274158799[[#This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Housing2537496173148698[[#This Row],[Projected Cost]]-Housing2537496173148698[[#This Row],[Actual Cost]]</f>
        <v>0</v>
      </c>
      <c r="G18" t="s">
        <v>21</v>
      </c>
      <c r="H18" s="3"/>
      <c r="I18" s="3"/>
      <c r="J18" s="3">
        <f>Entertainment2638506274158799[[#This Row],[Projected Cost]]-Entertainment2638506274158799[[#This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Housing2537496173148698[[#This Row],[Projected Cost]]-Housing2537496173148698[[#This Row],[Actual Cost]]</f>
        <v>0</v>
      </c>
      <c r="G19" t="s">
        <v>23</v>
      </c>
      <c r="H19" s="3"/>
      <c r="I19" s="3"/>
      <c r="J19" s="3">
        <f>Entertainment2638506274158799[[#This Row],[Projected Cost]]-Entertainment2638506274158799[[#This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Housing2537496173148698[[#This Row],[Projected Cost]]-Housing2537496173148698[[#This Row],[Actual Cost]]</f>
        <v>0</v>
      </c>
      <c r="G20" t="s">
        <v>23</v>
      </c>
      <c r="H20" s="3"/>
      <c r="I20" s="3"/>
      <c r="J20" s="3">
        <f>Entertainment2638506274158799[[#This Row],[Projected Cost]]-Entertainment2638506274158799[[#This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Housing2537496173148698[[#This Row],[Projected Cost]]-Housing2537496173148698[[#This Row],[Actual Cost]]</f>
        <v>0</v>
      </c>
      <c r="G21" t="s">
        <v>23</v>
      </c>
      <c r="H21" s="3"/>
      <c r="I21" s="3"/>
      <c r="J21" s="3">
        <f>Entertainment2638506274158799[[#This Row],[Projected Cost]]-Entertainment2638506274158799[[#This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Housing2537496173148698[[#This Row],[Projected Cost]]-Housing2537496173148698[[#This Row],[Actual Cost]]</f>
        <v>0</v>
      </c>
      <c r="G22" t="s">
        <v>66</v>
      </c>
      <c r="H22" s="3"/>
      <c r="I22" s="3"/>
      <c r="J22" s="3">
        <f>SUBTOTAL(109,Entertainment2638506274158799[Difference])</f>
        <v>0</v>
      </c>
    </row>
    <row r="23" spans="1:10" x14ac:dyDescent="0.3">
      <c r="B23" s="8" t="s">
        <v>66</v>
      </c>
      <c r="C23" s="9">
        <f>SUBTOTAL(109,Housing2537496173148698[Projected Cost])</f>
        <v>24000</v>
      </c>
      <c r="D23" s="9">
        <f>SUBTOTAL(109,Housing2537496173148698[Actual Cost])</f>
        <v>24000</v>
      </c>
      <c r="E23" s="9">
        <f>SUBTOTAL(109,Housing2537496173148698[Difference])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Loans27395163751688100[[#This Row],[Projected Cost]]-Loans27395163751688100[[#This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Transportation28405264761789101[[#This Row],[Projected Cost]]-Transportation28405264761789101[[#This Row],[Actual Cost]]</f>
        <v>0</v>
      </c>
      <c r="G26" t="s">
        <v>95</v>
      </c>
      <c r="H26" s="3">
        <v>0</v>
      </c>
      <c r="I26" s="3">
        <v>0</v>
      </c>
      <c r="J26" s="3">
        <f>Loans27395163751688100[[#This Row],[Projected Cost]]-Loans27395163751688100[[#This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103</v>
      </c>
      <c r="H27" s="3">
        <v>40000</v>
      </c>
      <c r="I27" s="3">
        <v>40000</v>
      </c>
      <c r="J27" s="3">
        <f>Loans27395163751688100[[#This Row],[Projected Cost]]-Loans27395163751688100[[#This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Transportation28405264761789101[[#This Row],[Projected Cost]]-Transportation28405264761789101[[#This Row],[Actual Cost]]</f>
        <v>0</v>
      </c>
      <c r="G28" t="s">
        <v>118</v>
      </c>
      <c r="H28" s="3">
        <v>10000</v>
      </c>
      <c r="I28" s="3">
        <v>10000</v>
      </c>
      <c r="J28" s="3">
        <f>Loans27395163751688100[[#This Row],[Projected Cost]]-Loans27395163751688100[[#This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Transportation28405264761789101[[#This Row],[Projected Cost]]-Transportation28405264761789101[[#This Row],[Actual Cost]]</f>
        <v>0</v>
      </c>
      <c r="G29" t="s">
        <v>174</v>
      </c>
      <c r="H29" s="3">
        <v>10000</v>
      </c>
      <c r="I29" s="3">
        <v>10000</v>
      </c>
      <c r="J29" s="3">
        <f>Loans27395163751688100[[#This Row],[Projected Cost]]-Loans27395163751688100[[#This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Transportation28405264761789101[[#This Row],[Projected Cost]]-Transportation28405264761789101[[#This Row],[Actual Cost]]</f>
        <v>0</v>
      </c>
      <c r="G30" t="s">
        <v>175</v>
      </c>
      <c r="H30" s="3">
        <v>15000</v>
      </c>
      <c r="I30" s="3">
        <v>15000</v>
      </c>
      <c r="J30" s="3">
        <f>Loans27395163751688100[[#This Row],[Projected Cost]]-Loans27395163751688100[[#This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Transportation28405264761789101[[#This Row],[Projected Cost]]-Transportation28405264761789101[[#This Row],[Actual Cost]]</f>
        <v>0</v>
      </c>
      <c r="G31" t="s">
        <v>104</v>
      </c>
      <c r="H31" s="3">
        <v>0</v>
      </c>
      <c r="I31" s="3">
        <v>0</v>
      </c>
      <c r="J31" s="3">
        <f>Loans27395163751688100[[#This Row],[Projected Cost]]-Loans27395163751688100[[#This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Transportation28405264761789101[[#This Row],[Projected Cost]]-Transportation28405264761789101[[#This Row],[Actual Cost]]</f>
        <v>0</v>
      </c>
      <c r="G32" t="s">
        <v>100</v>
      </c>
      <c r="H32" s="3">
        <v>0</v>
      </c>
      <c r="I32" s="3">
        <v>0</v>
      </c>
      <c r="J32" s="3">
        <f>Loans27395163751688100[[#This Row],[Projected Cost]]-Loans27395163751688100[[#This Row],[Actual Cost]]</f>
        <v>0</v>
      </c>
    </row>
    <row r="33" spans="1:10" x14ac:dyDescent="0.3">
      <c r="B33" t="s">
        <v>66</v>
      </c>
      <c r="C33" s="3">
        <f>SUBTOTAL(109,Transportation28405264761789101[Projected Cost])</f>
        <v>5300</v>
      </c>
      <c r="D33" s="3">
        <f>SUBTOTAL(109,Transportation28405264761789101[Actual Cost])</f>
        <v>5300</v>
      </c>
      <c r="E33" s="3">
        <f>SUBTOTAL(109,Transportation28405264761789101[Difference])</f>
        <v>0</v>
      </c>
      <c r="G33" t="s">
        <v>66</v>
      </c>
      <c r="H33" s="3">
        <f>SUBTOTAL(109,Loans27395163751688100[Projected Cost])</f>
        <v>75000</v>
      </c>
      <c r="I33" s="3">
        <f>SUBTOTAL(109,Loans27395163751688100[Actual Cost])</f>
        <v>75000</v>
      </c>
      <c r="J33" s="3">
        <f>SUBTOTAL(109,Loans27395163751688100[Difference])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Insurance29415365771890102[[#This Row],[Projected Cost]]-Insurance29415365771890102[[#This Row],[Actual Cost]]</f>
        <v>0</v>
      </c>
      <c r="G36" t="s">
        <v>36</v>
      </c>
      <c r="H36" s="3"/>
      <c r="I36" s="3"/>
      <c r="J36" s="3">
        <f>Taxes30425466781991103[[#This Row],[Projected Cost]]-Taxes30425466781991103[[#This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Insurance29415365771890102[[#This Row],[Projected Cost]]-Insurance29415365771890102[[#This Row],[Actual Cost]]</f>
        <v>0</v>
      </c>
      <c r="G37" t="s">
        <v>38</v>
      </c>
      <c r="H37" s="3"/>
      <c r="I37" s="3"/>
      <c r="J37" s="3">
        <f>Taxes30425466781991103[[#This Row],[Projected Cost]]-Taxes30425466781991103[[#This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Insurance29415365771890102[[#This Row],[Projected Cost]]-Insurance29415365771890102[[#This Row],[Actual Cost]]</f>
        <v>0</v>
      </c>
      <c r="G38" t="s">
        <v>40</v>
      </c>
      <c r="H38" s="3"/>
      <c r="I38" s="3"/>
      <c r="J38" s="3">
        <f>Taxes30425466781991103[[#This Row],[Projected Cost]]-Taxes30425466781991103[[#This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Insurance29415365771890102[[#This Row],[Projected Cost]]-Insurance29415365771890102[[#This Row],[Actual Cost]]</f>
        <v>0</v>
      </c>
      <c r="G39" t="s">
        <v>23</v>
      </c>
      <c r="H39" s="3"/>
      <c r="I39" s="3"/>
      <c r="J39" s="3">
        <f>Taxes30425466781991103[[#This Row],[Projected Cost]]-Taxes30425466781991103[[#This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SUBTOTAL(109,Insurance29415365771890102[Difference])</f>
        <v>0</v>
      </c>
      <c r="G40" t="s">
        <v>66</v>
      </c>
      <c r="H40" s="3"/>
      <c r="I40" s="3"/>
      <c r="J40" s="3">
        <f>SUBTOTAL(109,Taxes30425466781991103[Difference])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Food32445668802193105[[#This Row],[Projected Cost]]-Food32445668802193105[[#This Row],[Actual Cost]]</f>
        <v>0</v>
      </c>
      <c r="G43" t="s">
        <v>44</v>
      </c>
      <c r="H43" s="3"/>
      <c r="I43" s="3"/>
      <c r="J43" s="3">
        <f>Savings31435567792092104[[#This Row],[Projected Cost]]-Savings31435567792092104[[#This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Food32445668802193105[[#This Row],[Projected Cost]]-Food32445668802193105[[#This Row],[Actual Cost]]</f>
        <v>0</v>
      </c>
      <c r="G44" t="s">
        <v>46</v>
      </c>
      <c r="H44" s="3"/>
      <c r="I44" s="3"/>
      <c r="J44" s="3">
        <f>Savings31435567792092104[[#This Row],[Projected Cost]]-Savings31435567792092104[[#This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Food32445668802193105[[#This Row],[Projected Cost]]-Food32445668802193105[[#This Row],[Actual Cost]]</f>
        <v>0</v>
      </c>
      <c r="G45" t="s">
        <v>91</v>
      </c>
      <c r="H45" s="3">
        <v>3000</v>
      </c>
      <c r="I45" s="3">
        <v>3000</v>
      </c>
      <c r="J45" s="3">
        <f>Savings31435567792092104[[#This Row],[Projected Cost]]-Savings31435567792092104[[#This Row],[Actual Cost]]</f>
        <v>0</v>
      </c>
    </row>
    <row r="46" spans="1:10" x14ac:dyDescent="0.3">
      <c r="B46" t="s">
        <v>66</v>
      </c>
      <c r="C46" s="3">
        <f>SUBTOTAL(109,Food32445668802193105[Projected Cost])</f>
        <v>4000</v>
      </c>
      <c r="D46" s="3">
        <f>SUBTOTAL(109,Food32445668802193105[Actual Cost])</f>
        <v>4000</v>
      </c>
      <c r="E46" s="3">
        <f>SUBTOTAL(109,Food32445668802193105[Difference])</f>
        <v>0</v>
      </c>
      <c r="G46" t="s">
        <v>66</v>
      </c>
      <c r="H46" s="3">
        <f>SUBTOTAL(109,Savings31435567792092104[Projected Cost])</f>
        <v>3000</v>
      </c>
      <c r="I46" s="3">
        <f>SUBTOTAL(109,Savings31435567792092104[Actual Cost])</f>
        <v>3000</v>
      </c>
      <c r="J46" s="3">
        <f>SUBTOTAL(109,Savings31435567792092104[Difference])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Pets34465870822395107[[#This Row],[Projected Cost]]-Pets34465870822395107[[#This Row],[Actual Cost]]</f>
        <v>0</v>
      </c>
      <c r="G49" t="s">
        <v>49</v>
      </c>
      <c r="H49" s="3"/>
      <c r="I49" s="3"/>
      <c r="J49" s="3">
        <f>Gifts33455769812294106[[#This Row],[Projected Cost]]-Gifts33455769812294106[[#This Row],[Actual Cost]]</f>
        <v>0</v>
      </c>
    </row>
    <row r="50" spans="1:10" x14ac:dyDescent="0.3">
      <c r="B50" t="s">
        <v>54</v>
      </c>
      <c r="C50" s="3"/>
      <c r="D50" s="3"/>
      <c r="E50" s="3">
        <f>Pets34465870822395107[[#This Row],[Projected Cost]]-Pets34465870822395107[[#This Row],[Actual Cost]]</f>
        <v>0</v>
      </c>
      <c r="G50" t="s">
        <v>51</v>
      </c>
      <c r="H50" s="3"/>
      <c r="I50" s="3"/>
      <c r="J50" s="3">
        <f>Gifts33455769812294106[[#This Row],[Projected Cost]]-Gifts33455769812294106[[#This Row],[Actual Cost]]</f>
        <v>0</v>
      </c>
    </row>
    <row r="51" spans="1:10" x14ac:dyDescent="0.3">
      <c r="B51" t="s">
        <v>55</v>
      </c>
      <c r="C51" s="3"/>
      <c r="D51" s="3"/>
      <c r="E51" s="3">
        <f>Pets34465870822395107[[#This Row],[Projected Cost]]-Pets34465870822395107[[#This Row],[Actual Cost]]</f>
        <v>0</v>
      </c>
      <c r="G51" t="s">
        <v>53</v>
      </c>
      <c r="H51" s="3"/>
      <c r="I51" s="3"/>
      <c r="J51" s="3">
        <f>Gifts33455769812294106[[#This Row],[Projected Cost]]-Gifts33455769812294106[[#This Row],[Actual Cost]]</f>
        <v>0</v>
      </c>
    </row>
    <row r="52" spans="1:10" x14ac:dyDescent="0.3">
      <c r="B52" t="s">
        <v>56</v>
      </c>
      <c r="C52" s="3"/>
      <c r="D52" s="3"/>
      <c r="E52" s="3">
        <f>Pets34465870822395107[[#This Row],[Projected Cost]]-Pets34465870822395107[[#This Row],[Actual Cost]]</f>
        <v>0</v>
      </c>
      <c r="G52" t="s">
        <v>66</v>
      </c>
      <c r="H52" s="3"/>
      <c r="I52" s="3"/>
      <c r="J52" s="3">
        <f>SUBTOTAL(109,Gifts33455769812294106[Difference])</f>
        <v>0</v>
      </c>
    </row>
    <row r="53" spans="1:10" x14ac:dyDescent="0.3">
      <c r="B53" t="s">
        <v>23</v>
      </c>
      <c r="C53" s="3"/>
      <c r="D53" s="3"/>
      <c r="E53" s="3">
        <f>Pets34465870822395107[[#This Row],[Projected Cost]]-Pets34465870822395107[[#This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SUBTOTAL(109,Pets34465870822395107[Difference])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0</v>
      </c>
      <c r="I55" s="3">
        <v>0</v>
      </c>
      <c r="J55" s="3">
        <f>Legal35475971832496108[[#This Row],[Projected Cost]]-Legal35475971832496108[[#This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Legal35475971832496108[[#This Row],[Projected Cost]]-Legal35475971832496108[[#This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PersonalCare36486072848597109[[#This Row],[z]]-PersonalCare36486072848597109[[#This Row],[Actual Cost]]</f>
        <v>0</v>
      </c>
      <c r="G57" t="s">
        <v>109</v>
      </c>
      <c r="H57" s="3">
        <v>0</v>
      </c>
      <c r="I57" s="3">
        <v>0</v>
      </c>
      <c r="J57" s="3">
        <f>Legal35475971832496108[[#This Row],[Projected Cost]]-Legal35475971832496108[[#This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PersonalCare36486072848597109[[#This Row],[z]]-PersonalCare36486072848597109[[#This Row],[Actual Cost]]</f>
        <v>0</v>
      </c>
      <c r="G58" t="s">
        <v>120</v>
      </c>
      <c r="H58" s="3">
        <v>2700</v>
      </c>
      <c r="I58" s="3">
        <v>2700</v>
      </c>
      <c r="J58" s="3">
        <f>Legal35475971832496108[[#This Row],[Projected Cost]]-Legal35475971832496108[[#This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PersonalCare36486072848597109[[#This Row],[z]]-PersonalCare36486072848597109[[#This Row],[Actual Cost]]</f>
        <v>0</v>
      </c>
      <c r="G59" t="s">
        <v>113</v>
      </c>
      <c r="H59" s="3">
        <v>0</v>
      </c>
      <c r="I59" s="3">
        <v>0</v>
      </c>
      <c r="J59" s="3">
        <f>Legal35475971832496108[[#This Row],[Projected Cost]]-Legal35475971832496108[[#This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PersonalCare36486072848597109[[#This Row],[z]]-PersonalCare36486072848597109[[#This Row],[Actual Cost]]</f>
        <v>0</v>
      </c>
      <c r="G60" t="s">
        <v>128</v>
      </c>
      <c r="H60" s="3">
        <v>0</v>
      </c>
      <c r="I60" s="3">
        <v>0</v>
      </c>
      <c r="J60" s="3">
        <f>Legal35475971832496108[[#This Row],[Projected Cost]]-Legal35475971832496108[[#This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PersonalCare36486072848597109[[#This Row],[z]]-PersonalCare36486072848597109[[#This Row],[Actual Cost]]</f>
        <v>0</v>
      </c>
      <c r="G61" t="s">
        <v>66</v>
      </c>
      <c r="H61" s="3">
        <f>SUBTOTAL(109,Legal35475971832496108[Projected Cost])</f>
        <v>2700</v>
      </c>
      <c r="I61" s="3">
        <f>SUBTOTAL(109,Legal35475971832496108[Actual Cost])</f>
        <v>2700</v>
      </c>
      <c r="J61" s="3">
        <f>SUBTOTAL(109,Legal35475971832496108[Difference])</f>
        <v>0</v>
      </c>
    </row>
    <row r="62" spans="1:10" x14ac:dyDescent="0.3">
      <c r="B62" s="8" t="s">
        <v>64</v>
      </c>
      <c r="C62" s="9"/>
      <c r="D62" s="9"/>
      <c r="E62" s="9">
        <f>PersonalCare36486072848597109[[#This Row],[z]]-PersonalCare36486072848597109[[#This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PersonalCare36486072848597109[[#This Row],[z]]-PersonalCare36486072848597109[[#This Row],[Actual Cost]]</f>
        <v>0</v>
      </c>
      <c r="G63" s="36" t="s">
        <v>60</v>
      </c>
      <c r="H63" s="36"/>
      <c r="I63" s="36"/>
      <c r="J63" s="37">
        <f>SUBTOTAL(109,Housing2537496173148698[Projected Cost],Transportation28405264761789101[Projected Cost],Insurance29415365771890102[Projected Cost],Food32445668802193105[Projected Cost],Pets34465870822395107[Projected Cost],PersonalCare36486072848597109[z],Entertainment2638506274158799[Projected Cost],Loans27395163751688100[Projected Cost],Taxes30425466781991103[Projected Cost],Savings31435567792092104[Projected Cost],Gifts33455769812294106[Projected Cost],Legal35475971832496108[Projected Cost])</f>
        <v>118040</v>
      </c>
    </row>
    <row r="64" spans="1:10" x14ac:dyDescent="0.3">
      <c r="B64" s="8" t="s">
        <v>66</v>
      </c>
      <c r="C64" s="9"/>
      <c r="D64" s="9"/>
      <c r="E64" s="9">
        <f>SUBTOTAL(109,PersonalCare36486072848597109[Difference])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SUBTOTAL(109,Housing2537496173148698[Actual Cost],Transportation28405264761789101[Actual Cost],Insurance29415365771890102[Actual Cost],Food32445668802193105[Actual Cost],Pets34465870822395107[Actual Cost],PersonalCare36486072848597109[Actual Cost],Entertainment2638506274158799[Actual Cost],Loans27395163751688100[Actual Cost],Taxes30425466781991103[Actual Cost],Savings31435567792092104[Actual Cost],Gifts33455769812294106[Actual Cost],Legal35475971832496108[Actual Cost])</f>
        <v>118040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65:E65"/>
    <mergeCell ref="G65:I66"/>
    <mergeCell ref="J65:J66"/>
    <mergeCell ref="G67:I68"/>
    <mergeCell ref="J67:J68"/>
  </mergeCells>
  <conditionalFormatting sqref="J8:J9">
    <cfRule type="cellIs" dxfId="913" priority="2" operator="lessThan">
      <formula>0</formula>
    </cfRule>
  </conditionalFormatting>
  <conditionalFormatting sqref="J67:J68">
    <cfRule type="cellIs" dxfId="91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47FE-C0E0-4C9F-878A-61446092B20D}">
  <sheetPr>
    <tabColor theme="4"/>
    <pageSetUpPr autoPageBreaks="0" fitToPage="1"/>
  </sheetPr>
  <dimension ref="A1:J68"/>
  <sheetViews>
    <sheetView showGridLines="0" topLeftCell="A48" zoomScale="85" zoomScaleNormal="85" workbookViewId="0">
      <selection activeCell="J58" sqref="J58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180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86000+10000</f>
        <v>96000</v>
      </c>
      <c r="G4" s="43" t="s">
        <v>97</v>
      </c>
      <c r="H4" s="44"/>
      <c r="I4" s="44"/>
      <c r="J4" s="37">
        <f>E6-J65</f>
        <v>80860</v>
      </c>
    </row>
    <row r="5" spans="1:10" x14ac:dyDescent="0.3">
      <c r="B5" s="39"/>
      <c r="C5" s="41" t="s">
        <v>111</v>
      </c>
      <c r="D5" s="42"/>
      <c r="E5" s="6">
        <f>24000+3200</f>
        <v>27200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123200</v>
      </c>
      <c r="G6" s="43" t="s">
        <v>96</v>
      </c>
      <c r="H6" s="44"/>
      <c r="I6" s="44"/>
      <c r="J6" s="37">
        <f>E10-J65</f>
        <v>-42340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-123200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Housing25374961731486110122134146[[#This Row],[Projected Cost]]-Housing25374961731486110122134146[[#This Row],[Actual Cost]]</f>
        <v>0</v>
      </c>
      <c r="G13" t="s">
        <v>11</v>
      </c>
      <c r="H13" s="3"/>
      <c r="I13" s="3"/>
      <c r="J13" s="3">
        <f>Entertainment26385062741587111123135147[[#This Row],[Projected Cost]]-Entertainment26385062741587111123135147[[#This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Housing25374961731486110122134146[[#This Row],[Projected Cost]]-Housing25374961731486110122134146[[#This Row],[Actual Cost]]</f>
        <v>0</v>
      </c>
      <c r="G14" t="s">
        <v>13</v>
      </c>
      <c r="H14" s="3"/>
      <c r="I14" s="3"/>
      <c r="J14" s="3">
        <f>Entertainment26385062741587111123135147[[#This Row],[Projected Cost]]-Entertainment26385062741587111123135147[[#This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Housing25374961731486110122134146[[#This Row],[Projected Cost]]-Housing25374961731486110122134146[[#This Row],[Actual Cost]]</f>
        <v>0</v>
      </c>
      <c r="G15" t="s">
        <v>15</v>
      </c>
      <c r="H15" s="3"/>
      <c r="I15" s="3"/>
      <c r="J15" s="3">
        <f>Entertainment26385062741587111123135147[[#This Row],[Projected Cost]]-Entertainment26385062741587111123135147[[#This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Housing25374961731486110122134146[[#This Row],[Projected Cost]]-Housing25374961731486110122134146[[#This Row],[Actual Cost]]</f>
        <v>0</v>
      </c>
      <c r="G16" t="s">
        <v>17</v>
      </c>
      <c r="H16" s="3"/>
      <c r="I16" s="3"/>
      <c r="J16" s="3">
        <f>Entertainment26385062741587111123135147[[#This Row],[Projected Cost]]-Entertainment26385062741587111123135147[[#This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Housing25374961731486110122134146[[#This Row],[Projected Cost]]-Housing25374961731486110122134146[[#This Row],[Actual Cost]]</f>
        <v>0</v>
      </c>
      <c r="G17" t="s">
        <v>19</v>
      </c>
      <c r="H17" s="3"/>
      <c r="I17" s="3"/>
      <c r="J17" s="3">
        <f>Entertainment26385062741587111123135147[[#This Row],[Projected Cost]]-Entertainment26385062741587111123135147[[#This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Housing25374961731486110122134146[[#This Row],[Projected Cost]]-Housing25374961731486110122134146[[#This Row],[Actual Cost]]</f>
        <v>0</v>
      </c>
      <c r="G18" t="s">
        <v>21</v>
      </c>
      <c r="H18" s="3"/>
      <c r="I18" s="3"/>
      <c r="J18" s="3">
        <f>Entertainment26385062741587111123135147[[#This Row],[Projected Cost]]-Entertainment26385062741587111123135147[[#This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Housing25374961731486110122134146[[#This Row],[Projected Cost]]-Housing25374961731486110122134146[[#This Row],[Actual Cost]]</f>
        <v>0</v>
      </c>
      <c r="G19" t="s">
        <v>23</v>
      </c>
      <c r="H19" s="3"/>
      <c r="I19" s="3"/>
      <c r="J19" s="3">
        <f>Entertainment26385062741587111123135147[[#This Row],[Projected Cost]]-Entertainment26385062741587111123135147[[#This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Housing25374961731486110122134146[[#This Row],[Projected Cost]]-Housing25374961731486110122134146[[#This Row],[Actual Cost]]</f>
        <v>0</v>
      </c>
      <c r="G20" t="s">
        <v>23</v>
      </c>
      <c r="H20" s="3"/>
      <c r="I20" s="3"/>
      <c r="J20" s="3">
        <f>Entertainment26385062741587111123135147[[#This Row],[Projected Cost]]-Entertainment26385062741587111123135147[[#This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Housing25374961731486110122134146[[#This Row],[Projected Cost]]-Housing25374961731486110122134146[[#This Row],[Actual Cost]]</f>
        <v>0</v>
      </c>
      <c r="G21" t="s">
        <v>23</v>
      </c>
      <c r="H21" s="3"/>
      <c r="I21" s="3"/>
      <c r="J21" s="3">
        <f>Entertainment26385062741587111123135147[[#This Row],[Projected Cost]]-Entertainment26385062741587111123135147[[#This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Housing25374961731486110122134146[[#This Row],[Projected Cost]]-Housing25374961731486110122134146[[#This Row],[Actual Cost]]</f>
        <v>0</v>
      </c>
      <c r="G22" t="s">
        <v>66</v>
      </c>
      <c r="H22" s="3"/>
      <c r="I22" s="3"/>
      <c r="J22" s="3">
        <f>SUBTOTAL(109,Entertainment26385062741587111123135147[Difference])</f>
        <v>0</v>
      </c>
    </row>
    <row r="23" spans="1:10" x14ac:dyDescent="0.3">
      <c r="B23" s="8" t="s">
        <v>66</v>
      </c>
      <c r="C23" s="9">
        <f>SUBTOTAL(109,Housing25374961731486110122134146[Projected Cost])</f>
        <v>24000</v>
      </c>
      <c r="D23" s="9">
        <f>SUBTOTAL(109,Housing25374961731486110122134146[Actual Cost])</f>
        <v>24000</v>
      </c>
      <c r="E23" s="9">
        <f>SUBTOTAL(109,Housing25374961731486110122134146[Difference])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Loans27395163751688112124136148[[#This Row],[Projected Cost]]-Loans27395163751688112124136148[[#This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Transportation28405264761789113125137149[[#This Row],[Projected Cost]]-Transportation28405264761789113125137149[[#This Row],[Actual Cost]]</f>
        <v>0</v>
      </c>
      <c r="G26" t="s">
        <v>95</v>
      </c>
      <c r="H26" s="3">
        <v>0</v>
      </c>
      <c r="I26" s="3">
        <v>0</v>
      </c>
      <c r="J26" s="3">
        <f>Loans27395163751688112124136148[[#This Row],[Projected Cost]]-Loans27395163751688112124136148[[#This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Loans27395163751688112124136148[[#This Row],[Projected Cost]]-Loans27395163751688112124136148[[#This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Transportation28405264761789113125137149[[#This Row],[Projected Cost]]-Transportation28405264761789113125137149[[#This Row],[Actual Cost]]</f>
        <v>0</v>
      </c>
      <c r="G28" t="s">
        <v>89</v>
      </c>
      <c r="H28" s="3">
        <v>0</v>
      </c>
      <c r="I28" s="3">
        <v>0</v>
      </c>
      <c r="J28" s="3">
        <f>Loans27395163751688112124136148[[#This Row],[Projected Cost]]-Loans27395163751688112124136148[[#This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Transportation28405264761789113125137149[[#This Row],[Projected Cost]]-Transportation28405264761789113125137149[[#This Row],[Actual Cost]]</f>
        <v>0</v>
      </c>
      <c r="G29" t="s">
        <v>87</v>
      </c>
      <c r="H29" s="3">
        <v>0</v>
      </c>
      <c r="I29" s="3">
        <v>0</v>
      </c>
      <c r="J29" s="3">
        <f>Loans27395163751688112124136148[[#This Row],[Projected Cost]]-Loans27395163751688112124136148[[#This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Transportation28405264761789113125137149[[#This Row],[Projected Cost]]-Transportation28405264761789113125137149[[#This Row],[Actual Cost]]</f>
        <v>0</v>
      </c>
      <c r="G30" t="s">
        <v>103</v>
      </c>
      <c r="H30" s="3">
        <v>0</v>
      </c>
      <c r="I30" s="3">
        <v>0</v>
      </c>
      <c r="J30" s="3">
        <f>Loans27395163751688112124136148[[#This Row],[Projected Cost]]-Loans27395163751688112124136148[[#This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Transportation28405264761789113125137149[[#This Row],[Projected Cost]]-Transportation28405264761789113125137149[[#This Row],[Actual Cost]]</f>
        <v>0</v>
      </c>
      <c r="G31" t="s">
        <v>104</v>
      </c>
      <c r="H31" s="3">
        <v>0</v>
      </c>
      <c r="I31" s="3">
        <v>0</v>
      </c>
      <c r="J31" s="3">
        <f>Loans27395163751688112124136148[[#This Row],[Projected Cost]]-Loans27395163751688112124136148[[#This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Transportation28405264761789113125137149[[#This Row],[Projected Cost]]-Transportation28405264761789113125137149[[#This Row],[Actual Cost]]</f>
        <v>0</v>
      </c>
      <c r="G32" t="s">
        <v>100</v>
      </c>
      <c r="H32" s="3">
        <v>0</v>
      </c>
      <c r="I32" s="3">
        <v>0</v>
      </c>
      <c r="J32" s="3">
        <f>Loans27395163751688112124136148[[#This Row],[Projected Cost]]-Loans27395163751688112124136148[[#This Row],[Actual Cost]]</f>
        <v>0</v>
      </c>
    </row>
    <row r="33" spans="1:10" x14ac:dyDescent="0.3">
      <c r="B33" t="s">
        <v>66</v>
      </c>
      <c r="C33" s="3">
        <f>SUBTOTAL(109,Transportation28405264761789113125137149[Projected Cost])</f>
        <v>5300</v>
      </c>
      <c r="D33" s="3">
        <f>SUBTOTAL(109,Transportation28405264761789113125137149[Actual Cost])</f>
        <v>5300</v>
      </c>
      <c r="E33" s="3">
        <f>SUBTOTAL(109,Transportation28405264761789113125137149[Difference])</f>
        <v>0</v>
      </c>
      <c r="G33" t="s">
        <v>66</v>
      </c>
      <c r="H33" s="3">
        <f>SUBTOTAL(109,Loans27395163751688112124136148[Projected Cost])</f>
        <v>0</v>
      </c>
      <c r="I33" s="3">
        <f>SUBTOTAL(109,Loans27395163751688112124136148[Actual Cost])</f>
        <v>0</v>
      </c>
      <c r="J33" s="3">
        <f>SUBTOTAL(109,Loans27395163751688112124136148[Difference])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Insurance29415365771890114126138150[[#This Row],[Projected Cost]]-Insurance29415365771890114126138150[[#This Row],[Actual Cost]]</f>
        <v>0</v>
      </c>
      <c r="G36" t="s">
        <v>36</v>
      </c>
      <c r="H36" s="3"/>
      <c r="I36" s="3"/>
      <c r="J36" s="3">
        <f>Taxes30425466781991115127139151[[#This Row],[Projected Cost]]-Taxes30425466781991115127139151[[#This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Insurance29415365771890114126138150[[#This Row],[Projected Cost]]-Insurance29415365771890114126138150[[#This Row],[Actual Cost]]</f>
        <v>0</v>
      </c>
      <c r="G37" t="s">
        <v>38</v>
      </c>
      <c r="H37" s="3"/>
      <c r="I37" s="3"/>
      <c r="J37" s="3">
        <f>Taxes30425466781991115127139151[[#This Row],[Projected Cost]]-Taxes30425466781991115127139151[[#This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Insurance29415365771890114126138150[[#This Row],[Projected Cost]]-Insurance29415365771890114126138150[[#This Row],[Actual Cost]]</f>
        <v>0</v>
      </c>
      <c r="G38" t="s">
        <v>40</v>
      </c>
      <c r="H38" s="3"/>
      <c r="I38" s="3"/>
      <c r="J38" s="3">
        <f>Taxes30425466781991115127139151[[#This Row],[Projected Cost]]-Taxes30425466781991115127139151[[#This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Insurance29415365771890114126138150[[#This Row],[Projected Cost]]-Insurance29415365771890114126138150[[#This Row],[Actual Cost]]</f>
        <v>0</v>
      </c>
      <c r="G39" t="s">
        <v>23</v>
      </c>
      <c r="H39" s="3"/>
      <c r="I39" s="3"/>
      <c r="J39" s="3">
        <f>Taxes30425466781991115127139151[[#This Row],[Projected Cost]]-Taxes30425466781991115127139151[[#This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SUBTOTAL(109,Insurance29415365771890114126138150[Difference])</f>
        <v>0</v>
      </c>
      <c r="G40" t="s">
        <v>66</v>
      </c>
      <c r="H40" s="3"/>
      <c r="I40" s="3"/>
      <c r="J40" s="3">
        <f>SUBTOTAL(109,Taxes30425466781991115127139151[Difference])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Food32445668802193117129141153[[#This Row],[Projected Cost]]-Food32445668802193117129141153[[#This Row],[Actual Cost]]</f>
        <v>0</v>
      </c>
      <c r="G43" t="s">
        <v>44</v>
      </c>
      <c r="H43" s="3"/>
      <c r="I43" s="3"/>
      <c r="J43" s="3">
        <f>Savings31435567792092116128140152[[#This Row],[Projected Cost]]-Savings31435567792092116128140152[[#This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Food32445668802193117129141153[[#This Row],[Projected Cost]]-Food32445668802193117129141153[[#This Row],[Actual Cost]]</f>
        <v>0</v>
      </c>
      <c r="G44" t="s">
        <v>46</v>
      </c>
      <c r="H44" s="3"/>
      <c r="I44" s="3"/>
      <c r="J44" s="3">
        <f>Savings31435567792092116128140152[[#This Row],[Projected Cost]]-Savings31435567792092116128140152[[#This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Food32445668802193117129141153[[#This Row],[Projected Cost]]-Food32445668802193117129141153[[#This Row],[Actual Cost]]</f>
        <v>0</v>
      </c>
      <c r="G45" t="s">
        <v>91</v>
      </c>
      <c r="H45" s="3">
        <v>5000</v>
      </c>
      <c r="I45" s="3">
        <v>5000</v>
      </c>
      <c r="J45" s="3">
        <f>Savings31435567792092116128140152[[#This Row],[Projected Cost]]-Savings31435567792092116128140152[[#This Row],[Actual Cost]]</f>
        <v>0</v>
      </c>
    </row>
    <row r="46" spans="1:10" x14ac:dyDescent="0.3">
      <c r="B46" t="s">
        <v>66</v>
      </c>
      <c r="C46" s="3">
        <f>SUBTOTAL(109,Food32445668802193117129141153[Projected Cost])</f>
        <v>4000</v>
      </c>
      <c r="D46" s="3">
        <f>SUBTOTAL(109,Food32445668802193117129141153[Actual Cost])</f>
        <v>4000</v>
      </c>
      <c r="E46" s="3">
        <f>SUBTOTAL(109,Food32445668802193117129141153[Difference])</f>
        <v>0</v>
      </c>
      <c r="G46" t="s">
        <v>66</v>
      </c>
      <c r="H46" s="3">
        <f>SUBTOTAL(109,Savings31435567792092116128140152[Projected Cost])</f>
        <v>5000</v>
      </c>
      <c r="I46" s="3">
        <f>SUBTOTAL(109,Savings31435567792092116128140152[Actual Cost])</f>
        <v>5000</v>
      </c>
      <c r="J46" s="3">
        <f>SUBTOTAL(109,Savings31435567792092116128140152[Difference])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Pets34465870822395119131143155[[#This Row],[Projected Cost]]-Pets34465870822395119131143155[[#This Row],[Actual Cost]]</f>
        <v>0</v>
      </c>
      <c r="G49" t="s">
        <v>49</v>
      </c>
      <c r="H49" s="3"/>
      <c r="I49" s="3"/>
      <c r="J49" s="3">
        <f>Gifts33455769812294118130142154[[#This Row],[Projected Cost]]-Gifts33455769812294118130142154[[#This Row],[Actual Cost]]</f>
        <v>0</v>
      </c>
    </row>
    <row r="50" spans="1:10" x14ac:dyDescent="0.3">
      <c r="B50" t="s">
        <v>54</v>
      </c>
      <c r="C50" s="3"/>
      <c r="D50" s="3"/>
      <c r="E50" s="3">
        <f>Pets34465870822395119131143155[[#This Row],[Projected Cost]]-Pets34465870822395119131143155[[#This Row],[Actual Cost]]</f>
        <v>0</v>
      </c>
      <c r="G50" t="s">
        <v>51</v>
      </c>
      <c r="H50" s="3"/>
      <c r="I50" s="3"/>
      <c r="J50" s="3">
        <f>Gifts33455769812294118130142154[[#This Row],[Projected Cost]]-Gifts33455769812294118130142154[[#This Row],[Actual Cost]]</f>
        <v>0</v>
      </c>
    </row>
    <row r="51" spans="1:10" x14ac:dyDescent="0.3">
      <c r="B51" t="s">
        <v>55</v>
      </c>
      <c r="C51" s="3"/>
      <c r="D51" s="3"/>
      <c r="E51" s="3">
        <f>Pets34465870822395119131143155[[#This Row],[Projected Cost]]-Pets34465870822395119131143155[[#This Row],[Actual Cost]]</f>
        <v>0</v>
      </c>
      <c r="G51" t="s">
        <v>53</v>
      </c>
      <c r="H51" s="3"/>
      <c r="I51" s="3"/>
      <c r="J51" s="3">
        <f>Gifts33455769812294118130142154[[#This Row],[Projected Cost]]-Gifts33455769812294118130142154[[#This Row],[Actual Cost]]</f>
        <v>0</v>
      </c>
    </row>
    <row r="52" spans="1:10" x14ac:dyDescent="0.3">
      <c r="B52" t="s">
        <v>56</v>
      </c>
      <c r="C52" s="3"/>
      <c r="D52" s="3"/>
      <c r="E52" s="3">
        <f>Pets34465870822395119131143155[[#This Row],[Projected Cost]]-Pets34465870822395119131143155[[#This Row],[Actual Cost]]</f>
        <v>0</v>
      </c>
      <c r="G52" t="s">
        <v>66</v>
      </c>
      <c r="H52" s="3"/>
      <c r="I52" s="3"/>
      <c r="J52" s="3">
        <f>SUBTOTAL(109,Gifts33455769812294118130142154[Difference])</f>
        <v>0</v>
      </c>
    </row>
    <row r="53" spans="1:10" x14ac:dyDescent="0.3">
      <c r="B53" t="s">
        <v>23</v>
      </c>
      <c r="C53" s="3"/>
      <c r="D53" s="3"/>
      <c r="E53" s="3">
        <f>Pets34465870822395119131143155[[#This Row],[Projected Cost]]-Pets34465870822395119131143155[[#This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SUBTOTAL(109,Pets34465870822395119131143155[Difference])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0</v>
      </c>
      <c r="I55" s="3">
        <v>0</v>
      </c>
      <c r="J55" s="3">
        <f>Legal35475971832496120132144156[[#This Row],[Projected Cost]]-Legal35475971832496120132144156[[#This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Legal35475971832496120132144156[[#This Row],[Projected Cost]]-Legal35475971832496120132144156[[#This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PersonalCare36486072848597121133145157[[#This Row],[z]]-PersonalCare36486072848597121133145157[[#This Row],[Actual Cost]]</f>
        <v>0</v>
      </c>
      <c r="G57" t="s">
        <v>109</v>
      </c>
      <c r="H57" s="3">
        <v>0</v>
      </c>
      <c r="I57" s="3">
        <v>0</v>
      </c>
      <c r="J57" s="3">
        <f>Legal35475971832496120132144156[[#This Row],[Projected Cost]]-Legal35475971832496120132144156[[#This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PersonalCare36486072848597121133145157[[#This Row],[z]]-PersonalCare36486072848597121133145157[[#This Row],[Actual Cost]]</f>
        <v>0</v>
      </c>
      <c r="G58" t="s">
        <v>120</v>
      </c>
      <c r="H58" s="3">
        <v>0</v>
      </c>
      <c r="I58" s="3">
        <v>0</v>
      </c>
      <c r="J58" s="3">
        <f>Legal35475971832496120132144156[[#This Row],[Projected Cost]]-Legal35475971832496120132144156[[#This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PersonalCare36486072848597121133145157[[#This Row],[z]]-PersonalCare36486072848597121133145157[[#This Row],[Actual Cost]]</f>
        <v>0</v>
      </c>
      <c r="G59" t="s">
        <v>113</v>
      </c>
      <c r="H59" s="3">
        <v>0</v>
      </c>
      <c r="I59" s="3">
        <v>0</v>
      </c>
      <c r="J59" s="3">
        <f>Legal35475971832496120132144156[[#This Row],[Projected Cost]]-Legal35475971832496120132144156[[#This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PersonalCare36486072848597121133145157[[#This Row],[z]]-PersonalCare36486072848597121133145157[[#This Row],[Actual Cost]]</f>
        <v>0</v>
      </c>
      <c r="G60" t="s">
        <v>128</v>
      </c>
      <c r="H60" s="3">
        <v>0</v>
      </c>
      <c r="I60" s="3">
        <v>0</v>
      </c>
      <c r="J60" s="3">
        <f>Legal35475971832496120132144156[[#This Row],[Projected Cost]]-Legal35475971832496120132144156[[#This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PersonalCare36486072848597121133145157[[#This Row],[z]]-PersonalCare36486072848597121133145157[[#This Row],[Actual Cost]]</f>
        <v>0</v>
      </c>
      <c r="G61" t="s">
        <v>66</v>
      </c>
      <c r="H61" s="3">
        <f>SUBTOTAL(109,Legal35475971832496120132144156[Projected Cost])</f>
        <v>0</v>
      </c>
      <c r="I61" s="3">
        <f>SUBTOTAL(109,Legal35475971832496120132144156[Actual Cost])</f>
        <v>0</v>
      </c>
      <c r="J61" s="3">
        <f>SUBTOTAL(109,Legal35475971832496120132144156[Difference])</f>
        <v>0</v>
      </c>
    </row>
    <row r="62" spans="1:10" x14ac:dyDescent="0.3">
      <c r="B62" s="8" t="s">
        <v>64</v>
      </c>
      <c r="C62" s="9"/>
      <c r="D62" s="9"/>
      <c r="E62" s="9">
        <f>PersonalCare36486072848597121133145157[[#This Row],[z]]-PersonalCare36486072848597121133145157[[#This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PersonalCare36486072848597121133145157[[#This Row],[z]]-PersonalCare36486072848597121133145157[[#This Row],[Actual Cost]]</f>
        <v>0</v>
      </c>
      <c r="G63" s="36" t="s">
        <v>60</v>
      </c>
      <c r="H63" s="36"/>
      <c r="I63" s="36"/>
      <c r="J63" s="37">
        <f>SUBTOTAL(109,Housing25374961731486110122134146[Projected Cost],Transportation28405264761789113125137149[Projected Cost],Insurance29415365771890114126138150[Projected Cost],Food32445668802193117129141153[Projected Cost],Pets34465870822395119131143155[Projected Cost],PersonalCare36486072848597121133145157[z],Entertainment26385062741587111123135147[Projected Cost],Loans27395163751688112124136148[Projected Cost],Taxes30425466781991115127139151[Projected Cost],Savings31435567792092116128140152[Projected Cost],Gifts33455769812294118130142154[Projected Cost],Legal35475971832496120132144156[Projected Cost])</f>
        <v>42340</v>
      </c>
    </row>
    <row r="64" spans="1:10" x14ac:dyDescent="0.3">
      <c r="B64" s="8" t="s">
        <v>66</v>
      </c>
      <c r="C64" s="9"/>
      <c r="D64" s="9"/>
      <c r="E64" s="9">
        <f>SUBTOTAL(109,PersonalCare36486072848597121133145157[Difference])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SUBTOTAL(109,Housing25374961731486110122134146[Actual Cost],Transportation28405264761789113125137149[Actual Cost],Insurance29415365771890114126138150[Actual Cost],Food32445668802193117129141153[Actual Cost],Pets34465870822395119131143155[Actual Cost],PersonalCare36486072848597121133145157[Actual Cost],Entertainment26385062741587111123135147[Actual Cost],Loans27395163751688112124136148[Actual Cost],Taxes30425466781991115127139151[Actual Cost],Savings31435567792092116128140152[Actual Cost],Gifts33455769812294118130142154[Actual Cost],Legal35475971832496120132144156[Actual Cost])</f>
        <v>42340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65:E65"/>
    <mergeCell ref="G65:I66"/>
    <mergeCell ref="J65:J66"/>
    <mergeCell ref="G67:I68"/>
    <mergeCell ref="J67:J68"/>
  </mergeCells>
  <conditionalFormatting sqref="J8:J9">
    <cfRule type="cellIs" dxfId="843" priority="2" operator="lessThan">
      <formula>0</formula>
    </cfRule>
  </conditionalFormatting>
  <conditionalFormatting sqref="J67:J68">
    <cfRule type="cellIs" dxfId="84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CF10-F258-4827-AF59-A09C8E469051}">
  <sheetPr>
    <tabColor theme="4"/>
    <pageSetUpPr autoPageBreaks="0" fitToPage="1"/>
  </sheetPr>
  <dimension ref="A1:J68"/>
  <sheetViews>
    <sheetView showGridLines="0" topLeftCell="A42" zoomScale="85" zoomScaleNormal="85" workbookViewId="0">
      <selection activeCell="J58" sqref="J58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178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86000+10000</f>
        <v>96000</v>
      </c>
      <c r="G4" s="43" t="s">
        <v>97</v>
      </c>
      <c r="H4" s="44"/>
      <c r="I4" s="44"/>
      <c r="J4" s="37">
        <f>E6-J65</f>
        <v>59397</v>
      </c>
    </row>
    <row r="5" spans="1:10" x14ac:dyDescent="0.3">
      <c r="B5" s="39"/>
      <c r="C5" s="41" t="s">
        <v>111</v>
      </c>
      <c r="D5" s="42"/>
      <c r="E5" s="6">
        <f>24000+3200</f>
        <v>27200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123200</v>
      </c>
      <c r="G6" s="43" t="s">
        <v>96</v>
      </c>
      <c r="H6" s="44"/>
      <c r="I6" s="44"/>
      <c r="J6" s="37">
        <f>E10-J65</f>
        <v>-63803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-123200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Housing25374961731486110122134[[#This Row],[Projected Cost]]-Housing25374961731486110122134[[#This Row],[Actual Cost]]</f>
        <v>0</v>
      </c>
      <c r="G13" t="s">
        <v>11</v>
      </c>
      <c r="H13" s="3"/>
      <c r="I13" s="3"/>
      <c r="J13" s="3">
        <f>Entertainment26385062741587111123135[[#This Row],[Projected Cost]]-Entertainment26385062741587111123135[[#This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Housing25374961731486110122134[[#This Row],[Projected Cost]]-Housing25374961731486110122134[[#This Row],[Actual Cost]]</f>
        <v>0</v>
      </c>
      <c r="G14" t="s">
        <v>13</v>
      </c>
      <c r="H14" s="3"/>
      <c r="I14" s="3"/>
      <c r="J14" s="3">
        <f>Entertainment26385062741587111123135[[#This Row],[Projected Cost]]-Entertainment26385062741587111123135[[#This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Housing25374961731486110122134[[#This Row],[Projected Cost]]-Housing25374961731486110122134[[#This Row],[Actual Cost]]</f>
        <v>0</v>
      </c>
      <c r="G15" t="s">
        <v>15</v>
      </c>
      <c r="H15" s="3"/>
      <c r="I15" s="3"/>
      <c r="J15" s="3">
        <f>Entertainment26385062741587111123135[[#This Row],[Projected Cost]]-Entertainment26385062741587111123135[[#This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Housing25374961731486110122134[[#This Row],[Projected Cost]]-Housing25374961731486110122134[[#This Row],[Actual Cost]]</f>
        <v>0</v>
      </c>
      <c r="G16" t="s">
        <v>17</v>
      </c>
      <c r="H16" s="3"/>
      <c r="I16" s="3"/>
      <c r="J16" s="3">
        <f>Entertainment26385062741587111123135[[#This Row],[Projected Cost]]-Entertainment26385062741587111123135[[#This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Housing25374961731486110122134[[#This Row],[Projected Cost]]-Housing25374961731486110122134[[#This Row],[Actual Cost]]</f>
        <v>0</v>
      </c>
      <c r="G17" t="s">
        <v>19</v>
      </c>
      <c r="H17" s="3"/>
      <c r="I17" s="3"/>
      <c r="J17" s="3">
        <f>Entertainment26385062741587111123135[[#This Row],[Projected Cost]]-Entertainment26385062741587111123135[[#This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Housing25374961731486110122134[[#This Row],[Projected Cost]]-Housing25374961731486110122134[[#This Row],[Actual Cost]]</f>
        <v>0</v>
      </c>
      <c r="G18" t="s">
        <v>21</v>
      </c>
      <c r="H18" s="3"/>
      <c r="I18" s="3"/>
      <c r="J18" s="3">
        <f>Entertainment26385062741587111123135[[#This Row],[Projected Cost]]-Entertainment26385062741587111123135[[#This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Housing25374961731486110122134[[#This Row],[Projected Cost]]-Housing25374961731486110122134[[#This Row],[Actual Cost]]</f>
        <v>0</v>
      </c>
      <c r="G19" t="s">
        <v>23</v>
      </c>
      <c r="H19" s="3"/>
      <c r="I19" s="3"/>
      <c r="J19" s="3">
        <f>Entertainment26385062741587111123135[[#This Row],[Projected Cost]]-Entertainment26385062741587111123135[[#This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Housing25374961731486110122134[[#This Row],[Projected Cost]]-Housing25374961731486110122134[[#This Row],[Actual Cost]]</f>
        <v>0</v>
      </c>
      <c r="G20" t="s">
        <v>23</v>
      </c>
      <c r="H20" s="3"/>
      <c r="I20" s="3"/>
      <c r="J20" s="3">
        <f>Entertainment26385062741587111123135[[#This Row],[Projected Cost]]-Entertainment26385062741587111123135[[#This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Housing25374961731486110122134[[#This Row],[Projected Cost]]-Housing25374961731486110122134[[#This Row],[Actual Cost]]</f>
        <v>0</v>
      </c>
      <c r="G21" t="s">
        <v>23</v>
      </c>
      <c r="H21" s="3"/>
      <c r="I21" s="3"/>
      <c r="J21" s="3">
        <f>Entertainment26385062741587111123135[[#This Row],[Projected Cost]]-Entertainment26385062741587111123135[[#This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Housing25374961731486110122134[[#This Row],[Projected Cost]]-Housing25374961731486110122134[[#This Row],[Actual Cost]]</f>
        <v>0</v>
      </c>
      <c r="G22" t="s">
        <v>66</v>
      </c>
      <c r="H22" s="3"/>
      <c r="I22" s="3"/>
      <c r="J22" s="3">
        <f>SUBTOTAL(109,Entertainment26385062741587111123135[Difference])</f>
        <v>0</v>
      </c>
    </row>
    <row r="23" spans="1:10" x14ac:dyDescent="0.3">
      <c r="B23" s="8" t="s">
        <v>66</v>
      </c>
      <c r="C23" s="9">
        <f>SUBTOTAL(109,Housing25374961731486110122134[Projected Cost])</f>
        <v>24000</v>
      </c>
      <c r="D23" s="9">
        <f>SUBTOTAL(109,Housing25374961731486110122134[Actual Cost])</f>
        <v>24000</v>
      </c>
      <c r="E23" s="9">
        <f>SUBTOTAL(109,Housing25374961731486110122134[Difference])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Loans27395163751688112124136[[#This Row],[Projected Cost]]-Loans27395163751688112124136[[#This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Transportation28405264761789113125137[[#This Row],[Projected Cost]]-Transportation28405264761789113125137[[#This Row],[Actual Cost]]</f>
        <v>0</v>
      </c>
      <c r="G26" t="s">
        <v>95</v>
      </c>
      <c r="H26" s="3">
        <v>21463</v>
      </c>
      <c r="I26" s="3">
        <v>21463</v>
      </c>
      <c r="J26" s="3">
        <f>Loans27395163751688112124136[[#This Row],[Projected Cost]]-Loans27395163751688112124136[[#This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Loans27395163751688112124136[[#This Row],[Projected Cost]]-Loans27395163751688112124136[[#This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Transportation28405264761789113125137[[#This Row],[Projected Cost]]-Transportation28405264761789113125137[[#This Row],[Actual Cost]]</f>
        <v>0</v>
      </c>
      <c r="G28" t="s">
        <v>89</v>
      </c>
      <c r="H28" s="3">
        <v>0</v>
      </c>
      <c r="I28" s="3">
        <v>0</v>
      </c>
      <c r="J28" s="3">
        <f>Loans27395163751688112124136[[#This Row],[Projected Cost]]-Loans27395163751688112124136[[#This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Transportation28405264761789113125137[[#This Row],[Projected Cost]]-Transportation28405264761789113125137[[#This Row],[Actual Cost]]</f>
        <v>0</v>
      </c>
      <c r="G29" t="s">
        <v>87</v>
      </c>
      <c r="H29" s="3">
        <v>0</v>
      </c>
      <c r="I29" s="3">
        <v>0</v>
      </c>
      <c r="J29" s="3">
        <f>Loans27395163751688112124136[[#This Row],[Projected Cost]]-Loans27395163751688112124136[[#This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Transportation28405264761789113125137[[#This Row],[Projected Cost]]-Transportation28405264761789113125137[[#This Row],[Actual Cost]]</f>
        <v>0</v>
      </c>
      <c r="G30" t="s">
        <v>103</v>
      </c>
      <c r="H30" s="3">
        <v>0</v>
      </c>
      <c r="I30" s="3">
        <v>0</v>
      </c>
      <c r="J30" s="3">
        <f>Loans27395163751688112124136[[#This Row],[Projected Cost]]-Loans27395163751688112124136[[#This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Transportation28405264761789113125137[[#This Row],[Projected Cost]]-Transportation28405264761789113125137[[#This Row],[Actual Cost]]</f>
        <v>0</v>
      </c>
      <c r="G31" t="s">
        <v>104</v>
      </c>
      <c r="H31" s="3">
        <v>0</v>
      </c>
      <c r="I31" s="3">
        <v>0</v>
      </c>
      <c r="J31" s="3">
        <f>Loans27395163751688112124136[[#This Row],[Projected Cost]]-Loans27395163751688112124136[[#This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Transportation28405264761789113125137[[#This Row],[Projected Cost]]-Transportation28405264761789113125137[[#This Row],[Actual Cost]]</f>
        <v>0</v>
      </c>
      <c r="G32" t="s">
        <v>100</v>
      </c>
      <c r="H32" s="3">
        <v>0</v>
      </c>
      <c r="I32" s="3">
        <v>0</v>
      </c>
      <c r="J32" s="3">
        <f>Loans27395163751688112124136[[#This Row],[Projected Cost]]-Loans27395163751688112124136[[#This Row],[Actual Cost]]</f>
        <v>0</v>
      </c>
    </row>
    <row r="33" spans="1:10" x14ac:dyDescent="0.3">
      <c r="B33" t="s">
        <v>66</v>
      </c>
      <c r="C33" s="3">
        <f>SUBTOTAL(109,Transportation28405264761789113125137[Projected Cost])</f>
        <v>5300</v>
      </c>
      <c r="D33" s="3">
        <f>SUBTOTAL(109,Transportation28405264761789113125137[Actual Cost])</f>
        <v>5300</v>
      </c>
      <c r="E33" s="3">
        <f>SUBTOTAL(109,Transportation28405264761789113125137[Difference])</f>
        <v>0</v>
      </c>
      <c r="G33" t="s">
        <v>66</v>
      </c>
      <c r="H33" s="3">
        <f>SUBTOTAL(109,Loans27395163751688112124136[Projected Cost])</f>
        <v>21463</v>
      </c>
      <c r="I33" s="3">
        <f>SUBTOTAL(109,Loans27395163751688112124136[Actual Cost])</f>
        <v>21463</v>
      </c>
      <c r="J33" s="3">
        <f>SUBTOTAL(109,Loans27395163751688112124136[Difference])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Insurance29415365771890114126138[[#This Row],[Projected Cost]]-Insurance29415365771890114126138[[#This Row],[Actual Cost]]</f>
        <v>0</v>
      </c>
      <c r="G36" t="s">
        <v>36</v>
      </c>
      <c r="H36" s="3"/>
      <c r="I36" s="3"/>
      <c r="J36" s="3">
        <f>Taxes30425466781991115127139[[#This Row],[Projected Cost]]-Taxes30425466781991115127139[[#This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Insurance29415365771890114126138[[#This Row],[Projected Cost]]-Insurance29415365771890114126138[[#This Row],[Actual Cost]]</f>
        <v>0</v>
      </c>
      <c r="G37" t="s">
        <v>38</v>
      </c>
      <c r="H37" s="3"/>
      <c r="I37" s="3"/>
      <c r="J37" s="3">
        <f>Taxes30425466781991115127139[[#This Row],[Projected Cost]]-Taxes30425466781991115127139[[#This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Insurance29415365771890114126138[[#This Row],[Projected Cost]]-Insurance29415365771890114126138[[#This Row],[Actual Cost]]</f>
        <v>0</v>
      </c>
      <c r="G38" t="s">
        <v>40</v>
      </c>
      <c r="H38" s="3"/>
      <c r="I38" s="3"/>
      <c r="J38" s="3">
        <f>Taxes30425466781991115127139[[#This Row],[Projected Cost]]-Taxes30425466781991115127139[[#This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Insurance29415365771890114126138[[#This Row],[Projected Cost]]-Insurance29415365771890114126138[[#This Row],[Actual Cost]]</f>
        <v>0</v>
      </c>
      <c r="G39" t="s">
        <v>23</v>
      </c>
      <c r="H39" s="3"/>
      <c r="I39" s="3"/>
      <c r="J39" s="3">
        <f>Taxes30425466781991115127139[[#This Row],[Projected Cost]]-Taxes30425466781991115127139[[#This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SUBTOTAL(109,Insurance29415365771890114126138[Difference])</f>
        <v>0</v>
      </c>
      <c r="G40" t="s">
        <v>66</v>
      </c>
      <c r="H40" s="3"/>
      <c r="I40" s="3"/>
      <c r="J40" s="3">
        <f>SUBTOTAL(109,Taxes30425466781991115127139[Difference])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Food32445668802193117129141[[#This Row],[Projected Cost]]-Food32445668802193117129141[[#This Row],[Actual Cost]]</f>
        <v>0</v>
      </c>
      <c r="G43" t="s">
        <v>44</v>
      </c>
      <c r="H43" s="3"/>
      <c r="I43" s="3"/>
      <c r="J43" s="3">
        <f>Savings31435567792092116128140[[#This Row],[Projected Cost]]-Savings31435567792092116128140[[#This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Food32445668802193117129141[[#This Row],[Projected Cost]]-Food32445668802193117129141[[#This Row],[Actual Cost]]</f>
        <v>0</v>
      </c>
      <c r="G44" t="s">
        <v>46</v>
      </c>
      <c r="H44" s="3"/>
      <c r="I44" s="3"/>
      <c r="J44" s="3">
        <f>Savings31435567792092116128140[[#This Row],[Projected Cost]]-Savings31435567792092116128140[[#This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Food32445668802193117129141[[#This Row],[Projected Cost]]-Food32445668802193117129141[[#This Row],[Actual Cost]]</f>
        <v>0</v>
      </c>
      <c r="G45" t="s">
        <v>91</v>
      </c>
      <c r="H45" s="3">
        <v>5000</v>
      </c>
      <c r="I45" s="3">
        <v>5000</v>
      </c>
      <c r="J45" s="3">
        <f>Savings31435567792092116128140[[#This Row],[Projected Cost]]-Savings31435567792092116128140[[#This Row],[Actual Cost]]</f>
        <v>0</v>
      </c>
    </row>
    <row r="46" spans="1:10" x14ac:dyDescent="0.3">
      <c r="B46" t="s">
        <v>66</v>
      </c>
      <c r="C46" s="3">
        <f>SUBTOTAL(109,Food32445668802193117129141[Projected Cost])</f>
        <v>4000</v>
      </c>
      <c r="D46" s="3">
        <f>SUBTOTAL(109,Food32445668802193117129141[Actual Cost])</f>
        <v>4000</v>
      </c>
      <c r="E46" s="3">
        <f>SUBTOTAL(109,Food32445668802193117129141[Difference])</f>
        <v>0</v>
      </c>
      <c r="G46" t="s">
        <v>66</v>
      </c>
      <c r="H46" s="3">
        <f>SUBTOTAL(109,Savings31435567792092116128140[Projected Cost])</f>
        <v>5000</v>
      </c>
      <c r="I46" s="3">
        <f>SUBTOTAL(109,Savings31435567792092116128140[Actual Cost])</f>
        <v>5000</v>
      </c>
      <c r="J46" s="3">
        <f>SUBTOTAL(109,Savings31435567792092116128140[Difference])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Pets34465870822395119131143[[#This Row],[Projected Cost]]-Pets34465870822395119131143[[#This Row],[Actual Cost]]</f>
        <v>0</v>
      </c>
      <c r="G49" t="s">
        <v>49</v>
      </c>
      <c r="H49" s="3"/>
      <c r="I49" s="3"/>
      <c r="J49" s="3">
        <f>Gifts33455769812294118130142[[#This Row],[Projected Cost]]-Gifts33455769812294118130142[[#This Row],[Actual Cost]]</f>
        <v>0</v>
      </c>
    </row>
    <row r="50" spans="1:10" x14ac:dyDescent="0.3">
      <c r="B50" t="s">
        <v>54</v>
      </c>
      <c r="C50" s="3"/>
      <c r="D50" s="3"/>
      <c r="E50" s="3">
        <f>Pets34465870822395119131143[[#This Row],[Projected Cost]]-Pets34465870822395119131143[[#This Row],[Actual Cost]]</f>
        <v>0</v>
      </c>
      <c r="G50" t="s">
        <v>51</v>
      </c>
      <c r="H50" s="3"/>
      <c r="I50" s="3"/>
      <c r="J50" s="3">
        <f>Gifts33455769812294118130142[[#This Row],[Projected Cost]]-Gifts33455769812294118130142[[#This Row],[Actual Cost]]</f>
        <v>0</v>
      </c>
    </row>
    <row r="51" spans="1:10" x14ac:dyDescent="0.3">
      <c r="B51" t="s">
        <v>55</v>
      </c>
      <c r="C51" s="3"/>
      <c r="D51" s="3"/>
      <c r="E51" s="3">
        <f>Pets34465870822395119131143[[#This Row],[Projected Cost]]-Pets34465870822395119131143[[#This Row],[Actual Cost]]</f>
        <v>0</v>
      </c>
      <c r="G51" t="s">
        <v>53</v>
      </c>
      <c r="H51" s="3"/>
      <c r="I51" s="3"/>
      <c r="J51" s="3">
        <f>Gifts33455769812294118130142[[#This Row],[Projected Cost]]-Gifts33455769812294118130142[[#This Row],[Actual Cost]]</f>
        <v>0</v>
      </c>
    </row>
    <row r="52" spans="1:10" x14ac:dyDescent="0.3">
      <c r="B52" t="s">
        <v>56</v>
      </c>
      <c r="C52" s="3"/>
      <c r="D52" s="3"/>
      <c r="E52" s="3">
        <f>Pets34465870822395119131143[[#This Row],[Projected Cost]]-Pets34465870822395119131143[[#This Row],[Actual Cost]]</f>
        <v>0</v>
      </c>
      <c r="G52" t="s">
        <v>66</v>
      </c>
      <c r="H52" s="3"/>
      <c r="I52" s="3"/>
      <c r="J52" s="3">
        <f>SUBTOTAL(109,Gifts33455769812294118130142[Difference])</f>
        <v>0</v>
      </c>
    </row>
    <row r="53" spans="1:10" x14ac:dyDescent="0.3">
      <c r="B53" t="s">
        <v>23</v>
      </c>
      <c r="C53" s="3"/>
      <c r="D53" s="3"/>
      <c r="E53" s="3">
        <f>Pets34465870822395119131143[[#This Row],[Projected Cost]]-Pets34465870822395119131143[[#This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SUBTOTAL(109,Pets34465870822395119131143[Difference])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0</v>
      </c>
      <c r="I55" s="3">
        <v>0</v>
      </c>
      <c r="J55" s="3">
        <f>Legal35475971832496120132144[[#This Row],[Projected Cost]]-Legal35475971832496120132144[[#This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Legal35475971832496120132144[[#This Row],[Projected Cost]]-Legal35475971832496120132144[[#This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PersonalCare36486072848597121133145[[#This Row],[z]]-PersonalCare36486072848597121133145[[#This Row],[Actual Cost]]</f>
        <v>0</v>
      </c>
      <c r="G57" t="s">
        <v>109</v>
      </c>
      <c r="H57" s="3">
        <v>0</v>
      </c>
      <c r="I57" s="3">
        <v>0</v>
      </c>
      <c r="J57" s="3">
        <f>Legal35475971832496120132144[[#This Row],[Projected Cost]]-Legal35475971832496120132144[[#This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PersonalCare36486072848597121133145[[#This Row],[z]]-PersonalCare36486072848597121133145[[#This Row],[Actual Cost]]</f>
        <v>0</v>
      </c>
      <c r="G58" t="s">
        <v>120</v>
      </c>
      <c r="H58" s="3">
        <v>0</v>
      </c>
      <c r="I58" s="3">
        <v>0</v>
      </c>
      <c r="J58" s="3">
        <f>Legal35475971832496120132144[[#This Row],[Projected Cost]]-Legal35475971832496120132144[[#This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PersonalCare36486072848597121133145[[#This Row],[z]]-PersonalCare36486072848597121133145[[#This Row],[Actual Cost]]</f>
        <v>0</v>
      </c>
      <c r="G59" t="s">
        <v>113</v>
      </c>
      <c r="H59" s="3">
        <v>0</v>
      </c>
      <c r="I59" s="3">
        <v>0</v>
      </c>
      <c r="J59" s="3">
        <f>Legal35475971832496120132144[[#This Row],[Projected Cost]]-Legal35475971832496120132144[[#This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PersonalCare36486072848597121133145[[#This Row],[z]]-PersonalCare36486072848597121133145[[#This Row],[Actual Cost]]</f>
        <v>0</v>
      </c>
      <c r="G60" t="s">
        <v>128</v>
      </c>
      <c r="H60" s="3">
        <v>0</v>
      </c>
      <c r="I60" s="3">
        <v>0</v>
      </c>
      <c r="J60" s="3">
        <f>Legal35475971832496120132144[[#This Row],[Projected Cost]]-Legal35475971832496120132144[[#This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PersonalCare36486072848597121133145[[#This Row],[z]]-PersonalCare36486072848597121133145[[#This Row],[Actual Cost]]</f>
        <v>0</v>
      </c>
      <c r="G61" t="s">
        <v>66</v>
      </c>
      <c r="H61" s="3">
        <f>SUBTOTAL(109,Legal35475971832496120132144[Projected Cost])</f>
        <v>0</v>
      </c>
      <c r="I61" s="3">
        <f>SUBTOTAL(109,Legal35475971832496120132144[Actual Cost])</f>
        <v>0</v>
      </c>
      <c r="J61" s="3">
        <f>SUBTOTAL(109,Legal35475971832496120132144[Difference])</f>
        <v>0</v>
      </c>
    </row>
    <row r="62" spans="1:10" x14ac:dyDescent="0.3">
      <c r="B62" s="8" t="s">
        <v>64</v>
      </c>
      <c r="C62" s="9"/>
      <c r="D62" s="9"/>
      <c r="E62" s="9">
        <f>PersonalCare36486072848597121133145[[#This Row],[z]]-PersonalCare36486072848597121133145[[#This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PersonalCare36486072848597121133145[[#This Row],[z]]-PersonalCare36486072848597121133145[[#This Row],[Actual Cost]]</f>
        <v>0</v>
      </c>
      <c r="G63" s="36" t="s">
        <v>60</v>
      </c>
      <c r="H63" s="36"/>
      <c r="I63" s="36"/>
      <c r="J63" s="37">
        <f>SUBTOTAL(109,Housing25374961731486110122134[Projected Cost],Transportation28405264761789113125137[Projected Cost],Insurance29415365771890114126138[Projected Cost],Food32445668802193117129141[Projected Cost],Pets34465870822395119131143[Projected Cost],PersonalCare36486072848597121133145[z],Entertainment26385062741587111123135[Projected Cost],Loans27395163751688112124136[Projected Cost],Taxes30425466781991115127139[Projected Cost],Savings31435567792092116128140[Projected Cost],Gifts33455769812294118130142[Projected Cost],Legal35475971832496120132144[Projected Cost])</f>
        <v>63803</v>
      </c>
    </row>
    <row r="64" spans="1:10" x14ac:dyDescent="0.3">
      <c r="B64" s="8" t="s">
        <v>66</v>
      </c>
      <c r="C64" s="9"/>
      <c r="D64" s="9"/>
      <c r="E64" s="9">
        <f>SUBTOTAL(109,PersonalCare36486072848597121133145[Difference])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SUBTOTAL(109,Housing25374961731486110122134[Actual Cost],Transportation28405264761789113125137[Actual Cost],Insurance29415365771890114126138[Actual Cost],Food32445668802193117129141[Actual Cost],Pets34465870822395119131143[Actual Cost],PersonalCare36486072848597121133145[Actual Cost],Entertainment26385062741587111123135[Actual Cost],Loans27395163751688112124136[Actual Cost],Taxes30425466781991115127139[Actual Cost],Savings31435567792092116128140[Actual Cost],Gifts33455769812294118130142[Actual Cost],Legal35475971832496120132144[Actual Cost])</f>
        <v>63803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65:E65"/>
    <mergeCell ref="G65:I66"/>
    <mergeCell ref="J65:J66"/>
    <mergeCell ref="G67:I68"/>
    <mergeCell ref="J67:J68"/>
  </mergeCells>
  <conditionalFormatting sqref="J8:J9">
    <cfRule type="cellIs" dxfId="776" priority="2" operator="lessThan">
      <formula>0</formula>
    </cfRule>
  </conditionalFormatting>
  <conditionalFormatting sqref="J67:J68">
    <cfRule type="cellIs" dxfId="775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03D4-F429-4C3E-9964-6A8E9DAB8D7D}">
  <sheetPr>
    <tabColor theme="4"/>
    <pageSetUpPr autoPageBreaks="0" fitToPage="1"/>
  </sheetPr>
  <dimension ref="A1:J68"/>
  <sheetViews>
    <sheetView showGridLines="0" topLeftCell="A42" zoomScale="85" zoomScaleNormal="85" workbookViewId="0">
      <selection activeCell="J58" sqref="J58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179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86000+10000</f>
        <v>96000</v>
      </c>
      <c r="G4" s="43" t="s">
        <v>97</v>
      </c>
      <c r="H4" s="44"/>
      <c r="I4" s="44"/>
      <c r="J4" s="37">
        <f>E6-J65</f>
        <v>59397</v>
      </c>
    </row>
    <row r="5" spans="1:10" x14ac:dyDescent="0.3">
      <c r="B5" s="39"/>
      <c r="C5" s="41" t="s">
        <v>111</v>
      </c>
      <c r="D5" s="42"/>
      <c r="E5" s="6">
        <f>24000+3200</f>
        <v>27200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123200</v>
      </c>
      <c r="G6" s="43" t="s">
        <v>96</v>
      </c>
      <c r="H6" s="44"/>
      <c r="I6" s="44"/>
      <c r="J6" s="37">
        <f>E10-J65</f>
        <v>-63803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-123200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Housing25374961731486110122[[#This Row],[Projected Cost]]-Housing25374961731486110122[[#This Row],[Actual Cost]]</f>
        <v>0</v>
      </c>
      <c r="G13" t="s">
        <v>11</v>
      </c>
      <c r="H13" s="3"/>
      <c r="I13" s="3"/>
      <c r="J13" s="3">
        <f>Entertainment26385062741587111123[[#This Row],[Projected Cost]]-Entertainment26385062741587111123[[#This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Housing25374961731486110122[[#This Row],[Projected Cost]]-Housing25374961731486110122[[#This Row],[Actual Cost]]</f>
        <v>0</v>
      </c>
      <c r="G14" t="s">
        <v>13</v>
      </c>
      <c r="H14" s="3"/>
      <c r="I14" s="3"/>
      <c r="J14" s="3">
        <f>Entertainment26385062741587111123[[#This Row],[Projected Cost]]-Entertainment26385062741587111123[[#This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Housing25374961731486110122[[#This Row],[Projected Cost]]-Housing25374961731486110122[[#This Row],[Actual Cost]]</f>
        <v>0</v>
      </c>
      <c r="G15" t="s">
        <v>15</v>
      </c>
      <c r="H15" s="3"/>
      <c r="I15" s="3"/>
      <c r="J15" s="3">
        <f>Entertainment26385062741587111123[[#This Row],[Projected Cost]]-Entertainment26385062741587111123[[#This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Housing25374961731486110122[[#This Row],[Projected Cost]]-Housing25374961731486110122[[#This Row],[Actual Cost]]</f>
        <v>0</v>
      </c>
      <c r="G16" t="s">
        <v>17</v>
      </c>
      <c r="H16" s="3"/>
      <c r="I16" s="3"/>
      <c r="J16" s="3">
        <f>Entertainment26385062741587111123[[#This Row],[Projected Cost]]-Entertainment26385062741587111123[[#This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Housing25374961731486110122[[#This Row],[Projected Cost]]-Housing25374961731486110122[[#This Row],[Actual Cost]]</f>
        <v>0</v>
      </c>
      <c r="G17" t="s">
        <v>19</v>
      </c>
      <c r="H17" s="3"/>
      <c r="I17" s="3"/>
      <c r="J17" s="3">
        <f>Entertainment26385062741587111123[[#This Row],[Projected Cost]]-Entertainment26385062741587111123[[#This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Housing25374961731486110122[[#This Row],[Projected Cost]]-Housing25374961731486110122[[#This Row],[Actual Cost]]</f>
        <v>0</v>
      </c>
      <c r="G18" t="s">
        <v>21</v>
      </c>
      <c r="H18" s="3"/>
      <c r="I18" s="3"/>
      <c r="J18" s="3">
        <f>Entertainment26385062741587111123[[#This Row],[Projected Cost]]-Entertainment26385062741587111123[[#This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Housing25374961731486110122[[#This Row],[Projected Cost]]-Housing25374961731486110122[[#This Row],[Actual Cost]]</f>
        <v>0</v>
      </c>
      <c r="G19" t="s">
        <v>23</v>
      </c>
      <c r="H19" s="3"/>
      <c r="I19" s="3"/>
      <c r="J19" s="3">
        <f>Entertainment26385062741587111123[[#This Row],[Projected Cost]]-Entertainment26385062741587111123[[#This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Housing25374961731486110122[[#This Row],[Projected Cost]]-Housing25374961731486110122[[#This Row],[Actual Cost]]</f>
        <v>0</v>
      </c>
      <c r="G20" t="s">
        <v>23</v>
      </c>
      <c r="H20" s="3"/>
      <c r="I20" s="3"/>
      <c r="J20" s="3">
        <f>Entertainment26385062741587111123[[#This Row],[Projected Cost]]-Entertainment26385062741587111123[[#This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Housing25374961731486110122[[#This Row],[Projected Cost]]-Housing25374961731486110122[[#This Row],[Actual Cost]]</f>
        <v>0</v>
      </c>
      <c r="G21" t="s">
        <v>23</v>
      </c>
      <c r="H21" s="3"/>
      <c r="I21" s="3"/>
      <c r="J21" s="3">
        <f>Entertainment26385062741587111123[[#This Row],[Projected Cost]]-Entertainment26385062741587111123[[#This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Housing25374961731486110122[[#This Row],[Projected Cost]]-Housing25374961731486110122[[#This Row],[Actual Cost]]</f>
        <v>0</v>
      </c>
      <c r="G22" t="s">
        <v>66</v>
      </c>
      <c r="H22" s="3"/>
      <c r="I22" s="3"/>
      <c r="J22" s="3">
        <f>SUBTOTAL(109,Entertainment26385062741587111123[Difference])</f>
        <v>0</v>
      </c>
    </row>
    <row r="23" spans="1:10" x14ac:dyDescent="0.3">
      <c r="B23" s="8" t="s">
        <v>66</v>
      </c>
      <c r="C23" s="9">
        <f>SUBTOTAL(109,Housing25374961731486110122[Projected Cost])</f>
        <v>24000</v>
      </c>
      <c r="D23" s="9">
        <f>SUBTOTAL(109,Housing25374961731486110122[Actual Cost])</f>
        <v>24000</v>
      </c>
      <c r="E23" s="9">
        <f>SUBTOTAL(109,Housing25374961731486110122[Difference])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Loans27395163751688112124[[#This Row],[Projected Cost]]-Loans27395163751688112124[[#This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Transportation28405264761789113125[[#This Row],[Projected Cost]]-Transportation28405264761789113125[[#This Row],[Actual Cost]]</f>
        <v>0</v>
      </c>
      <c r="G26" t="s">
        <v>95</v>
      </c>
      <c r="H26" s="3">
        <v>21463</v>
      </c>
      <c r="I26" s="3">
        <v>21463</v>
      </c>
      <c r="J26" s="3">
        <f>Loans27395163751688112124[[#This Row],[Projected Cost]]-Loans27395163751688112124[[#This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Loans27395163751688112124[[#This Row],[Projected Cost]]-Loans27395163751688112124[[#This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Transportation28405264761789113125[[#This Row],[Projected Cost]]-Transportation28405264761789113125[[#This Row],[Actual Cost]]</f>
        <v>0</v>
      </c>
      <c r="G28" t="s">
        <v>89</v>
      </c>
      <c r="H28" s="3">
        <v>0</v>
      </c>
      <c r="I28" s="3">
        <v>0</v>
      </c>
      <c r="J28" s="3">
        <f>Loans27395163751688112124[[#This Row],[Projected Cost]]-Loans27395163751688112124[[#This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Transportation28405264761789113125[[#This Row],[Projected Cost]]-Transportation28405264761789113125[[#This Row],[Actual Cost]]</f>
        <v>0</v>
      </c>
      <c r="G29" t="s">
        <v>87</v>
      </c>
      <c r="H29" s="3">
        <v>0</v>
      </c>
      <c r="I29" s="3">
        <v>0</v>
      </c>
      <c r="J29" s="3">
        <f>Loans27395163751688112124[[#This Row],[Projected Cost]]-Loans27395163751688112124[[#This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Transportation28405264761789113125[[#This Row],[Projected Cost]]-Transportation28405264761789113125[[#This Row],[Actual Cost]]</f>
        <v>0</v>
      </c>
      <c r="G30" t="s">
        <v>103</v>
      </c>
      <c r="H30" s="3">
        <v>0</v>
      </c>
      <c r="I30" s="3">
        <v>0</v>
      </c>
      <c r="J30" s="3">
        <f>Loans27395163751688112124[[#This Row],[Projected Cost]]-Loans27395163751688112124[[#This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Transportation28405264761789113125[[#This Row],[Projected Cost]]-Transportation28405264761789113125[[#This Row],[Actual Cost]]</f>
        <v>0</v>
      </c>
      <c r="G31" t="s">
        <v>104</v>
      </c>
      <c r="H31" s="3">
        <v>0</v>
      </c>
      <c r="I31" s="3">
        <v>0</v>
      </c>
      <c r="J31" s="3">
        <f>Loans27395163751688112124[[#This Row],[Projected Cost]]-Loans27395163751688112124[[#This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Transportation28405264761789113125[[#This Row],[Projected Cost]]-Transportation28405264761789113125[[#This Row],[Actual Cost]]</f>
        <v>0</v>
      </c>
      <c r="G32" t="s">
        <v>100</v>
      </c>
      <c r="H32" s="3">
        <v>0</v>
      </c>
      <c r="I32" s="3">
        <v>0</v>
      </c>
      <c r="J32" s="3">
        <f>Loans27395163751688112124[[#This Row],[Projected Cost]]-Loans27395163751688112124[[#This Row],[Actual Cost]]</f>
        <v>0</v>
      </c>
    </row>
    <row r="33" spans="1:10" x14ac:dyDescent="0.3">
      <c r="B33" t="s">
        <v>66</v>
      </c>
      <c r="C33" s="3">
        <f>SUBTOTAL(109,Transportation28405264761789113125[Projected Cost])</f>
        <v>5300</v>
      </c>
      <c r="D33" s="3">
        <f>SUBTOTAL(109,Transportation28405264761789113125[Actual Cost])</f>
        <v>5300</v>
      </c>
      <c r="E33" s="3">
        <f>SUBTOTAL(109,Transportation28405264761789113125[Difference])</f>
        <v>0</v>
      </c>
      <c r="G33" t="s">
        <v>66</v>
      </c>
      <c r="H33" s="3">
        <f>SUBTOTAL(109,Loans27395163751688112124[Projected Cost])</f>
        <v>21463</v>
      </c>
      <c r="I33" s="3">
        <f>SUBTOTAL(109,Loans27395163751688112124[Actual Cost])</f>
        <v>21463</v>
      </c>
      <c r="J33" s="3">
        <f>SUBTOTAL(109,Loans27395163751688112124[Difference])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Insurance29415365771890114126[[#This Row],[Projected Cost]]-Insurance29415365771890114126[[#This Row],[Actual Cost]]</f>
        <v>0</v>
      </c>
      <c r="G36" t="s">
        <v>36</v>
      </c>
      <c r="H36" s="3"/>
      <c r="I36" s="3"/>
      <c r="J36" s="3">
        <f>Taxes30425466781991115127[[#This Row],[Projected Cost]]-Taxes30425466781991115127[[#This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Insurance29415365771890114126[[#This Row],[Projected Cost]]-Insurance29415365771890114126[[#This Row],[Actual Cost]]</f>
        <v>0</v>
      </c>
      <c r="G37" t="s">
        <v>38</v>
      </c>
      <c r="H37" s="3"/>
      <c r="I37" s="3"/>
      <c r="J37" s="3">
        <f>Taxes30425466781991115127[[#This Row],[Projected Cost]]-Taxes30425466781991115127[[#This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Insurance29415365771890114126[[#This Row],[Projected Cost]]-Insurance29415365771890114126[[#This Row],[Actual Cost]]</f>
        <v>0</v>
      </c>
      <c r="G38" t="s">
        <v>40</v>
      </c>
      <c r="H38" s="3"/>
      <c r="I38" s="3"/>
      <c r="J38" s="3">
        <f>Taxes30425466781991115127[[#This Row],[Projected Cost]]-Taxes30425466781991115127[[#This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Insurance29415365771890114126[[#This Row],[Projected Cost]]-Insurance29415365771890114126[[#This Row],[Actual Cost]]</f>
        <v>0</v>
      </c>
      <c r="G39" t="s">
        <v>23</v>
      </c>
      <c r="H39" s="3"/>
      <c r="I39" s="3"/>
      <c r="J39" s="3">
        <f>Taxes30425466781991115127[[#This Row],[Projected Cost]]-Taxes30425466781991115127[[#This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SUBTOTAL(109,Insurance29415365771890114126[Difference])</f>
        <v>0</v>
      </c>
      <c r="G40" t="s">
        <v>66</v>
      </c>
      <c r="H40" s="3"/>
      <c r="I40" s="3"/>
      <c r="J40" s="3">
        <f>SUBTOTAL(109,Taxes30425466781991115127[Difference])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Food32445668802193117129[[#This Row],[Projected Cost]]-Food32445668802193117129[[#This Row],[Actual Cost]]</f>
        <v>0</v>
      </c>
      <c r="G43" t="s">
        <v>44</v>
      </c>
      <c r="H43" s="3"/>
      <c r="I43" s="3"/>
      <c r="J43" s="3">
        <f>Savings31435567792092116128[[#This Row],[Projected Cost]]-Savings31435567792092116128[[#This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Food32445668802193117129[[#This Row],[Projected Cost]]-Food32445668802193117129[[#This Row],[Actual Cost]]</f>
        <v>0</v>
      </c>
      <c r="G44" t="s">
        <v>46</v>
      </c>
      <c r="H44" s="3"/>
      <c r="I44" s="3"/>
      <c r="J44" s="3">
        <f>Savings31435567792092116128[[#This Row],[Projected Cost]]-Savings31435567792092116128[[#This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Food32445668802193117129[[#This Row],[Projected Cost]]-Food32445668802193117129[[#This Row],[Actual Cost]]</f>
        <v>0</v>
      </c>
      <c r="G45" t="s">
        <v>91</v>
      </c>
      <c r="H45" s="3">
        <v>5000</v>
      </c>
      <c r="I45" s="3">
        <v>5000</v>
      </c>
      <c r="J45" s="3">
        <f>Savings31435567792092116128[[#This Row],[Projected Cost]]-Savings31435567792092116128[[#This Row],[Actual Cost]]</f>
        <v>0</v>
      </c>
    </row>
    <row r="46" spans="1:10" x14ac:dyDescent="0.3">
      <c r="B46" t="s">
        <v>66</v>
      </c>
      <c r="C46" s="3">
        <f>SUBTOTAL(109,Food32445668802193117129[Projected Cost])</f>
        <v>4000</v>
      </c>
      <c r="D46" s="3">
        <f>SUBTOTAL(109,Food32445668802193117129[Actual Cost])</f>
        <v>4000</v>
      </c>
      <c r="E46" s="3">
        <f>SUBTOTAL(109,Food32445668802193117129[Difference])</f>
        <v>0</v>
      </c>
      <c r="G46" t="s">
        <v>66</v>
      </c>
      <c r="H46" s="3">
        <f>SUBTOTAL(109,Savings31435567792092116128[Projected Cost])</f>
        <v>5000</v>
      </c>
      <c r="I46" s="3">
        <f>SUBTOTAL(109,Savings31435567792092116128[Actual Cost])</f>
        <v>5000</v>
      </c>
      <c r="J46" s="3">
        <f>SUBTOTAL(109,Savings31435567792092116128[Difference])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Pets34465870822395119131[[#This Row],[Projected Cost]]-Pets34465870822395119131[[#This Row],[Actual Cost]]</f>
        <v>0</v>
      </c>
      <c r="G49" t="s">
        <v>49</v>
      </c>
      <c r="H49" s="3"/>
      <c r="I49" s="3"/>
      <c r="J49" s="3">
        <f>Gifts33455769812294118130[[#This Row],[Projected Cost]]-Gifts33455769812294118130[[#This Row],[Actual Cost]]</f>
        <v>0</v>
      </c>
    </row>
    <row r="50" spans="1:10" x14ac:dyDescent="0.3">
      <c r="B50" t="s">
        <v>54</v>
      </c>
      <c r="C50" s="3"/>
      <c r="D50" s="3"/>
      <c r="E50" s="3">
        <f>Pets34465870822395119131[[#This Row],[Projected Cost]]-Pets34465870822395119131[[#This Row],[Actual Cost]]</f>
        <v>0</v>
      </c>
      <c r="G50" t="s">
        <v>51</v>
      </c>
      <c r="H50" s="3"/>
      <c r="I50" s="3"/>
      <c r="J50" s="3">
        <f>Gifts33455769812294118130[[#This Row],[Projected Cost]]-Gifts33455769812294118130[[#This Row],[Actual Cost]]</f>
        <v>0</v>
      </c>
    </row>
    <row r="51" spans="1:10" x14ac:dyDescent="0.3">
      <c r="B51" t="s">
        <v>55</v>
      </c>
      <c r="C51" s="3"/>
      <c r="D51" s="3"/>
      <c r="E51" s="3">
        <f>Pets34465870822395119131[[#This Row],[Projected Cost]]-Pets34465870822395119131[[#This Row],[Actual Cost]]</f>
        <v>0</v>
      </c>
      <c r="G51" t="s">
        <v>53</v>
      </c>
      <c r="H51" s="3"/>
      <c r="I51" s="3"/>
      <c r="J51" s="3">
        <f>Gifts33455769812294118130[[#This Row],[Projected Cost]]-Gifts33455769812294118130[[#This Row],[Actual Cost]]</f>
        <v>0</v>
      </c>
    </row>
    <row r="52" spans="1:10" x14ac:dyDescent="0.3">
      <c r="B52" t="s">
        <v>56</v>
      </c>
      <c r="C52" s="3"/>
      <c r="D52" s="3"/>
      <c r="E52" s="3">
        <f>Pets34465870822395119131[[#This Row],[Projected Cost]]-Pets34465870822395119131[[#This Row],[Actual Cost]]</f>
        <v>0</v>
      </c>
      <c r="G52" t="s">
        <v>66</v>
      </c>
      <c r="H52" s="3"/>
      <c r="I52" s="3"/>
      <c r="J52" s="3">
        <f>SUBTOTAL(109,Gifts33455769812294118130[Difference])</f>
        <v>0</v>
      </c>
    </row>
    <row r="53" spans="1:10" x14ac:dyDescent="0.3">
      <c r="B53" t="s">
        <v>23</v>
      </c>
      <c r="C53" s="3"/>
      <c r="D53" s="3"/>
      <c r="E53" s="3">
        <f>Pets34465870822395119131[[#This Row],[Projected Cost]]-Pets34465870822395119131[[#This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SUBTOTAL(109,Pets34465870822395119131[Difference])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0</v>
      </c>
      <c r="I55" s="3">
        <v>0</v>
      </c>
      <c r="J55" s="3">
        <f>Legal35475971832496120132[[#This Row],[Projected Cost]]-Legal35475971832496120132[[#This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Legal35475971832496120132[[#This Row],[Projected Cost]]-Legal35475971832496120132[[#This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PersonalCare36486072848597121133[[#This Row],[z]]-PersonalCare36486072848597121133[[#This Row],[Actual Cost]]</f>
        <v>0</v>
      </c>
      <c r="G57" t="s">
        <v>109</v>
      </c>
      <c r="H57" s="3">
        <v>0</v>
      </c>
      <c r="I57" s="3">
        <v>0</v>
      </c>
      <c r="J57" s="3">
        <f>Legal35475971832496120132[[#This Row],[Projected Cost]]-Legal35475971832496120132[[#This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PersonalCare36486072848597121133[[#This Row],[z]]-PersonalCare36486072848597121133[[#This Row],[Actual Cost]]</f>
        <v>0</v>
      </c>
      <c r="G58" t="s">
        <v>120</v>
      </c>
      <c r="H58" s="3">
        <v>0</v>
      </c>
      <c r="I58" s="3">
        <v>0</v>
      </c>
      <c r="J58" s="3">
        <f>Legal35475971832496120132[[#This Row],[Projected Cost]]-Legal35475971832496120132[[#This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PersonalCare36486072848597121133[[#This Row],[z]]-PersonalCare36486072848597121133[[#This Row],[Actual Cost]]</f>
        <v>0</v>
      </c>
      <c r="G59" t="s">
        <v>113</v>
      </c>
      <c r="H59" s="3">
        <v>0</v>
      </c>
      <c r="I59" s="3">
        <v>0</v>
      </c>
      <c r="J59" s="3">
        <f>Legal35475971832496120132[[#This Row],[Projected Cost]]-Legal35475971832496120132[[#This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PersonalCare36486072848597121133[[#This Row],[z]]-PersonalCare36486072848597121133[[#This Row],[Actual Cost]]</f>
        <v>0</v>
      </c>
      <c r="G60" t="s">
        <v>128</v>
      </c>
      <c r="H60" s="3">
        <v>0</v>
      </c>
      <c r="I60" s="3">
        <v>0</v>
      </c>
      <c r="J60" s="3">
        <f>Legal35475971832496120132[[#This Row],[Projected Cost]]-Legal35475971832496120132[[#This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PersonalCare36486072848597121133[[#This Row],[z]]-PersonalCare36486072848597121133[[#This Row],[Actual Cost]]</f>
        <v>0</v>
      </c>
      <c r="G61" t="s">
        <v>66</v>
      </c>
      <c r="H61" s="3">
        <f>SUBTOTAL(109,Legal35475971832496120132[Projected Cost])</f>
        <v>0</v>
      </c>
      <c r="I61" s="3">
        <f>SUBTOTAL(109,Legal35475971832496120132[Actual Cost])</f>
        <v>0</v>
      </c>
      <c r="J61" s="3">
        <f>SUBTOTAL(109,Legal35475971832496120132[Difference])</f>
        <v>0</v>
      </c>
    </row>
    <row r="62" spans="1:10" x14ac:dyDescent="0.3">
      <c r="B62" s="8" t="s">
        <v>64</v>
      </c>
      <c r="C62" s="9"/>
      <c r="D62" s="9"/>
      <c r="E62" s="9">
        <f>PersonalCare36486072848597121133[[#This Row],[z]]-PersonalCare36486072848597121133[[#This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PersonalCare36486072848597121133[[#This Row],[z]]-PersonalCare36486072848597121133[[#This Row],[Actual Cost]]</f>
        <v>0</v>
      </c>
      <c r="G63" s="36" t="s">
        <v>60</v>
      </c>
      <c r="H63" s="36"/>
      <c r="I63" s="36"/>
      <c r="J63" s="37">
        <f>SUBTOTAL(109,Housing25374961731486110122[Projected Cost],Transportation28405264761789113125[Projected Cost],Insurance29415365771890114126[Projected Cost],Food32445668802193117129[Projected Cost],Pets34465870822395119131[Projected Cost],PersonalCare36486072848597121133[z],Entertainment26385062741587111123[Projected Cost],Loans27395163751688112124[Projected Cost],Taxes30425466781991115127[Projected Cost],Savings31435567792092116128[Projected Cost],Gifts33455769812294118130[Projected Cost],Legal35475971832496120132[Projected Cost])</f>
        <v>63803</v>
      </c>
    </row>
    <row r="64" spans="1:10" x14ac:dyDescent="0.3">
      <c r="B64" s="8" t="s">
        <v>66</v>
      </c>
      <c r="C64" s="9"/>
      <c r="D64" s="9"/>
      <c r="E64" s="9">
        <f>SUBTOTAL(109,PersonalCare36486072848597121133[Difference])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SUBTOTAL(109,Housing25374961731486110122[Actual Cost],Transportation28405264761789113125[Actual Cost],Insurance29415365771890114126[Actual Cost],Food32445668802193117129[Actual Cost],Pets34465870822395119131[Actual Cost],PersonalCare36486072848597121133[Actual Cost],Entertainment26385062741587111123[Actual Cost],Loans27395163751688112124[Actual Cost],Taxes30425466781991115127[Actual Cost],Savings31435567792092116128[Actual Cost],Gifts33455769812294118130[Actual Cost],Legal35475971832496120132[Actual Cost])</f>
        <v>63803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65:E65"/>
    <mergeCell ref="G65:I66"/>
    <mergeCell ref="J65:J66"/>
    <mergeCell ref="G67:I68"/>
    <mergeCell ref="J67:J68"/>
  </mergeCells>
  <conditionalFormatting sqref="J8:J9">
    <cfRule type="cellIs" dxfId="709" priority="2" operator="lessThan">
      <formula>0</formula>
    </cfRule>
  </conditionalFormatting>
  <conditionalFormatting sqref="J67:J68">
    <cfRule type="cellIs" dxfId="708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0971-D2D1-44E7-AF42-A693B26773DC}">
  <sheetPr>
    <tabColor theme="4"/>
    <pageSetUpPr autoPageBreaks="0" fitToPage="1"/>
  </sheetPr>
  <dimension ref="A1:J68"/>
  <sheetViews>
    <sheetView showGridLines="0" topLeftCell="A52" zoomScale="85" zoomScaleNormal="85" workbookViewId="0">
      <selection activeCell="I58" sqref="I58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176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86000+10000</f>
        <v>96000</v>
      </c>
      <c r="G4" s="43" t="s">
        <v>97</v>
      </c>
      <c r="H4" s="44"/>
      <c r="I4" s="44"/>
      <c r="J4" s="37">
        <f>E6-J65</f>
        <v>59397</v>
      </c>
    </row>
    <row r="5" spans="1:10" x14ac:dyDescent="0.3">
      <c r="B5" s="39"/>
      <c r="C5" s="41" t="s">
        <v>111</v>
      </c>
      <c r="D5" s="42"/>
      <c r="E5" s="6">
        <f>24000+3200</f>
        <v>27200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123200</v>
      </c>
      <c r="G6" s="43" t="s">
        <v>96</v>
      </c>
      <c r="H6" s="44"/>
      <c r="I6" s="44"/>
      <c r="J6" s="37">
        <f>E10-J65</f>
        <v>-63803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-123200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Housing25374961731486110[[#This Row],[Projected Cost]]-Housing25374961731486110[[#This Row],[Actual Cost]]</f>
        <v>0</v>
      </c>
      <c r="G13" t="s">
        <v>11</v>
      </c>
      <c r="H13" s="3"/>
      <c r="I13" s="3"/>
      <c r="J13" s="3">
        <f>Entertainment26385062741587111[[#This Row],[Projected Cost]]-Entertainment26385062741587111[[#This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Housing25374961731486110[[#This Row],[Projected Cost]]-Housing25374961731486110[[#This Row],[Actual Cost]]</f>
        <v>0</v>
      </c>
      <c r="G14" t="s">
        <v>13</v>
      </c>
      <c r="H14" s="3"/>
      <c r="I14" s="3"/>
      <c r="J14" s="3">
        <f>Entertainment26385062741587111[[#This Row],[Projected Cost]]-Entertainment26385062741587111[[#This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Housing25374961731486110[[#This Row],[Projected Cost]]-Housing25374961731486110[[#This Row],[Actual Cost]]</f>
        <v>0</v>
      </c>
      <c r="G15" t="s">
        <v>15</v>
      </c>
      <c r="H15" s="3"/>
      <c r="I15" s="3"/>
      <c r="J15" s="3">
        <f>Entertainment26385062741587111[[#This Row],[Projected Cost]]-Entertainment26385062741587111[[#This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Housing25374961731486110[[#This Row],[Projected Cost]]-Housing25374961731486110[[#This Row],[Actual Cost]]</f>
        <v>0</v>
      </c>
      <c r="G16" t="s">
        <v>17</v>
      </c>
      <c r="H16" s="3"/>
      <c r="I16" s="3"/>
      <c r="J16" s="3">
        <f>Entertainment26385062741587111[[#This Row],[Projected Cost]]-Entertainment26385062741587111[[#This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Housing25374961731486110[[#This Row],[Projected Cost]]-Housing25374961731486110[[#This Row],[Actual Cost]]</f>
        <v>0</v>
      </c>
      <c r="G17" t="s">
        <v>19</v>
      </c>
      <c r="H17" s="3"/>
      <c r="I17" s="3"/>
      <c r="J17" s="3">
        <f>Entertainment26385062741587111[[#This Row],[Projected Cost]]-Entertainment26385062741587111[[#This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Housing25374961731486110[[#This Row],[Projected Cost]]-Housing25374961731486110[[#This Row],[Actual Cost]]</f>
        <v>0</v>
      </c>
      <c r="G18" t="s">
        <v>21</v>
      </c>
      <c r="H18" s="3"/>
      <c r="I18" s="3"/>
      <c r="J18" s="3">
        <f>Entertainment26385062741587111[[#This Row],[Projected Cost]]-Entertainment26385062741587111[[#This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Housing25374961731486110[[#This Row],[Projected Cost]]-Housing25374961731486110[[#This Row],[Actual Cost]]</f>
        <v>0</v>
      </c>
      <c r="G19" t="s">
        <v>23</v>
      </c>
      <c r="H19" s="3"/>
      <c r="I19" s="3"/>
      <c r="J19" s="3">
        <f>Entertainment26385062741587111[[#This Row],[Projected Cost]]-Entertainment26385062741587111[[#This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Housing25374961731486110[[#This Row],[Projected Cost]]-Housing25374961731486110[[#This Row],[Actual Cost]]</f>
        <v>0</v>
      </c>
      <c r="G20" t="s">
        <v>23</v>
      </c>
      <c r="H20" s="3"/>
      <c r="I20" s="3"/>
      <c r="J20" s="3">
        <f>Entertainment26385062741587111[[#This Row],[Projected Cost]]-Entertainment26385062741587111[[#This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Housing25374961731486110[[#This Row],[Projected Cost]]-Housing25374961731486110[[#This Row],[Actual Cost]]</f>
        <v>0</v>
      </c>
      <c r="G21" t="s">
        <v>23</v>
      </c>
      <c r="H21" s="3"/>
      <c r="I21" s="3"/>
      <c r="J21" s="3">
        <f>Entertainment26385062741587111[[#This Row],[Projected Cost]]-Entertainment26385062741587111[[#This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Housing25374961731486110[[#This Row],[Projected Cost]]-Housing25374961731486110[[#This Row],[Actual Cost]]</f>
        <v>0</v>
      </c>
      <c r="G22" t="s">
        <v>66</v>
      </c>
      <c r="H22" s="3"/>
      <c r="I22" s="3"/>
      <c r="J22" s="3">
        <f>SUBTOTAL(109,Entertainment26385062741587111[Difference])</f>
        <v>0</v>
      </c>
    </row>
    <row r="23" spans="1:10" x14ac:dyDescent="0.3">
      <c r="B23" s="8" t="s">
        <v>66</v>
      </c>
      <c r="C23" s="9">
        <f>SUBTOTAL(109,Housing25374961731486110[Projected Cost])</f>
        <v>24000</v>
      </c>
      <c r="D23" s="9">
        <f>SUBTOTAL(109,Housing25374961731486110[Actual Cost])</f>
        <v>24000</v>
      </c>
      <c r="E23" s="9">
        <f>SUBTOTAL(109,Housing25374961731486110[Difference])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Loans27395163751688112[[#This Row],[Projected Cost]]-Loans27395163751688112[[#This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Transportation28405264761789113[[#This Row],[Projected Cost]]-Transportation28405264761789113[[#This Row],[Actual Cost]]</f>
        <v>0</v>
      </c>
      <c r="G26" t="s">
        <v>95</v>
      </c>
      <c r="H26" s="3">
        <v>21463</v>
      </c>
      <c r="I26" s="3">
        <v>21463</v>
      </c>
      <c r="J26" s="3">
        <f>Loans27395163751688112[[#This Row],[Projected Cost]]-Loans27395163751688112[[#This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Loans27395163751688112[[#This Row],[Projected Cost]]-Loans27395163751688112[[#This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Transportation28405264761789113[[#This Row],[Projected Cost]]-Transportation28405264761789113[[#This Row],[Actual Cost]]</f>
        <v>0</v>
      </c>
      <c r="G28" t="s">
        <v>89</v>
      </c>
      <c r="H28" s="3">
        <v>0</v>
      </c>
      <c r="I28" s="3">
        <v>0</v>
      </c>
      <c r="J28" s="3">
        <f>Loans27395163751688112[[#This Row],[Projected Cost]]-Loans27395163751688112[[#This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Transportation28405264761789113[[#This Row],[Projected Cost]]-Transportation28405264761789113[[#This Row],[Actual Cost]]</f>
        <v>0</v>
      </c>
      <c r="G29" t="s">
        <v>87</v>
      </c>
      <c r="H29" s="3">
        <v>0</v>
      </c>
      <c r="I29" s="3">
        <v>0</v>
      </c>
      <c r="J29" s="3">
        <f>Loans27395163751688112[[#This Row],[Projected Cost]]-Loans27395163751688112[[#This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Transportation28405264761789113[[#This Row],[Projected Cost]]-Transportation28405264761789113[[#This Row],[Actual Cost]]</f>
        <v>0</v>
      </c>
      <c r="G30" t="s">
        <v>103</v>
      </c>
      <c r="H30" s="3">
        <v>0</v>
      </c>
      <c r="I30" s="3">
        <v>0</v>
      </c>
      <c r="J30" s="3">
        <f>Loans27395163751688112[[#This Row],[Projected Cost]]-Loans27395163751688112[[#This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Transportation28405264761789113[[#This Row],[Projected Cost]]-Transportation28405264761789113[[#This Row],[Actual Cost]]</f>
        <v>0</v>
      </c>
      <c r="G31" t="s">
        <v>104</v>
      </c>
      <c r="H31" s="3">
        <v>0</v>
      </c>
      <c r="I31" s="3">
        <v>0</v>
      </c>
      <c r="J31" s="3">
        <f>Loans27395163751688112[[#This Row],[Projected Cost]]-Loans27395163751688112[[#This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Transportation28405264761789113[[#This Row],[Projected Cost]]-Transportation28405264761789113[[#This Row],[Actual Cost]]</f>
        <v>0</v>
      </c>
      <c r="G32" t="s">
        <v>100</v>
      </c>
      <c r="H32" s="3">
        <v>0</v>
      </c>
      <c r="I32" s="3">
        <v>0</v>
      </c>
      <c r="J32" s="3">
        <f>Loans27395163751688112[[#This Row],[Projected Cost]]-Loans27395163751688112[[#This Row],[Actual Cost]]</f>
        <v>0</v>
      </c>
    </row>
    <row r="33" spans="1:10" x14ac:dyDescent="0.3">
      <c r="B33" t="s">
        <v>66</v>
      </c>
      <c r="C33" s="3">
        <f>SUBTOTAL(109,Transportation28405264761789113[Projected Cost])</f>
        <v>5300</v>
      </c>
      <c r="D33" s="3">
        <f>SUBTOTAL(109,Transportation28405264761789113[Actual Cost])</f>
        <v>5300</v>
      </c>
      <c r="E33" s="3">
        <f>SUBTOTAL(109,Transportation28405264761789113[Difference])</f>
        <v>0</v>
      </c>
      <c r="G33" t="s">
        <v>66</v>
      </c>
      <c r="H33" s="3">
        <f>SUBTOTAL(109,Loans27395163751688112[Projected Cost])</f>
        <v>21463</v>
      </c>
      <c r="I33" s="3">
        <f>SUBTOTAL(109,Loans27395163751688112[Actual Cost])</f>
        <v>21463</v>
      </c>
      <c r="J33" s="3">
        <f>SUBTOTAL(109,Loans27395163751688112[Difference])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Insurance29415365771890114[[#This Row],[Projected Cost]]-Insurance29415365771890114[[#This Row],[Actual Cost]]</f>
        <v>0</v>
      </c>
      <c r="G36" t="s">
        <v>36</v>
      </c>
      <c r="H36" s="3"/>
      <c r="I36" s="3"/>
      <c r="J36" s="3">
        <f>Taxes30425466781991115[[#This Row],[Projected Cost]]-Taxes30425466781991115[[#This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Insurance29415365771890114[[#This Row],[Projected Cost]]-Insurance29415365771890114[[#This Row],[Actual Cost]]</f>
        <v>0</v>
      </c>
      <c r="G37" t="s">
        <v>38</v>
      </c>
      <c r="H37" s="3"/>
      <c r="I37" s="3"/>
      <c r="J37" s="3">
        <f>Taxes30425466781991115[[#This Row],[Projected Cost]]-Taxes30425466781991115[[#This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Insurance29415365771890114[[#This Row],[Projected Cost]]-Insurance29415365771890114[[#This Row],[Actual Cost]]</f>
        <v>0</v>
      </c>
      <c r="G38" t="s">
        <v>40</v>
      </c>
      <c r="H38" s="3"/>
      <c r="I38" s="3"/>
      <c r="J38" s="3">
        <f>Taxes30425466781991115[[#This Row],[Projected Cost]]-Taxes30425466781991115[[#This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Insurance29415365771890114[[#This Row],[Projected Cost]]-Insurance29415365771890114[[#This Row],[Actual Cost]]</f>
        <v>0</v>
      </c>
      <c r="G39" t="s">
        <v>23</v>
      </c>
      <c r="H39" s="3"/>
      <c r="I39" s="3"/>
      <c r="J39" s="3">
        <f>Taxes30425466781991115[[#This Row],[Projected Cost]]-Taxes30425466781991115[[#This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SUBTOTAL(109,Insurance29415365771890114[Difference])</f>
        <v>0</v>
      </c>
      <c r="G40" t="s">
        <v>66</v>
      </c>
      <c r="H40" s="3"/>
      <c r="I40" s="3"/>
      <c r="J40" s="3">
        <f>SUBTOTAL(109,Taxes30425466781991115[Difference])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Food32445668802193117[[#This Row],[Projected Cost]]-Food32445668802193117[[#This Row],[Actual Cost]]</f>
        <v>0</v>
      </c>
      <c r="G43" t="s">
        <v>44</v>
      </c>
      <c r="H43" s="3"/>
      <c r="I43" s="3"/>
      <c r="J43" s="3">
        <f>Savings31435567792092116[[#This Row],[Projected Cost]]-Savings31435567792092116[[#This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Food32445668802193117[[#This Row],[Projected Cost]]-Food32445668802193117[[#This Row],[Actual Cost]]</f>
        <v>0</v>
      </c>
      <c r="G44" t="s">
        <v>46</v>
      </c>
      <c r="H44" s="3"/>
      <c r="I44" s="3"/>
      <c r="J44" s="3">
        <f>Savings31435567792092116[[#This Row],[Projected Cost]]-Savings31435567792092116[[#This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Food32445668802193117[[#This Row],[Projected Cost]]-Food32445668802193117[[#This Row],[Actual Cost]]</f>
        <v>0</v>
      </c>
      <c r="G45" t="s">
        <v>91</v>
      </c>
      <c r="H45" s="3">
        <v>5000</v>
      </c>
      <c r="I45" s="3">
        <v>5000</v>
      </c>
      <c r="J45" s="3">
        <f>Savings31435567792092116[[#This Row],[Projected Cost]]-Savings31435567792092116[[#This Row],[Actual Cost]]</f>
        <v>0</v>
      </c>
    </row>
    <row r="46" spans="1:10" x14ac:dyDescent="0.3">
      <c r="B46" t="s">
        <v>66</v>
      </c>
      <c r="C46" s="3">
        <f>SUBTOTAL(109,Food32445668802193117[Projected Cost])</f>
        <v>4000</v>
      </c>
      <c r="D46" s="3">
        <f>SUBTOTAL(109,Food32445668802193117[Actual Cost])</f>
        <v>4000</v>
      </c>
      <c r="E46" s="3">
        <f>SUBTOTAL(109,Food32445668802193117[Difference])</f>
        <v>0</v>
      </c>
      <c r="G46" t="s">
        <v>66</v>
      </c>
      <c r="H46" s="3">
        <f>SUBTOTAL(109,Savings31435567792092116[Projected Cost])</f>
        <v>5000</v>
      </c>
      <c r="I46" s="3">
        <f>SUBTOTAL(109,Savings31435567792092116[Actual Cost])</f>
        <v>5000</v>
      </c>
      <c r="J46" s="3">
        <f>SUBTOTAL(109,Savings31435567792092116[Difference])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Pets34465870822395119[[#This Row],[Projected Cost]]-Pets34465870822395119[[#This Row],[Actual Cost]]</f>
        <v>0</v>
      </c>
      <c r="G49" t="s">
        <v>49</v>
      </c>
      <c r="H49" s="3"/>
      <c r="I49" s="3"/>
      <c r="J49" s="3">
        <f>Gifts33455769812294118[[#This Row],[Projected Cost]]-Gifts33455769812294118[[#This Row],[Actual Cost]]</f>
        <v>0</v>
      </c>
    </row>
    <row r="50" spans="1:10" x14ac:dyDescent="0.3">
      <c r="B50" t="s">
        <v>54</v>
      </c>
      <c r="C50" s="3"/>
      <c r="D50" s="3"/>
      <c r="E50" s="3">
        <f>Pets34465870822395119[[#This Row],[Projected Cost]]-Pets34465870822395119[[#This Row],[Actual Cost]]</f>
        <v>0</v>
      </c>
      <c r="G50" t="s">
        <v>51</v>
      </c>
      <c r="H50" s="3"/>
      <c r="I50" s="3"/>
      <c r="J50" s="3">
        <f>Gifts33455769812294118[[#This Row],[Projected Cost]]-Gifts33455769812294118[[#This Row],[Actual Cost]]</f>
        <v>0</v>
      </c>
    </row>
    <row r="51" spans="1:10" x14ac:dyDescent="0.3">
      <c r="B51" t="s">
        <v>55</v>
      </c>
      <c r="C51" s="3"/>
      <c r="D51" s="3"/>
      <c r="E51" s="3">
        <f>Pets34465870822395119[[#This Row],[Projected Cost]]-Pets34465870822395119[[#This Row],[Actual Cost]]</f>
        <v>0</v>
      </c>
      <c r="G51" t="s">
        <v>53</v>
      </c>
      <c r="H51" s="3"/>
      <c r="I51" s="3"/>
      <c r="J51" s="3">
        <f>Gifts33455769812294118[[#This Row],[Projected Cost]]-Gifts33455769812294118[[#This Row],[Actual Cost]]</f>
        <v>0</v>
      </c>
    </row>
    <row r="52" spans="1:10" x14ac:dyDescent="0.3">
      <c r="B52" t="s">
        <v>56</v>
      </c>
      <c r="C52" s="3"/>
      <c r="D52" s="3"/>
      <c r="E52" s="3">
        <f>Pets34465870822395119[[#This Row],[Projected Cost]]-Pets34465870822395119[[#This Row],[Actual Cost]]</f>
        <v>0</v>
      </c>
      <c r="G52" t="s">
        <v>66</v>
      </c>
      <c r="H52" s="3"/>
      <c r="I52" s="3"/>
      <c r="J52" s="3">
        <f>SUBTOTAL(109,Gifts33455769812294118[Difference])</f>
        <v>0</v>
      </c>
    </row>
    <row r="53" spans="1:10" x14ac:dyDescent="0.3">
      <c r="B53" t="s">
        <v>23</v>
      </c>
      <c r="C53" s="3"/>
      <c r="D53" s="3"/>
      <c r="E53" s="3">
        <f>Pets34465870822395119[[#This Row],[Projected Cost]]-Pets34465870822395119[[#This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SUBTOTAL(109,Pets34465870822395119[Difference])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0</v>
      </c>
      <c r="I55" s="3">
        <v>0</v>
      </c>
      <c r="J55" s="3">
        <f>Legal35475971832496120[[#This Row],[Projected Cost]]-Legal35475971832496120[[#This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Legal35475971832496120[[#This Row],[Projected Cost]]-Legal35475971832496120[[#This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PersonalCare36486072848597121[[#This Row],[z]]-PersonalCare36486072848597121[[#This Row],[Actual Cost]]</f>
        <v>0</v>
      </c>
      <c r="G57" t="s">
        <v>109</v>
      </c>
      <c r="H57" s="3">
        <v>0</v>
      </c>
      <c r="I57" s="3">
        <v>0</v>
      </c>
      <c r="J57" s="3">
        <f>Legal35475971832496120[[#This Row],[Projected Cost]]-Legal35475971832496120[[#This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PersonalCare36486072848597121[[#This Row],[z]]-PersonalCare36486072848597121[[#This Row],[Actual Cost]]</f>
        <v>0</v>
      </c>
      <c r="G58" t="s">
        <v>120</v>
      </c>
      <c r="H58" s="3">
        <v>0</v>
      </c>
      <c r="I58" s="3">
        <v>0</v>
      </c>
      <c r="J58" s="3">
        <f>Legal35475971832496120[[#This Row],[Projected Cost]]-Legal35475971832496120[[#This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PersonalCare36486072848597121[[#This Row],[z]]-PersonalCare36486072848597121[[#This Row],[Actual Cost]]</f>
        <v>0</v>
      </c>
      <c r="G59" t="s">
        <v>113</v>
      </c>
      <c r="H59" s="3">
        <v>0</v>
      </c>
      <c r="I59" s="3">
        <v>0</v>
      </c>
      <c r="J59" s="3">
        <f>Legal35475971832496120[[#This Row],[Projected Cost]]-Legal35475971832496120[[#This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PersonalCare36486072848597121[[#This Row],[z]]-PersonalCare36486072848597121[[#This Row],[Actual Cost]]</f>
        <v>0</v>
      </c>
      <c r="G60" t="s">
        <v>128</v>
      </c>
      <c r="H60" s="3">
        <v>0</v>
      </c>
      <c r="I60" s="3">
        <v>0</v>
      </c>
      <c r="J60" s="3">
        <f>Legal35475971832496120[[#This Row],[Projected Cost]]-Legal35475971832496120[[#This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PersonalCare36486072848597121[[#This Row],[z]]-PersonalCare36486072848597121[[#This Row],[Actual Cost]]</f>
        <v>0</v>
      </c>
      <c r="G61" t="s">
        <v>66</v>
      </c>
      <c r="H61" s="3">
        <f>SUBTOTAL(109,Legal35475971832496120[Projected Cost])</f>
        <v>0</v>
      </c>
      <c r="I61" s="3">
        <f>SUBTOTAL(109,Legal35475971832496120[Actual Cost])</f>
        <v>0</v>
      </c>
      <c r="J61" s="3">
        <f>SUBTOTAL(109,Legal35475971832496120[Difference])</f>
        <v>0</v>
      </c>
    </row>
    <row r="62" spans="1:10" x14ac:dyDescent="0.3">
      <c r="B62" s="8" t="s">
        <v>64</v>
      </c>
      <c r="C62" s="9"/>
      <c r="D62" s="9"/>
      <c r="E62" s="9">
        <f>PersonalCare36486072848597121[[#This Row],[z]]-PersonalCare36486072848597121[[#This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PersonalCare36486072848597121[[#This Row],[z]]-PersonalCare36486072848597121[[#This Row],[Actual Cost]]</f>
        <v>0</v>
      </c>
      <c r="G63" s="36" t="s">
        <v>60</v>
      </c>
      <c r="H63" s="36"/>
      <c r="I63" s="36"/>
      <c r="J63" s="37">
        <f>SUBTOTAL(109,Housing25374961731486110[Projected Cost],Transportation28405264761789113[Projected Cost],Insurance29415365771890114[Projected Cost],Food32445668802193117[Projected Cost],Pets34465870822395119[Projected Cost],PersonalCare36486072848597121[z],Entertainment26385062741587111[Projected Cost],Loans27395163751688112[Projected Cost],Taxes30425466781991115[Projected Cost],Savings31435567792092116[Projected Cost],Gifts33455769812294118[Projected Cost],Legal35475971832496120[Projected Cost])</f>
        <v>63803</v>
      </c>
    </row>
    <row r="64" spans="1:10" x14ac:dyDescent="0.3">
      <c r="B64" s="8" t="s">
        <v>66</v>
      </c>
      <c r="C64" s="9"/>
      <c r="D64" s="9"/>
      <c r="E64" s="9">
        <f>SUBTOTAL(109,PersonalCare36486072848597121[Difference])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SUBTOTAL(109,Housing25374961731486110[Actual Cost],Transportation28405264761789113[Actual Cost],Insurance29415365771890114[Actual Cost],Food32445668802193117[Actual Cost],Pets34465870822395119[Actual Cost],PersonalCare36486072848597121[Actual Cost],Entertainment26385062741587111[Actual Cost],Loans27395163751688112[Actual Cost],Taxes30425466781991115[Actual Cost],Savings31435567792092116[Actual Cost],Gifts33455769812294118[Actual Cost],Legal35475971832496120[Actual Cost])</f>
        <v>63803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65:E65"/>
    <mergeCell ref="G65:I66"/>
    <mergeCell ref="J65:J66"/>
    <mergeCell ref="G67:I68"/>
    <mergeCell ref="J67:J68"/>
  </mergeCells>
  <conditionalFormatting sqref="J8:J9">
    <cfRule type="cellIs" dxfId="642" priority="2" operator="lessThan">
      <formula>0</formula>
    </cfRule>
  </conditionalFormatting>
  <conditionalFormatting sqref="J67:J68">
    <cfRule type="cellIs" dxfId="641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0A973-007D-41C3-BF68-E768155D9D23}">
  <sheetPr>
    <tabColor theme="4"/>
    <pageSetUpPr autoPageBreaks="0" fitToPage="1"/>
  </sheetPr>
  <dimension ref="A1:J68"/>
  <sheetViews>
    <sheetView showGridLines="0" topLeftCell="A46" zoomScale="70" zoomScaleNormal="70" workbookViewId="0">
      <selection activeCell="C8" sqref="C8:D8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173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86000</f>
        <v>86000</v>
      </c>
      <c r="G4" s="43" t="s">
        <v>97</v>
      </c>
      <c r="H4" s="44"/>
      <c r="I4" s="44"/>
      <c r="J4" s="37">
        <f>E6-J65</f>
        <v>30322</v>
      </c>
    </row>
    <row r="5" spans="1:10" x14ac:dyDescent="0.3">
      <c r="B5" s="39"/>
      <c r="C5" s="41" t="s">
        <v>111</v>
      </c>
      <c r="D5" s="42"/>
      <c r="E5" s="6">
        <f>24000</f>
        <v>24000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110000</v>
      </c>
      <c r="G6" s="43" t="s">
        <v>96</v>
      </c>
      <c r="H6" s="44"/>
      <c r="I6" s="44"/>
      <c r="J6" s="37">
        <f>E10-J65</f>
        <v>-79678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-110000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Housing25374961731486[[#This Row],[Projected Cost]]-Housing25374961731486[[#This Row],[Actual Cost]]</f>
        <v>0</v>
      </c>
      <c r="G13" t="s">
        <v>11</v>
      </c>
      <c r="H13" s="3"/>
      <c r="I13" s="3"/>
      <c r="J13" s="3">
        <f>Entertainment26385062741587[[#This Row],[Projected Cost]]-Entertainment26385062741587[[#This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Housing25374961731486[[#This Row],[Projected Cost]]-Housing25374961731486[[#This Row],[Actual Cost]]</f>
        <v>0</v>
      </c>
      <c r="G14" t="s">
        <v>13</v>
      </c>
      <c r="H14" s="3"/>
      <c r="I14" s="3"/>
      <c r="J14" s="3">
        <f>Entertainment26385062741587[[#This Row],[Projected Cost]]-Entertainment26385062741587[[#This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Housing25374961731486[[#This Row],[Projected Cost]]-Housing25374961731486[[#This Row],[Actual Cost]]</f>
        <v>0</v>
      </c>
      <c r="G15" t="s">
        <v>15</v>
      </c>
      <c r="H15" s="3"/>
      <c r="I15" s="3"/>
      <c r="J15" s="3">
        <f>Entertainment26385062741587[[#This Row],[Projected Cost]]-Entertainment26385062741587[[#This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Housing25374961731486[[#This Row],[Projected Cost]]-Housing25374961731486[[#This Row],[Actual Cost]]</f>
        <v>0</v>
      </c>
      <c r="G16" t="s">
        <v>17</v>
      </c>
      <c r="H16" s="3"/>
      <c r="I16" s="3"/>
      <c r="J16" s="3">
        <f>Entertainment26385062741587[[#This Row],[Projected Cost]]-Entertainment26385062741587[[#This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Housing25374961731486[[#This Row],[Projected Cost]]-Housing25374961731486[[#This Row],[Actual Cost]]</f>
        <v>0</v>
      </c>
      <c r="G17" t="s">
        <v>19</v>
      </c>
      <c r="H17" s="3"/>
      <c r="I17" s="3"/>
      <c r="J17" s="3">
        <f>Entertainment26385062741587[[#This Row],[Projected Cost]]-Entertainment26385062741587[[#This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Housing25374961731486[[#This Row],[Projected Cost]]-Housing25374961731486[[#This Row],[Actual Cost]]</f>
        <v>0</v>
      </c>
      <c r="G18" t="s">
        <v>21</v>
      </c>
      <c r="H18" s="3"/>
      <c r="I18" s="3"/>
      <c r="J18" s="3">
        <f>Entertainment26385062741587[[#This Row],[Projected Cost]]-Entertainment26385062741587[[#This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Housing25374961731486[[#This Row],[Projected Cost]]-Housing25374961731486[[#This Row],[Actual Cost]]</f>
        <v>0</v>
      </c>
      <c r="G19" t="s">
        <v>23</v>
      </c>
      <c r="H19" s="3"/>
      <c r="I19" s="3"/>
      <c r="J19" s="3">
        <f>Entertainment26385062741587[[#This Row],[Projected Cost]]-Entertainment26385062741587[[#This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Housing25374961731486[[#This Row],[Projected Cost]]-Housing25374961731486[[#This Row],[Actual Cost]]</f>
        <v>0</v>
      </c>
      <c r="G20" t="s">
        <v>23</v>
      </c>
      <c r="H20" s="3"/>
      <c r="I20" s="3"/>
      <c r="J20" s="3">
        <f>Entertainment26385062741587[[#This Row],[Projected Cost]]-Entertainment26385062741587[[#This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Housing25374961731486[[#This Row],[Projected Cost]]-Housing25374961731486[[#This Row],[Actual Cost]]</f>
        <v>0</v>
      </c>
      <c r="G21" t="s">
        <v>23</v>
      </c>
      <c r="H21" s="3"/>
      <c r="I21" s="3"/>
      <c r="J21" s="3">
        <f>Entertainment26385062741587[[#This Row],[Projected Cost]]-Entertainment26385062741587[[#This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Housing25374961731486[[#This Row],[Projected Cost]]-Housing25374961731486[[#This Row],[Actual Cost]]</f>
        <v>0</v>
      </c>
      <c r="G22" t="s">
        <v>66</v>
      </c>
      <c r="H22" s="3"/>
      <c r="I22" s="3"/>
      <c r="J22" s="3">
        <f>SUBTOTAL(109,Entertainment26385062741587[Difference])</f>
        <v>0</v>
      </c>
    </row>
    <row r="23" spans="1:10" x14ac:dyDescent="0.3">
      <c r="B23" s="8" t="s">
        <v>66</v>
      </c>
      <c r="C23" s="9">
        <f>SUBTOTAL(109,Housing25374961731486[Projected Cost])</f>
        <v>24000</v>
      </c>
      <c r="D23" s="9">
        <f>SUBTOTAL(109,Housing25374961731486[Actual Cost])</f>
        <v>24000</v>
      </c>
      <c r="E23" s="9">
        <f>SUBTOTAL(109,Housing25374961731486[Difference])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Loans27395163751688[[#This Row],[Projected Cost]]-Loans27395163751688[[#This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Transportation28405264761789[[#This Row],[Projected Cost]]-Transportation28405264761789[[#This Row],[Actual Cost]]</f>
        <v>0</v>
      </c>
      <c r="G26" t="s">
        <v>95</v>
      </c>
      <c r="H26" s="3">
        <v>21463</v>
      </c>
      <c r="I26" s="3">
        <v>21463</v>
      </c>
      <c r="J26" s="3">
        <f>Loans27395163751688[[#This Row],[Projected Cost]]-Loans27395163751688[[#This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Loans27395163751688[[#This Row],[Projected Cost]]-Loans27395163751688[[#This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Transportation28405264761789[[#This Row],[Projected Cost]]-Transportation28405264761789[[#This Row],[Actual Cost]]</f>
        <v>0</v>
      </c>
      <c r="G28" t="s">
        <v>89</v>
      </c>
      <c r="H28" s="3">
        <v>0</v>
      </c>
      <c r="I28" s="3">
        <v>0</v>
      </c>
      <c r="J28" s="3">
        <f>Loans27395163751688[[#This Row],[Projected Cost]]-Loans27395163751688[[#This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Transportation28405264761789[[#This Row],[Projected Cost]]-Transportation28405264761789[[#This Row],[Actual Cost]]</f>
        <v>0</v>
      </c>
      <c r="G29" t="s">
        <v>87</v>
      </c>
      <c r="H29" s="3">
        <v>5375</v>
      </c>
      <c r="I29" s="3">
        <v>5375</v>
      </c>
      <c r="J29" s="3">
        <f>Loans27395163751688[[#This Row],[Projected Cost]]-Loans27395163751688[[#This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Transportation28405264761789[[#This Row],[Projected Cost]]-Transportation28405264761789[[#This Row],[Actual Cost]]</f>
        <v>0</v>
      </c>
      <c r="G30" t="s">
        <v>103</v>
      </c>
      <c r="H30" s="3">
        <v>10000</v>
      </c>
      <c r="I30" s="3">
        <v>10000</v>
      </c>
      <c r="J30" s="3">
        <f>Loans27395163751688[[#This Row],[Projected Cost]]-Loans27395163751688[[#This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Transportation28405264761789[[#This Row],[Projected Cost]]-Transportation28405264761789[[#This Row],[Actual Cost]]</f>
        <v>0</v>
      </c>
      <c r="G31" t="s">
        <v>104</v>
      </c>
      <c r="H31" s="3">
        <v>0</v>
      </c>
      <c r="I31" s="3">
        <v>0</v>
      </c>
      <c r="J31" s="3">
        <f>Loans27395163751688[[#This Row],[Projected Cost]]-Loans27395163751688[[#This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Transportation28405264761789[[#This Row],[Projected Cost]]-Transportation28405264761789[[#This Row],[Actual Cost]]</f>
        <v>0</v>
      </c>
      <c r="G32" t="s">
        <v>100</v>
      </c>
      <c r="H32" s="3">
        <v>0</v>
      </c>
      <c r="I32" s="3">
        <v>0</v>
      </c>
      <c r="J32" s="3">
        <f>Loans27395163751688[[#This Row],[Projected Cost]]-Loans27395163751688[[#This Row],[Actual Cost]]</f>
        <v>0</v>
      </c>
    </row>
    <row r="33" spans="1:10" x14ac:dyDescent="0.3">
      <c r="B33" t="s">
        <v>66</v>
      </c>
      <c r="C33" s="3">
        <f>SUBTOTAL(109,Transportation28405264761789[Projected Cost])</f>
        <v>5300</v>
      </c>
      <c r="D33" s="3">
        <f>SUBTOTAL(109,Transportation28405264761789[Actual Cost])</f>
        <v>5300</v>
      </c>
      <c r="E33" s="3">
        <f>SUBTOTAL(109,Transportation28405264761789[Difference])</f>
        <v>0</v>
      </c>
      <c r="G33" t="s">
        <v>66</v>
      </c>
      <c r="H33" s="3">
        <f>SUBTOTAL(109,Loans27395163751688[Projected Cost])</f>
        <v>36838</v>
      </c>
      <c r="I33" s="3">
        <f>SUBTOTAL(109,Loans27395163751688[Actual Cost])</f>
        <v>36838</v>
      </c>
      <c r="J33" s="3">
        <f>SUBTOTAL(109,Loans27395163751688[Difference])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Insurance29415365771890[[#This Row],[Projected Cost]]-Insurance29415365771890[[#This Row],[Actual Cost]]</f>
        <v>0</v>
      </c>
      <c r="G36" t="s">
        <v>36</v>
      </c>
      <c r="H36" s="3"/>
      <c r="I36" s="3"/>
      <c r="J36" s="3">
        <f>Taxes30425466781991[[#This Row],[Projected Cost]]-Taxes30425466781991[[#This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Insurance29415365771890[[#This Row],[Projected Cost]]-Insurance29415365771890[[#This Row],[Actual Cost]]</f>
        <v>0</v>
      </c>
      <c r="G37" t="s">
        <v>38</v>
      </c>
      <c r="H37" s="3"/>
      <c r="I37" s="3"/>
      <c r="J37" s="3">
        <f>Taxes30425466781991[[#This Row],[Projected Cost]]-Taxes30425466781991[[#This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Insurance29415365771890[[#This Row],[Projected Cost]]-Insurance29415365771890[[#This Row],[Actual Cost]]</f>
        <v>0</v>
      </c>
      <c r="G38" t="s">
        <v>40</v>
      </c>
      <c r="H38" s="3"/>
      <c r="I38" s="3"/>
      <c r="J38" s="3">
        <f>Taxes30425466781991[[#This Row],[Projected Cost]]-Taxes30425466781991[[#This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Insurance29415365771890[[#This Row],[Projected Cost]]-Insurance29415365771890[[#This Row],[Actual Cost]]</f>
        <v>0</v>
      </c>
      <c r="G39" t="s">
        <v>23</v>
      </c>
      <c r="H39" s="3"/>
      <c r="I39" s="3"/>
      <c r="J39" s="3">
        <f>Taxes30425466781991[[#This Row],[Projected Cost]]-Taxes30425466781991[[#This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SUBTOTAL(109,Insurance29415365771890[Difference])</f>
        <v>0</v>
      </c>
      <c r="G40" t="s">
        <v>66</v>
      </c>
      <c r="H40" s="3"/>
      <c r="I40" s="3"/>
      <c r="J40" s="3">
        <f>SUBTOTAL(109,Taxes30425466781991[Difference])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Food32445668802193[[#This Row],[Projected Cost]]-Food32445668802193[[#This Row],[Actual Cost]]</f>
        <v>0</v>
      </c>
      <c r="G43" t="s">
        <v>44</v>
      </c>
      <c r="H43" s="3"/>
      <c r="I43" s="3"/>
      <c r="J43" s="3">
        <f>Savings31435567792092[[#This Row],[Projected Cost]]-Savings31435567792092[[#This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Food32445668802193[[#This Row],[Projected Cost]]-Food32445668802193[[#This Row],[Actual Cost]]</f>
        <v>0</v>
      </c>
      <c r="G44" t="s">
        <v>46</v>
      </c>
      <c r="H44" s="3"/>
      <c r="I44" s="3"/>
      <c r="J44" s="3">
        <f>Savings31435567792092[[#This Row],[Projected Cost]]-Savings31435567792092[[#This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Food32445668802193[[#This Row],[Projected Cost]]-Food32445668802193[[#This Row],[Actual Cost]]</f>
        <v>0</v>
      </c>
      <c r="G45" t="s">
        <v>91</v>
      </c>
      <c r="H45" s="3">
        <v>3000</v>
      </c>
      <c r="I45" s="3">
        <v>3000</v>
      </c>
      <c r="J45" s="3">
        <f>Savings31435567792092[[#This Row],[Projected Cost]]-Savings31435567792092[[#This Row],[Actual Cost]]</f>
        <v>0</v>
      </c>
    </row>
    <row r="46" spans="1:10" x14ac:dyDescent="0.3">
      <c r="B46" t="s">
        <v>66</v>
      </c>
      <c r="C46" s="3">
        <f>SUBTOTAL(109,Food32445668802193[Projected Cost])</f>
        <v>4000</v>
      </c>
      <c r="D46" s="3">
        <f>SUBTOTAL(109,Food32445668802193[Actual Cost])</f>
        <v>4000</v>
      </c>
      <c r="E46" s="3">
        <f>SUBTOTAL(109,Food32445668802193[Difference])</f>
        <v>0</v>
      </c>
      <c r="G46" t="s">
        <v>66</v>
      </c>
      <c r="H46" s="3">
        <f>SUBTOTAL(109,Savings31435567792092[Projected Cost])</f>
        <v>3000</v>
      </c>
      <c r="I46" s="3">
        <f>SUBTOTAL(109,Savings31435567792092[Actual Cost])</f>
        <v>3000</v>
      </c>
      <c r="J46" s="3">
        <f>SUBTOTAL(109,Savings31435567792092[Difference])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Pets34465870822395[[#This Row],[Projected Cost]]-Pets34465870822395[[#This Row],[Actual Cost]]</f>
        <v>0</v>
      </c>
      <c r="G49" t="s">
        <v>49</v>
      </c>
      <c r="H49" s="3"/>
      <c r="I49" s="3"/>
      <c r="J49" s="3">
        <f>Gifts33455769812294[[#This Row],[Projected Cost]]-Gifts33455769812294[[#This Row],[Actual Cost]]</f>
        <v>0</v>
      </c>
    </row>
    <row r="50" spans="1:10" x14ac:dyDescent="0.3">
      <c r="B50" t="s">
        <v>54</v>
      </c>
      <c r="C50" s="3"/>
      <c r="D50" s="3"/>
      <c r="E50" s="3">
        <f>Pets34465870822395[[#This Row],[Projected Cost]]-Pets34465870822395[[#This Row],[Actual Cost]]</f>
        <v>0</v>
      </c>
      <c r="G50" t="s">
        <v>51</v>
      </c>
      <c r="H50" s="3"/>
      <c r="I50" s="3"/>
      <c r="J50" s="3">
        <f>Gifts33455769812294[[#This Row],[Projected Cost]]-Gifts33455769812294[[#This Row],[Actual Cost]]</f>
        <v>0</v>
      </c>
    </row>
    <row r="51" spans="1:10" x14ac:dyDescent="0.3">
      <c r="B51" t="s">
        <v>55</v>
      </c>
      <c r="C51" s="3"/>
      <c r="D51" s="3"/>
      <c r="E51" s="3">
        <f>Pets34465870822395[[#This Row],[Projected Cost]]-Pets34465870822395[[#This Row],[Actual Cost]]</f>
        <v>0</v>
      </c>
      <c r="G51" t="s">
        <v>53</v>
      </c>
      <c r="H51" s="3"/>
      <c r="I51" s="3"/>
      <c r="J51" s="3">
        <f>Gifts33455769812294[[#This Row],[Projected Cost]]-Gifts33455769812294[[#This Row],[Actual Cost]]</f>
        <v>0</v>
      </c>
    </row>
    <row r="52" spans="1:10" x14ac:dyDescent="0.3">
      <c r="B52" t="s">
        <v>56</v>
      </c>
      <c r="C52" s="3"/>
      <c r="D52" s="3"/>
      <c r="E52" s="3">
        <f>Pets34465870822395[[#This Row],[Projected Cost]]-Pets34465870822395[[#This Row],[Actual Cost]]</f>
        <v>0</v>
      </c>
      <c r="G52" t="s">
        <v>66</v>
      </c>
      <c r="H52" s="3"/>
      <c r="I52" s="3"/>
      <c r="J52" s="3">
        <f>SUBTOTAL(109,Gifts33455769812294[Difference])</f>
        <v>0</v>
      </c>
    </row>
    <row r="53" spans="1:10" x14ac:dyDescent="0.3">
      <c r="B53" t="s">
        <v>23</v>
      </c>
      <c r="C53" s="3"/>
      <c r="D53" s="3"/>
      <c r="E53" s="3">
        <f>Pets34465870822395[[#This Row],[Projected Cost]]-Pets34465870822395[[#This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SUBTOTAL(109,Pets34465870822395[Difference])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2500</v>
      </c>
      <c r="I55" s="3">
        <v>2500</v>
      </c>
      <c r="J55" s="3">
        <f>Legal35475971832496[[#This Row],[Projected Cost]]-Legal35475971832496[[#This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Legal35475971832496[[#This Row],[Projected Cost]]-Legal35475971832496[[#This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PersonalCare36486072848597[[#This Row],[z]]-PersonalCare36486072848597[[#This Row],[Actual Cost]]</f>
        <v>0</v>
      </c>
      <c r="G57" t="s">
        <v>109</v>
      </c>
      <c r="H57" s="3">
        <v>0</v>
      </c>
      <c r="I57" s="3">
        <v>0</v>
      </c>
      <c r="J57" s="3">
        <f>Legal35475971832496[[#This Row],[Projected Cost]]-Legal35475971832496[[#This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PersonalCare36486072848597[[#This Row],[z]]-PersonalCare36486072848597[[#This Row],[Actual Cost]]</f>
        <v>0</v>
      </c>
      <c r="G58" t="s">
        <v>120</v>
      </c>
      <c r="H58" s="3">
        <v>0</v>
      </c>
      <c r="I58" s="3">
        <v>0</v>
      </c>
      <c r="J58" s="3">
        <f>Legal35475971832496[[#This Row],[Projected Cost]]-Legal35475971832496[[#This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PersonalCare36486072848597[[#This Row],[z]]-PersonalCare36486072848597[[#This Row],[Actual Cost]]</f>
        <v>0</v>
      </c>
      <c r="G59" t="s">
        <v>113</v>
      </c>
      <c r="H59" s="3">
        <v>0</v>
      </c>
      <c r="I59" s="3">
        <v>0</v>
      </c>
      <c r="J59" s="3">
        <f>Legal35475971832496[[#This Row],[Projected Cost]]-Legal35475971832496[[#This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PersonalCare36486072848597[[#This Row],[z]]-PersonalCare36486072848597[[#This Row],[Actual Cost]]</f>
        <v>0</v>
      </c>
      <c r="G60" t="s">
        <v>128</v>
      </c>
      <c r="H60" s="3">
        <v>0</v>
      </c>
      <c r="I60" s="3">
        <v>0</v>
      </c>
      <c r="J60" s="3">
        <f>Legal35475971832496[[#This Row],[Projected Cost]]-Legal35475971832496[[#This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PersonalCare36486072848597[[#This Row],[z]]-PersonalCare36486072848597[[#This Row],[Actual Cost]]</f>
        <v>0</v>
      </c>
      <c r="G61" t="s">
        <v>66</v>
      </c>
      <c r="H61" s="3">
        <f>SUBTOTAL(109,Legal35475971832496[Projected Cost])</f>
        <v>2500</v>
      </c>
      <c r="I61" s="3">
        <f>SUBTOTAL(109,Legal35475971832496[Actual Cost])</f>
        <v>2500</v>
      </c>
      <c r="J61" s="3">
        <f>SUBTOTAL(109,Legal35475971832496[Difference])</f>
        <v>0</v>
      </c>
    </row>
    <row r="62" spans="1:10" x14ac:dyDescent="0.3">
      <c r="B62" s="8" t="s">
        <v>64</v>
      </c>
      <c r="C62" s="9"/>
      <c r="D62" s="9"/>
      <c r="E62" s="9">
        <f>PersonalCare36486072848597[[#This Row],[z]]-PersonalCare36486072848597[[#This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PersonalCare36486072848597[[#This Row],[z]]-PersonalCare36486072848597[[#This Row],[Actual Cost]]</f>
        <v>0</v>
      </c>
      <c r="G63" s="36" t="s">
        <v>60</v>
      </c>
      <c r="H63" s="36"/>
      <c r="I63" s="36"/>
      <c r="J63" s="37">
        <f>SUBTOTAL(109,Housing25374961731486[Projected Cost],Transportation28405264761789[Projected Cost],Insurance29415365771890[Projected Cost],Food32445668802193[Projected Cost],Pets34465870822395[Projected Cost],PersonalCare36486072848597[z],Entertainment26385062741587[Projected Cost],Loans27395163751688[Projected Cost],Taxes30425466781991[Projected Cost],Savings31435567792092[Projected Cost],Gifts33455769812294[Projected Cost],Legal35475971832496[Projected Cost])</f>
        <v>79678</v>
      </c>
    </row>
    <row r="64" spans="1:10" x14ac:dyDescent="0.3">
      <c r="B64" s="8" t="s">
        <v>66</v>
      </c>
      <c r="C64" s="9"/>
      <c r="D64" s="9"/>
      <c r="E64" s="9">
        <f>SUBTOTAL(109,PersonalCare36486072848597[Difference])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SUBTOTAL(109,Housing25374961731486[Actual Cost],Transportation28405264761789[Actual Cost],Insurance29415365771890[Actual Cost],Food32445668802193[Actual Cost],Pets34465870822395[Actual Cost],PersonalCare36486072848597[Actual Cost],Entertainment26385062741587[Actual Cost],Loans27395163751688[Actual Cost],Taxes30425466781991[Actual Cost],Savings31435567792092[Actual Cost],Gifts33455769812294[Actual Cost],Legal35475971832496[Actual Cost])</f>
        <v>79678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65:E65"/>
    <mergeCell ref="G65:I66"/>
    <mergeCell ref="J65:J66"/>
    <mergeCell ref="G67:I68"/>
    <mergeCell ref="J67:J68"/>
  </mergeCells>
  <conditionalFormatting sqref="J8:J9">
    <cfRule type="cellIs" dxfId="575" priority="2" operator="lessThan">
      <formula>0</formula>
    </cfRule>
  </conditionalFormatting>
  <conditionalFormatting sqref="J67:J68">
    <cfRule type="cellIs" dxfId="574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EF59-58A6-4CD1-9FA7-ED9565CE2458}">
  <sheetPr>
    <tabColor theme="4"/>
    <pageSetUpPr autoPageBreaks="0" fitToPage="1"/>
  </sheetPr>
  <dimension ref="A1:J68"/>
  <sheetViews>
    <sheetView showGridLines="0" topLeftCell="A43" zoomScale="70" zoomScaleNormal="70" workbookViewId="0">
      <selection activeCell="J58" sqref="J58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172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86000</f>
        <v>86000</v>
      </c>
      <c r="G4" s="43" t="s">
        <v>97</v>
      </c>
      <c r="H4" s="44"/>
      <c r="I4" s="44"/>
      <c r="J4" s="37">
        <f>E6-J65</f>
        <v>30322</v>
      </c>
    </row>
    <row r="5" spans="1:10" x14ac:dyDescent="0.3">
      <c r="B5" s="39"/>
      <c r="C5" s="41" t="s">
        <v>111</v>
      </c>
      <c r="D5" s="42"/>
      <c r="E5" s="6">
        <f>24000</f>
        <v>24000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110000</v>
      </c>
      <c r="G6" s="43" t="s">
        <v>96</v>
      </c>
      <c r="H6" s="44"/>
      <c r="I6" s="44"/>
      <c r="J6" s="37">
        <f>E10-J65</f>
        <v>-79678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-110000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Housing253749617314[[#This Row],[Projected Cost]]-Housing253749617314[[#This Row],[Actual Cost]]</f>
        <v>0</v>
      </c>
      <c r="G13" t="s">
        <v>11</v>
      </c>
      <c r="H13" s="3"/>
      <c r="I13" s="3"/>
      <c r="J13" s="3">
        <f>Entertainment263850627415[[#This Row],[Projected Cost]]-Entertainment263850627415[[#This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Housing253749617314[[#This Row],[Projected Cost]]-Housing253749617314[[#This Row],[Actual Cost]]</f>
        <v>0</v>
      </c>
      <c r="G14" t="s">
        <v>13</v>
      </c>
      <c r="H14" s="3"/>
      <c r="I14" s="3"/>
      <c r="J14" s="3">
        <f>Entertainment263850627415[[#This Row],[Projected Cost]]-Entertainment263850627415[[#This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Housing253749617314[[#This Row],[Projected Cost]]-Housing253749617314[[#This Row],[Actual Cost]]</f>
        <v>0</v>
      </c>
      <c r="G15" t="s">
        <v>15</v>
      </c>
      <c r="H15" s="3"/>
      <c r="I15" s="3"/>
      <c r="J15" s="3">
        <f>Entertainment263850627415[[#This Row],[Projected Cost]]-Entertainment263850627415[[#This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Housing253749617314[[#This Row],[Projected Cost]]-Housing253749617314[[#This Row],[Actual Cost]]</f>
        <v>0</v>
      </c>
      <c r="G16" t="s">
        <v>17</v>
      </c>
      <c r="H16" s="3"/>
      <c r="I16" s="3"/>
      <c r="J16" s="3">
        <f>Entertainment263850627415[[#This Row],[Projected Cost]]-Entertainment263850627415[[#This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Housing253749617314[[#This Row],[Projected Cost]]-Housing253749617314[[#This Row],[Actual Cost]]</f>
        <v>0</v>
      </c>
      <c r="G17" t="s">
        <v>19</v>
      </c>
      <c r="H17" s="3"/>
      <c r="I17" s="3"/>
      <c r="J17" s="3">
        <f>Entertainment263850627415[[#This Row],[Projected Cost]]-Entertainment263850627415[[#This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Housing253749617314[[#This Row],[Projected Cost]]-Housing253749617314[[#This Row],[Actual Cost]]</f>
        <v>0</v>
      </c>
      <c r="G18" t="s">
        <v>21</v>
      </c>
      <c r="H18" s="3"/>
      <c r="I18" s="3"/>
      <c r="J18" s="3">
        <f>Entertainment263850627415[[#This Row],[Projected Cost]]-Entertainment263850627415[[#This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Housing253749617314[[#This Row],[Projected Cost]]-Housing253749617314[[#This Row],[Actual Cost]]</f>
        <v>0</v>
      </c>
      <c r="G19" t="s">
        <v>23</v>
      </c>
      <c r="H19" s="3"/>
      <c r="I19" s="3"/>
      <c r="J19" s="3">
        <f>Entertainment263850627415[[#This Row],[Projected Cost]]-Entertainment263850627415[[#This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Housing253749617314[[#This Row],[Projected Cost]]-Housing253749617314[[#This Row],[Actual Cost]]</f>
        <v>0</v>
      </c>
      <c r="G20" t="s">
        <v>23</v>
      </c>
      <c r="H20" s="3"/>
      <c r="I20" s="3"/>
      <c r="J20" s="3">
        <f>Entertainment263850627415[[#This Row],[Projected Cost]]-Entertainment263850627415[[#This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Housing253749617314[[#This Row],[Projected Cost]]-Housing253749617314[[#This Row],[Actual Cost]]</f>
        <v>0</v>
      </c>
      <c r="G21" t="s">
        <v>23</v>
      </c>
      <c r="H21" s="3"/>
      <c r="I21" s="3"/>
      <c r="J21" s="3">
        <f>Entertainment263850627415[[#This Row],[Projected Cost]]-Entertainment263850627415[[#This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Housing253749617314[[#This Row],[Projected Cost]]-Housing253749617314[[#This Row],[Actual Cost]]</f>
        <v>0</v>
      </c>
      <c r="G22" t="s">
        <v>66</v>
      </c>
      <c r="H22" s="3"/>
      <c r="I22" s="3"/>
      <c r="J22" s="3">
        <f>SUBTOTAL(109,Entertainment263850627415[Difference])</f>
        <v>0</v>
      </c>
    </row>
    <row r="23" spans="1:10" x14ac:dyDescent="0.3">
      <c r="B23" s="8" t="s">
        <v>66</v>
      </c>
      <c r="C23" s="9">
        <f>SUBTOTAL(109,Housing253749617314[Projected Cost])</f>
        <v>24000</v>
      </c>
      <c r="D23" s="9">
        <f>SUBTOTAL(109,Housing253749617314[Actual Cost])</f>
        <v>24000</v>
      </c>
      <c r="E23" s="9">
        <f>SUBTOTAL(109,Housing253749617314[Difference])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Loans273951637516[[#This Row],[Projected Cost]]-Loans273951637516[[#This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Transportation284052647617[[#This Row],[Projected Cost]]-Transportation284052647617[[#This Row],[Actual Cost]]</f>
        <v>0</v>
      </c>
      <c r="G26" t="s">
        <v>95</v>
      </c>
      <c r="H26" s="3">
        <v>21463</v>
      </c>
      <c r="I26" s="3">
        <v>21463</v>
      </c>
      <c r="J26" s="3">
        <f>Loans273951637516[[#This Row],[Projected Cost]]-Loans273951637516[[#This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Loans273951637516[[#This Row],[Projected Cost]]-Loans273951637516[[#This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Transportation284052647617[[#This Row],[Projected Cost]]-Transportation284052647617[[#This Row],[Actual Cost]]</f>
        <v>0</v>
      </c>
      <c r="G28" t="s">
        <v>89</v>
      </c>
      <c r="H28" s="3">
        <v>0</v>
      </c>
      <c r="I28" s="3">
        <v>0</v>
      </c>
      <c r="J28" s="3">
        <f>Loans273951637516[[#This Row],[Projected Cost]]-Loans273951637516[[#This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Transportation284052647617[[#This Row],[Projected Cost]]-Transportation284052647617[[#This Row],[Actual Cost]]</f>
        <v>0</v>
      </c>
      <c r="G29" t="s">
        <v>87</v>
      </c>
      <c r="H29" s="3">
        <v>5375</v>
      </c>
      <c r="I29" s="3">
        <v>5375</v>
      </c>
      <c r="J29" s="3">
        <f>Loans273951637516[[#This Row],[Projected Cost]]-Loans273951637516[[#This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Transportation284052647617[[#This Row],[Projected Cost]]-Transportation284052647617[[#This Row],[Actual Cost]]</f>
        <v>0</v>
      </c>
      <c r="G30" t="s">
        <v>103</v>
      </c>
      <c r="H30" s="3">
        <v>10000</v>
      </c>
      <c r="I30" s="3">
        <v>10000</v>
      </c>
      <c r="J30" s="3">
        <f>Loans273951637516[[#This Row],[Projected Cost]]-Loans273951637516[[#This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Transportation284052647617[[#This Row],[Projected Cost]]-Transportation284052647617[[#This Row],[Actual Cost]]</f>
        <v>0</v>
      </c>
      <c r="G31" t="s">
        <v>104</v>
      </c>
      <c r="H31" s="3">
        <v>0</v>
      </c>
      <c r="I31" s="3">
        <v>0</v>
      </c>
      <c r="J31" s="3">
        <f>Loans273951637516[[#This Row],[Projected Cost]]-Loans273951637516[[#This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Transportation284052647617[[#This Row],[Projected Cost]]-Transportation284052647617[[#This Row],[Actual Cost]]</f>
        <v>0</v>
      </c>
      <c r="G32" t="s">
        <v>100</v>
      </c>
      <c r="H32" s="3">
        <v>0</v>
      </c>
      <c r="I32" s="3">
        <v>0</v>
      </c>
      <c r="J32" s="3">
        <f>Loans273951637516[[#This Row],[Projected Cost]]-Loans273951637516[[#This Row],[Actual Cost]]</f>
        <v>0</v>
      </c>
    </row>
    <row r="33" spans="1:10" x14ac:dyDescent="0.3">
      <c r="B33" t="s">
        <v>66</v>
      </c>
      <c r="C33" s="3">
        <f>SUBTOTAL(109,Transportation284052647617[Projected Cost])</f>
        <v>5300</v>
      </c>
      <c r="D33" s="3">
        <f>SUBTOTAL(109,Transportation284052647617[Actual Cost])</f>
        <v>5300</v>
      </c>
      <c r="E33" s="3">
        <f>SUBTOTAL(109,Transportation284052647617[Difference])</f>
        <v>0</v>
      </c>
      <c r="G33" t="s">
        <v>66</v>
      </c>
      <c r="H33" s="3">
        <f>SUBTOTAL(109,Loans273951637516[Projected Cost])</f>
        <v>36838</v>
      </c>
      <c r="I33" s="3">
        <f>SUBTOTAL(109,Loans273951637516[Actual Cost])</f>
        <v>36838</v>
      </c>
      <c r="J33" s="3">
        <f>SUBTOTAL(109,Loans273951637516[Difference])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Insurance294153657718[[#This Row],[Projected Cost]]-Insurance294153657718[[#This Row],[Actual Cost]]</f>
        <v>0</v>
      </c>
      <c r="G36" t="s">
        <v>36</v>
      </c>
      <c r="H36" s="3"/>
      <c r="I36" s="3"/>
      <c r="J36" s="3">
        <f>Taxes304254667819[[#This Row],[Projected Cost]]-Taxes304254667819[[#This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Insurance294153657718[[#This Row],[Projected Cost]]-Insurance294153657718[[#This Row],[Actual Cost]]</f>
        <v>0</v>
      </c>
      <c r="G37" t="s">
        <v>38</v>
      </c>
      <c r="H37" s="3"/>
      <c r="I37" s="3"/>
      <c r="J37" s="3">
        <f>Taxes304254667819[[#This Row],[Projected Cost]]-Taxes304254667819[[#This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Insurance294153657718[[#This Row],[Projected Cost]]-Insurance294153657718[[#This Row],[Actual Cost]]</f>
        <v>0</v>
      </c>
      <c r="G38" t="s">
        <v>40</v>
      </c>
      <c r="H38" s="3"/>
      <c r="I38" s="3"/>
      <c r="J38" s="3">
        <f>Taxes304254667819[[#This Row],[Projected Cost]]-Taxes304254667819[[#This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Insurance294153657718[[#This Row],[Projected Cost]]-Insurance294153657718[[#This Row],[Actual Cost]]</f>
        <v>0</v>
      </c>
      <c r="G39" t="s">
        <v>23</v>
      </c>
      <c r="H39" s="3"/>
      <c r="I39" s="3"/>
      <c r="J39" s="3">
        <f>Taxes304254667819[[#This Row],[Projected Cost]]-Taxes304254667819[[#This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SUBTOTAL(109,Insurance294153657718[Difference])</f>
        <v>0</v>
      </c>
      <c r="G40" t="s">
        <v>66</v>
      </c>
      <c r="H40" s="3"/>
      <c r="I40" s="3"/>
      <c r="J40" s="3">
        <f>SUBTOTAL(109,Taxes304254667819[Difference])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Food324456688021[[#This Row],[Projected Cost]]-Food324456688021[[#This Row],[Actual Cost]]</f>
        <v>0</v>
      </c>
      <c r="G43" t="s">
        <v>44</v>
      </c>
      <c r="H43" s="3"/>
      <c r="I43" s="3"/>
      <c r="J43" s="3">
        <f>Savings314355677920[[#This Row],[Projected Cost]]-Savings314355677920[[#This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Food324456688021[[#This Row],[Projected Cost]]-Food324456688021[[#This Row],[Actual Cost]]</f>
        <v>0</v>
      </c>
      <c r="G44" t="s">
        <v>46</v>
      </c>
      <c r="H44" s="3"/>
      <c r="I44" s="3"/>
      <c r="J44" s="3">
        <f>Savings314355677920[[#This Row],[Projected Cost]]-Savings314355677920[[#This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Food324456688021[[#This Row],[Projected Cost]]-Food324456688021[[#This Row],[Actual Cost]]</f>
        <v>0</v>
      </c>
      <c r="G45" t="s">
        <v>91</v>
      </c>
      <c r="H45" s="3">
        <v>3000</v>
      </c>
      <c r="I45" s="3">
        <v>3000</v>
      </c>
      <c r="J45" s="3">
        <f>Savings314355677920[[#This Row],[Projected Cost]]-Savings314355677920[[#This Row],[Actual Cost]]</f>
        <v>0</v>
      </c>
    </row>
    <row r="46" spans="1:10" x14ac:dyDescent="0.3">
      <c r="B46" t="s">
        <v>66</v>
      </c>
      <c r="C46" s="3">
        <f>SUBTOTAL(109,Food324456688021[Projected Cost])</f>
        <v>4000</v>
      </c>
      <c r="D46" s="3">
        <f>SUBTOTAL(109,Food324456688021[Actual Cost])</f>
        <v>4000</v>
      </c>
      <c r="E46" s="3">
        <f>SUBTOTAL(109,Food324456688021[Difference])</f>
        <v>0</v>
      </c>
      <c r="G46" t="s">
        <v>66</v>
      </c>
      <c r="H46" s="3">
        <f>SUBTOTAL(109,Savings314355677920[Projected Cost])</f>
        <v>3000</v>
      </c>
      <c r="I46" s="3">
        <f>SUBTOTAL(109,Savings314355677920[Actual Cost])</f>
        <v>3000</v>
      </c>
      <c r="J46" s="3">
        <f>SUBTOTAL(109,Savings314355677920[Difference])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Pets344658708223[[#This Row],[Projected Cost]]-Pets344658708223[[#This Row],[Actual Cost]]</f>
        <v>0</v>
      </c>
      <c r="G49" t="s">
        <v>49</v>
      </c>
      <c r="H49" s="3"/>
      <c r="I49" s="3"/>
      <c r="J49" s="3">
        <f>Gifts334557698122[[#This Row],[Projected Cost]]-Gifts334557698122[[#This Row],[Actual Cost]]</f>
        <v>0</v>
      </c>
    </row>
    <row r="50" spans="1:10" x14ac:dyDescent="0.3">
      <c r="B50" t="s">
        <v>54</v>
      </c>
      <c r="C50" s="3"/>
      <c r="D50" s="3"/>
      <c r="E50" s="3">
        <f>Pets344658708223[[#This Row],[Projected Cost]]-Pets344658708223[[#This Row],[Actual Cost]]</f>
        <v>0</v>
      </c>
      <c r="G50" t="s">
        <v>51</v>
      </c>
      <c r="H50" s="3"/>
      <c r="I50" s="3"/>
      <c r="J50" s="3">
        <f>Gifts334557698122[[#This Row],[Projected Cost]]-Gifts334557698122[[#This Row],[Actual Cost]]</f>
        <v>0</v>
      </c>
    </row>
    <row r="51" spans="1:10" x14ac:dyDescent="0.3">
      <c r="B51" t="s">
        <v>55</v>
      </c>
      <c r="C51" s="3"/>
      <c r="D51" s="3"/>
      <c r="E51" s="3">
        <f>Pets344658708223[[#This Row],[Projected Cost]]-Pets344658708223[[#This Row],[Actual Cost]]</f>
        <v>0</v>
      </c>
      <c r="G51" t="s">
        <v>53</v>
      </c>
      <c r="H51" s="3"/>
      <c r="I51" s="3"/>
      <c r="J51" s="3">
        <f>Gifts334557698122[[#This Row],[Projected Cost]]-Gifts334557698122[[#This Row],[Actual Cost]]</f>
        <v>0</v>
      </c>
    </row>
    <row r="52" spans="1:10" x14ac:dyDescent="0.3">
      <c r="B52" t="s">
        <v>56</v>
      </c>
      <c r="C52" s="3"/>
      <c r="D52" s="3"/>
      <c r="E52" s="3">
        <f>Pets344658708223[[#This Row],[Projected Cost]]-Pets344658708223[[#This Row],[Actual Cost]]</f>
        <v>0</v>
      </c>
      <c r="G52" t="s">
        <v>66</v>
      </c>
      <c r="H52" s="3"/>
      <c r="I52" s="3"/>
      <c r="J52" s="3">
        <f>SUBTOTAL(109,Gifts334557698122[Difference])</f>
        <v>0</v>
      </c>
    </row>
    <row r="53" spans="1:10" x14ac:dyDescent="0.3">
      <c r="B53" t="s">
        <v>23</v>
      </c>
      <c r="C53" s="3"/>
      <c r="D53" s="3"/>
      <c r="E53" s="3">
        <f>Pets344658708223[[#This Row],[Projected Cost]]-Pets344658708223[[#This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SUBTOTAL(109,Pets344658708223[Difference])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2500</v>
      </c>
      <c r="I55" s="3">
        <v>2500</v>
      </c>
      <c r="J55" s="3">
        <f>Legal354759718324[[#This Row],[Projected Cost]]-Legal354759718324[[#This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Legal354759718324[[#This Row],[Projected Cost]]-Legal354759718324[[#This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PersonalCare364860728485[[#This Row],[z]]-PersonalCare364860728485[[#This Row],[Actual Cost]]</f>
        <v>0</v>
      </c>
      <c r="G57" t="s">
        <v>109</v>
      </c>
      <c r="H57" s="3">
        <v>0</v>
      </c>
      <c r="I57" s="3">
        <v>0</v>
      </c>
      <c r="J57" s="3">
        <f>Legal354759718324[[#This Row],[Projected Cost]]-Legal354759718324[[#This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PersonalCare364860728485[[#This Row],[z]]-PersonalCare364860728485[[#This Row],[Actual Cost]]</f>
        <v>0</v>
      </c>
      <c r="G58" t="s">
        <v>120</v>
      </c>
      <c r="H58" s="3">
        <v>0</v>
      </c>
      <c r="I58" s="3">
        <v>0</v>
      </c>
      <c r="J58" s="3">
        <f>Legal354759718324[[#This Row],[Projected Cost]]-Legal354759718324[[#This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PersonalCare364860728485[[#This Row],[z]]-PersonalCare364860728485[[#This Row],[Actual Cost]]</f>
        <v>0</v>
      </c>
      <c r="G59" t="s">
        <v>113</v>
      </c>
      <c r="H59" s="3">
        <v>0</v>
      </c>
      <c r="I59" s="3">
        <v>0</v>
      </c>
      <c r="J59" s="3">
        <f>Legal354759718324[[#This Row],[Projected Cost]]-Legal354759718324[[#This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PersonalCare364860728485[[#This Row],[z]]-PersonalCare364860728485[[#This Row],[Actual Cost]]</f>
        <v>0</v>
      </c>
      <c r="G60" t="s">
        <v>128</v>
      </c>
      <c r="H60" s="3">
        <v>0</v>
      </c>
      <c r="I60" s="3">
        <v>0</v>
      </c>
      <c r="J60" s="3">
        <f>Legal354759718324[[#This Row],[Projected Cost]]-Legal354759718324[[#This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PersonalCare364860728485[[#This Row],[z]]-PersonalCare364860728485[[#This Row],[Actual Cost]]</f>
        <v>0</v>
      </c>
      <c r="G61" t="s">
        <v>66</v>
      </c>
      <c r="H61" s="3">
        <f>SUBTOTAL(109,Legal354759718324[Projected Cost])</f>
        <v>2500</v>
      </c>
      <c r="I61" s="3">
        <f>SUBTOTAL(109,Legal354759718324[Actual Cost])</f>
        <v>2500</v>
      </c>
      <c r="J61" s="3">
        <f>SUBTOTAL(109,Legal354759718324[Difference])</f>
        <v>0</v>
      </c>
    </row>
    <row r="62" spans="1:10" x14ac:dyDescent="0.3">
      <c r="B62" s="8" t="s">
        <v>64</v>
      </c>
      <c r="C62" s="9"/>
      <c r="D62" s="9"/>
      <c r="E62" s="9">
        <f>PersonalCare364860728485[[#This Row],[z]]-PersonalCare364860728485[[#This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PersonalCare364860728485[[#This Row],[z]]-PersonalCare364860728485[[#This Row],[Actual Cost]]</f>
        <v>0</v>
      </c>
      <c r="G63" s="36" t="s">
        <v>60</v>
      </c>
      <c r="H63" s="36"/>
      <c r="I63" s="36"/>
      <c r="J63" s="37">
        <f>SUBTOTAL(109,Housing253749617314[Projected Cost],Transportation284052647617[Projected Cost],Insurance294153657718[Projected Cost],Food324456688021[Projected Cost],Pets344658708223[Projected Cost],PersonalCare364860728485[z],Entertainment263850627415[Projected Cost],Loans273951637516[Projected Cost],Taxes304254667819[Projected Cost],Savings314355677920[Projected Cost],Gifts334557698122[Projected Cost],Legal354759718324[Projected Cost])</f>
        <v>79678</v>
      </c>
    </row>
    <row r="64" spans="1:10" x14ac:dyDescent="0.3">
      <c r="B64" s="8" t="s">
        <v>66</v>
      </c>
      <c r="C64" s="9"/>
      <c r="D64" s="9"/>
      <c r="E64" s="9">
        <f>SUBTOTAL(109,PersonalCare364860728485[Difference])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SUBTOTAL(109,Housing253749617314[Actual Cost],Transportation284052647617[Actual Cost],Insurance294153657718[Actual Cost],Food324456688021[Actual Cost],Pets344658708223[Actual Cost],PersonalCare364860728485[Actual Cost],Entertainment263850627415[Actual Cost],Loans273951637516[Actual Cost],Taxes304254667819[Actual Cost],Savings314355677920[Actual Cost],Gifts334557698122[Actual Cost],Legal354759718324[Actual Cost])</f>
        <v>79678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65:E65"/>
    <mergeCell ref="G65:I66"/>
    <mergeCell ref="J65:J66"/>
    <mergeCell ref="G67:I68"/>
    <mergeCell ref="J67:J68"/>
  </mergeCells>
  <conditionalFormatting sqref="J8:J9">
    <cfRule type="cellIs" dxfId="505" priority="2" operator="lessThan">
      <formula>0</formula>
    </cfRule>
  </conditionalFormatting>
  <conditionalFormatting sqref="J67:J68">
    <cfRule type="cellIs" dxfId="504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83C5-F9F3-4BDA-B433-1ABFD661CD01}">
  <sheetPr>
    <tabColor theme="4"/>
    <pageSetUpPr autoPageBreaks="0" fitToPage="1"/>
  </sheetPr>
  <dimension ref="A1:J68"/>
  <sheetViews>
    <sheetView showGridLines="0" tabSelected="1" topLeftCell="A46" zoomScale="85" zoomScaleNormal="85" workbookViewId="0">
      <selection activeCell="H55" sqref="H55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145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8" t="s">
        <v>0</v>
      </c>
      <c r="C4" s="41" t="s">
        <v>1</v>
      </c>
      <c r="D4" s="42"/>
      <c r="E4" s="5">
        <f>86000</f>
        <v>86000</v>
      </c>
      <c r="G4" s="43" t="s">
        <v>97</v>
      </c>
      <c r="H4" s="44"/>
      <c r="I4" s="44"/>
      <c r="J4" s="37">
        <f>E6-J65</f>
        <v>27622</v>
      </c>
    </row>
    <row r="5" spans="1:10" x14ac:dyDescent="0.3">
      <c r="B5" s="39"/>
      <c r="C5" s="41" t="s">
        <v>111</v>
      </c>
      <c r="D5" s="42"/>
      <c r="E5" s="6">
        <f>24000</f>
        <v>24000</v>
      </c>
      <c r="G5" s="44"/>
      <c r="H5" s="44"/>
      <c r="I5" s="44"/>
      <c r="J5" s="37"/>
    </row>
    <row r="6" spans="1:10" x14ac:dyDescent="0.3">
      <c r="A6" s="13" t="s">
        <v>78</v>
      </c>
      <c r="B6" s="40"/>
      <c r="C6" s="41" t="s">
        <v>3</v>
      </c>
      <c r="D6" s="42"/>
      <c r="E6" s="7">
        <f>SUM(E4:E5)</f>
        <v>110000</v>
      </c>
      <c r="G6" s="43" t="s">
        <v>96</v>
      </c>
      <c r="H6" s="44"/>
      <c r="I6" s="44"/>
      <c r="J6" s="37">
        <f>E10-J65</f>
        <v>-82378</v>
      </c>
    </row>
    <row r="7" spans="1:10" x14ac:dyDescent="0.3">
      <c r="B7" s="4"/>
      <c r="C7" s="4"/>
      <c r="D7" s="4"/>
      <c r="E7" s="4"/>
      <c r="G7" s="44"/>
      <c r="H7" s="44"/>
      <c r="I7" s="44"/>
      <c r="J7" s="37"/>
    </row>
    <row r="8" spans="1:10" x14ac:dyDescent="0.3">
      <c r="A8" s="13" t="s">
        <v>79</v>
      </c>
      <c r="B8" s="38" t="s">
        <v>4</v>
      </c>
      <c r="C8" s="41" t="s">
        <v>1</v>
      </c>
      <c r="D8" s="42"/>
      <c r="E8" s="5">
        <v>0</v>
      </c>
      <c r="G8" s="43" t="s">
        <v>67</v>
      </c>
      <c r="H8" s="44"/>
      <c r="I8" s="44"/>
      <c r="J8" s="37">
        <f>J6-J4</f>
        <v>-110000</v>
      </c>
    </row>
    <row r="9" spans="1:10" x14ac:dyDescent="0.3">
      <c r="B9" s="39"/>
      <c r="C9" s="41" t="s">
        <v>2</v>
      </c>
      <c r="D9" s="42"/>
      <c r="E9" s="6">
        <v>0</v>
      </c>
      <c r="G9" s="44"/>
      <c r="H9" s="44"/>
      <c r="I9" s="44"/>
      <c r="J9" s="37"/>
    </row>
    <row r="10" spans="1:10" x14ac:dyDescent="0.3">
      <c r="B10" s="40"/>
      <c r="C10" s="41" t="s">
        <v>3</v>
      </c>
      <c r="D10" s="42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20100</v>
      </c>
      <c r="D13" s="9">
        <v>20100</v>
      </c>
      <c r="E13" s="9">
        <f>Housing2537496173[[#This Row],[Projected Cost]]-Housing2537496173[[#This Row],[Actual Cost]]</f>
        <v>0</v>
      </c>
      <c r="G13" t="s">
        <v>11</v>
      </c>
      <c r="H13" s="3"/>
      <c r="I13" s="3"/>
      <c r="J13" s="3">
        <f>Entertainment2638506274[[#This Row],[Projected Cost]]-Entertainment2638506274[[#This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Housing2537496173[[#This Row],[Projected Cost]]-Housing2537496173[[#This Row],[Actual Cost]]</f>
        <v>0</v>
      </c>
      <c r="G14" t="s">
        <v>13</v>
      </c>
      <c r="H14" s="3"/>
      <c r="I14" s="3"/>
      <c r="J14" s="3">
        <f>Entertainment2638506274[[#This Row],[Projected Cost]]-Entertainment2638506274[[#This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Housing2537496173[[#This Row],[Projected Cost]]-Housing2537496173[[#This Row],[Actual Cost]]</f>
        <v>0</v>
      </c>
      <c r="G15" t="s">
        <v>15</v>
      </c>
      <c r="H15" s="3"/>
      <c r="I15" s="3"/>
      <c r="J15" s="3">
        <f>Entertainment2638506274[[#This Row],[Projected Cost]]-Entertainment2638506274[[#This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Housing2537496173[[#This Row],[Projected Cost]]-Housing2537496173[[#This Row],[Actual Cost]]</f>
        <v>0</v>
      </c>
      <c r="G16" t="s">
        <v>17</v>
      </c>
      <c r="H16" s="3"/>
      <c r="I16" s="3"/>
      <c r="J16" s="3">
        <f>Entertainment2638506274[[#This Row],[Projected Cost]]-Entertainment2638506274[[#This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Housing2537496173[[#This Row],[Projected Cost]]-Housing2537496173[[#This Row],[Actual Cost]]</f>
        <v>0</v>
      </c>
      <c r="G17" t="s">
        <v>19</v>
      </c>
      <c r="H17" s="3"/>
      <c r="I17" s="3"/>
      <c r="J17" s="3">
        <f>Entertainment2638506274[[#This Row],[Projected Cost]]-Entertainment2638506274[[#This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Housing2537496173[[#This Row],[Projected Cost]]-Housing2537496173[[#This Row],[Actual Cost]]</f>
        <v>0</v>
      </c>
      <c r="G18" t="s">
        <v>21</v>
      </c>
      <c r="H18" s="3"/>
      <c r="I18" s="3"/>
      <c r="J18" s="3">
        <f>Entertainment2638506274[[#This Row],[Projected Cost]]-Entertainment2638506274[[#This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Housing2537496173[[#This Row],[Projected Cost]]-Housing2537496173[[#This Row],[Actual Cost]]</f>
        <v>0</v>
      </c>
      <c r="G19" t="s">
        <v>23</v>
      </c>
      <c r="H19" s="3"/>
      <c r="I19" s="3"/>
      <c r="J19" s="3">
        <f>Entertainment2638506274[[#This Row],[Projected Cost]]-Entertainment2638506274[[#This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Housing2537496173[[#This Row],[Projected Cost]]-Housing2537496173[[#This Row],[Actual Cost]]</f>
        <v>0</v>
      </c>
      <c r="G20" t="s">
        <v>23</v>
      </c>
      <c r="H20" s="3"/>
      <c r="I20" s="3"/>
      <c r="J20" s="3">
        <f>Entertainment2638506274[[#This Row],[Projected Cost]]-Entertainment2638506274[[#This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Housing2537496173[[#This Row],[Projected Cost]]-Housing2537496173[[#This Row],[Actual Cost]]</f>
        <v>0</v>
      </c>
      <c r="G21" t="s">
        <v>23</v>
      </c>
      <c r="H21" s="3"/>
      <c r="I21" s="3"/>
      <c r="J21" s="3">
        <f>Entertainment2638506274[[#This Row],[Projected Cost]]-Entertainment2638506274[[#This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Housing2537496173[[#This Row],[Projected Cost]]-Housing2537496173[[#This Row],[Actual Cost]]</f>
        <v>0</v>
      </c>
      <c r="G22" t="s">
        <v>66</v>
      </c>
      <c r="H22" s="3"/>
      <c r="I22" s="3"/>
      <c r="J22" s="3">
        <f>SUBTOTAL(109,Entertainment2638506274[Difference])</f>
        <v>0</v>
      </c>
    </row>
    <row r="23" spans="1:10" x14ac:dyDescent="0.3">
      <c r="B23" s="8" t="s">
        <v>66</v>
      </c>
      <c r="C23" s="9">
        <f>SUBTOTAL(109,Housing2537496173[Projected Cost])</f>
        <v>24000</v>
      </c>
      <c r="D23" s="9">
        <f>SUBTOTAL(109,Housing2537496173[Actual Cost])</f>
        <v>24000</v>
      </c>
      <c r="E23" s="9">
        <f>SUBTOTAL(109,Housing2537496173[Difference])</f>
        <v>0</v>
      </c>
      <c r="G23" s="35"/>
      <c r="H23" s="35"/>
      <c r="I23" s="35"/>
      <c r="J23" s="35"/>
    </row>
    <row r="24" spans="1:10" x14ac:dyDescent="0.3">
      <c r="B24" s="35"/>
      <c r="C24" s="35"/>
      <c r="D24" s="35"/>
      <c r="E24" s="35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Loans2739516375[[#This Row],[Projected Cost]]-Loans2739516375[[#This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Transportation2840526476[[#This Row],[Projected Cost]]-Transportation2840526476[[#This Row],[Actual Cost]]</f>
        <v>0</v>
      </c>
      <c r="G26" t="s">
        <v>95</v>
      </c>
      <c r="H26" s="3">
        <v>21463</v>
      </c>
      <c r="I26" s="3">
        <v>21463</v>
      </c>
      <c r="J26" s="3">
        <f>Loans2739516375[[#This Row],[Projected Cost]]-Loans2739516375[[#This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Loans2739516375[[#This Row],[Projected Cost]]-Loans2739516375[[#This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Transportation2840526476[[#This Row],[Projected Cost]]-Transportation2840526476[[#This Row],[Actual Cost]]</f>
        <v>0</v>
      </c>
      <c r="G28" t="s">
        <v>89</v>
      </c>
      <c r="H28" s="3">
        <v>0</v>
      </c>
      <c r="I28" s="3">
        <v>0</v>
      </c>
      <c r="J28" s="3">
        <f>Loans2739516375[[#This Row],[Projected Cost]]-Loans2739516375[[#This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Transportation2840526476[[#This Row],[Projected Cost]]-Transportation2840526476[[#This Row],[Actual Cost]]</f>
        <v>0</v>
      </c>
      <c r="G29" t="s">
        <v>87</v>
      </c>
      <c r="H29" s="3">
        <v>5375</v>
      </c>
      <c r="I29" s="3">
        <v>5375</v>
      </c>
      <c r="J29" s="3">
        <f>Loans2739516375[[#This Row],[Projected Cost]]-Loans2739516375[[#This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Transportation2840526476[[#This Row],[Projected Cost]]-Transportation2840526476[[#This Row],[Actual Cost]]</f>
        <v>0</v>
      </c>
      <c r="G30" t="s">
        <v>103</v>
      </c>
      <c r="H30" s="3">
        <v>10000</v>
      </c>
      <c r="I30" s="3">
        <v>10000</v>
      </c>
      <c r="J30" s="3">
        <f>Loans2739516375[[#This Row],[Projected Cost]]-Loans2739516375[[#This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Transportation2840526476[[#This Row],[Projected Cost]]-Transportation2840526476[[#This Row],[Actual Cost]]</f>
        <v>0</v>
      </c>
      <c r="G31" t="s">
        <v>104</v>
      </c>
      <c r="H31" s="3">
        <v>0</v>
      </c>
      <c r="I31" s="3">
        <v>0</v>
      </c>
      <c r="J31" s="3">
        <f>Loans2739516375[[#This Row],[Projected Cost]]-Loans2739516375[[#This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Transportation2840526476[[#This Row],[Projected Cost]]-Transportation2840526476[[#This Row],[Actual Cost]]</f>
        <v>0</v>
      </c>
      <c r="G32" t="s">
        <v>100</v>
      </c>
      <c r="H32" s="3">
        <v>0</v>
      </c>
      <c r="I32" s="3">
        <v>0</v>
      </c>
      <c r="J32" s="3">
        <f>Loans2739516375[[#This Row],[Projected Cost]]-Loans2739516375[[#This Row],[Actual Cost]]</f>
        <v>0</v>
      </c>
    </row>
    <row r="33" spans="1:10" x14ac:dyDescent="0.3">
      <c r="B33" t="s">
        <v>66</v>
      </c>
      <c r="C33" s="3">
        <f>SUBTOTAL(109,Transportation2840526476[Projected Cost])</f>
        <v>5300</v>
      </c>
      <c r="D33" s="3">
        <f>SUBTOTAL(109,Transportation2840526476[Actual Cost])</f>
        <v>5300</v>
      </c>
      <c r="E33" s="3">
        <f>SUBTOTAL(109,Transportation2840526476[Difference])</f>
        <v>0</v>
      </c>
      <c r="G33" t="s">
        <v>66</v>
      </c>
      <c r="H33" s="3">
        <f>SUBTOTAL(109,Loans2739516375[Projected Cost])</f>
        <v>36838</v>
      </c>
      <c r="I33" s="3">
        <f>SUBTOTAL(109,Loans2739516375[Actual Cost])</f>
        <v>36838</v>
      </c>
      <c r="J33" s="3">
        <f>SUBTOTAL(109,Loans2739516375[Difference])</f>
        <v>0</v>
      </c>
    </row>
    <row r="34" spans="1:10" x14ac:dyDescent="0.3">
      <c r="B34" s="35"/>
      <c r="C34" s="35"/>
      <c r="D34" s="35"/>
      <c r="E34" s="35"/>
      <c r="G34" s="35"/>
      <c r="H34" s="35"/>
      <c r="I34" s="35"/>
      <c r="J34" s="35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Insurance2941536577[[#This Row],[Projected Cost]]-Insurance2941536577[[#This Row],[Actual Cost]]</f>
        <v>0</v>
      </c>
      <c r="G36" t="s">
        <v>36</v>
      </c>
      <c r="H36" s="3"/>
      <c r="I36" s="3"/>
      <c r="J36" s="3">
        <f>Taxes3042546678[[#This Row],[Projected Cost]]-Taxes3042546678[[#This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Insurance2941536577[[#This Row],[Projected Cost]]-Insurance2941536577[[#This Row],[Actual Cost]]</f>
        <v>0</v>
      </c>
      <c r="G37" t="s">
        <v>38</v>
      </c>
      <c r="H37" s="3"/>
      <c r="I37" s="3"/>
      <c r="J37" s="3">
        <f>Taxes3042546678[[#This Row],[Projected Cost]]-Taxes3042546678[[#This Row],[Actual Cost]]</f>
        <v>0</v>
      </c>
    </row>
    <row r="38" spans="1:10" x14ac:dyDescent="0.3">
      <c r="B38" t="s">
        <v>42</v>
      </c>
      <c r="C38" s="3">
        <v>2040</v>
      </c>
      <c r="D38" s="3">
        <v>2040</v>
      </c>
      <c r="E38" s="3">
        <f>Insurance2941536577[[#This Row],[Projected Cost]]-Insurance2941536577[[#This Row],[Actual Cost]]</f>
        <v>0</v>
      </c>
      <c r="G38" t="s">
        <v>40</v>
      </c>
      <c r="H38" s="3"/>
      <c r="I38" s="3"/>
      <c r="J38" s="3">
        <f>Taxes3042546678[[#This Row],[Projected Cost]]-Taxes3042546678[[#This Row],[Actual Cost]]</f>
        <v>0</v>
      </c>
    </row>
    <row r="39" spans="1:10" x14ac:dyDescent="0.3">
      <c r="B39" t="s">
        <v>171</v>
      </c>
      <c r="C39" s="3">
        <v>2000</v>
      </c>
      <c r="D39" s="3">
        <v>2000</v>
      </c>
      <c r="E39" s="3">
        <f>Insurance2941536577[[#This Row],[Projected Cost]]-Insurance2941536577[[#This Row],[Actual Cost]]</f>
        <v>0</v>
      </c>
      <c r="G39" t="s">
        <v>23</v>
      </c>
      <c r="H39" s="3"/>
      <c r="I39" s="3"/>
      <c r="J39" s="3">
        <f>Taxes3042546678[[#This Row],[Projected Cost]]-Taxes3042546678[[#This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SUBTOTAL(109,Insurance2941536577[Difference])</f>
        <v>0</v>
      </c>
      <c r="G40" t="s">
        <v>66</v>
      </c>
      <c r="H40" s="3"/>
      <c r="I40" s="3"/>
      <c r="J40" s="3">
        <f>SUBTOTAL(109,Taxes3042546678[Difference])</f>
        <v>0</v>
      </c>
    </row>
    <row r="41" spans="1:10" x14ac:dyDescent="0.3">
      <c r="B41" s="35"/>
      <c r="C41" s="35"/>
      <c r="D41" s="35"/>
      <c r="E41" s="35"/>
      <c r="G41" s="35"/>
      <c r="H41" s="35"/>
      <c r="I41" s="35"/>
      <c r="J41" s="35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1000</v>
      </c>
      <c r="D43" s="3">
        <v>1000</v>
      </c>
      <c r="E43" s="3">
        <f>Food3244566880[[#This Row],[Projected Cost]]-Food3244566880[[#This Row],[Actual Cost]]</f>
        <v>0</v>
      </c>
      <c r="G43" t="s">
        <v>44</v>
      </c>
      <c r="H43" s="3"/>
      <c r="I43" s="3"/>
      <c r="J43" s="3">
        <f>Savings3143556779[[#This Row],[Projected Cost]]-Savings3143556779[[#This Row],[Actual Cost]]</f>
        <v>0</v>
      </c>
    </row>
    <row r="44" spans="1:10" x14ac:dyDescent="0.3">
      <c r="B44" t="s">
        <v>94</v>
      </c>
      <c r="C44" s="3">
        <v>1000</v>
      </c>
      <c r="D44" s="3">
        <v>1000</v>
      </c>
      <c r="E44" s="3">
        <f>Food3244566880[[#This Row],[Projected Cost]]-Food3244566880[[#This Row],[Actual Cost]]</f>
        <v>0</v>
      </c>
      <c r="G44" t="s">
        <v>46</v>
      </c>
      <c r="H44" s="3"/>
      <c r="I44" s="3"/>
      <c r="J44" s="3">
        <f>Savings3143556779[[#This Row],[Projected Cost]]-Savings3143556779[[#This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Food3244566880[[#This Row],[Projected Cost]]-Food3244566880[[#This Row],[Actual Cost]]</f>
        <v>0</v>
      </c>
      <c r="G45" t="s">
        <v>91</v>
      </c>
      <c r="H45" s="3">
        <v>3000</v>
      </c>
      <c r="I45" s="3">
        <v>3000</v>
      </c>
      <c r="J45" s="3">
        <f>Savings3143556779[[#This Row],[Projected Cost]]-Savings3143556779[[#This Row],[Actual Cost]]</f>
        <v>0</v>
      </c>
    </row>
    <row r="46" spans="1:10" x14ac:dyDescent="0.3">
      <c r="B46" t="s">
        <v>66</v>
      </c>
      <c r="C46" s="3">
        <f>SUBTOTAL(109,Food3244566880[Projected Cost])</f>
        <v>4000</v>
      </c>
      <c r="D46" s="3">
        <f>SUBTOTAL(109,Food3244566880[Actual Cost])</f>
        <v>4000</v>
      </c>
      <c r="E46" s="3">
        <f>SUBTOTAL(109,Food3244566880[Difference])</f>
        <v>0</v>
      </c>
      <c r="G46" t="s">
        <v>66</v>
      </c>
      <c r="H46" s="3">
        <f>SUBTOTAL(109,Savings3143556779[Projected Cost])</f>
        <v>3000</v>
      </c>
      <c r="I46" s="3">
        <f>SUBTOTAL(109,Savings3143556779[Actual Cost])</f>
        <v>3000</v>
      </c>
      <c r="J46" s="3">
        <f>SUBTOTAL(109,Savings3143556779[Difference])</f>
        <v>0</v>
      </c>
    </row>
    <row r="47" spans="1:10" x14ac:dyDescent="0.3">
      <c r="B47" s="35"/>
      <c r="C47" s="35"/>
      <c r="D47" s="35"/>
      <c r="E47" s="35"/>
      <c r="G47" s="35"/>
      <c r="H47" s="35"/>
      <c r="I47" s="35"/>
      <c r="J47" s="35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Pets3446587082[[#This Row],[Projected Cost]]-Pets3446587082[[#This Row],[Actual Cost]]</f>
        <v>0</v>
      </c>
      <c r="G49" t="s">
        <v>49</v>
      </c>
      <c r="H49" s="3"/>
      <c r="I49" s="3"/>
      <c r="J49" s="3">
        <f>Gifts3345576981[[#This Row],[Projected Cost]]-Gifts3345576981[[#This Row],[Actual Cost]]</f>
        <v>0</v>
      </c>
    </row>
    <row r="50" spans="1:10" x14ac:dyDescent="0.3">
      <c r="B50" t="s">
        <v>54</v>
      </c>
      <c r="C50" s="3"/>
      <c r="D50" s="3"/>
      <c r="E50" s="3">
        <f>Pets3446587082[[#This Row],[Projected Cost]]-Pets3446587082[[#This Row],[Actual Cost]]</f>
        <v>0</v>
      </c>
      <c r="G50" t="s">
        <v>51</v>
      </c>
      <c r="H50" s="3"/>
      <c r="I50" s="3"/>
      <c r="J50" s="3">
        <f>Gifts3345576981[[#This Row],[Projected Cost]]-Gifts3345576981[[#This Row],[Actual Cost]]</f>
        <v>0</v>
      </c>
    </row>
    <row r="51" spans="1:10" x14ac:dyDescent="0.3">
      <c r="B51" t="s">
        <v>55</v>
      </c>
      <c r="C51" s="3"/>
      <c r="D51" s="3"/>
      <c r="E51" s="3">
        <f>Pets3446587082[[#This Row],[Projected Cost]]-Pets3446587082[[#This Row],[Actual Cost]]</f>
        <v>0</v>
      </c>
      <c r="G51" t="s">
        <v>53</v>
      </c>
      <c r="H51" s="3"/>
      <c r="I51" s="3"/>
      <c r="J51" s="3">
        <f>Gifts3345576981[[#This Row],[Projected Cost]]-Gifts3345576981[[#This Row],[Actual Cost]]</f>
        <v>0</v>
      </c>
    </row>
    <row r="52" spans="1:10" x14ac:dyDescent="0.3">
      <c r="B52" t="s">
        <v>56</v>
      </c>
      <c r="C52" s="3"/>
      <c r="D52" s="3"/>
      <c r="E52" s="3">
        <f>Pets3446587082[[#This Row],[Projected Cost]]-Pets3446587082[[#This Row],[Actual Cost]]</f>
        <v>0</v>
      </c>
      <c r="G52" t="s">
        <v>66</v>
      </c>
      <c r="H52" s="3"/>
      <c r="I52" s="3"/>
      <c r="J52" s="3">
        <f>SUBTOTAL(109,Gifts3345576981[Difference])</f>
        <v>0</v>
      </c>
    </row>
    <row r="53" spans="1:10" x14ac:dyDescent="0.3">
      <c r="B53" t="s">
        <v>23</v>
      </c>
      <c r="C53" s="3"/>
      <c r="D53" s="3"/>
      <c r="E53" s="3">
        <f>Pets3446587082[[#This Row],[Projected Cost]]-Pets3446587082[[#This Row],[Actual Cost]]</f>
        <v>0</v>
      </c>
      <c r="G53" s="35"/>
      <c r="H53" s="35"/>
      <c r="I53" s="35"/>
      <c r="J53" s="35"/>
    </row>
    <row r="54" spans="1:10" x14ac:dyDescent="0.3">
      <c r="B54" t="s">
        <v>66</v>
      </c>
      <c r="C54" s="3"/>
      <c r="D54" s="3"/>
      <c r="E54" s="3">
        <f>SUBTOTAL(109,Pets3446587082[Difference])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35"/>
      <c r="C55" s="35"/>
      <c r="D55" s="35"/>
      <c r="E55" s="35"/>
      <c r="G55" t="s">
        <v>123</v>
      </c>
      <c r="H55" s="3">
        <v>2500</v>
      </c>
      <c r="I55" s="3">
        <v>2500</v>
      </c>
      <c r="J55" s="3">
        <f>Legal3547597183[[#This Row],[Projected Cost]]-Legal3547597183[[#This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Legal3547597183[[#This Row],[Projected Cost]]-Legal3547597183[[#This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PersonalCare3648607284[[#This Row],[z]]-PersonalCare3648607284[[#This Row],[Actual Cost]]</f>
        <v>0</v>
      </c>
      <c r="G57" t="s">
        <v>109</v>
      </c>
      <c r="H57" s="3">
        <v>0</v>
      </c>
      <c r="I57" s="3">
        <v>0</v>
      </c>
      <c r="J57" s="3">
        <f>Legal3547597183[[#This Row],[Projected Cost]]-Legal3547597183[[#This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PersonalCare3648607284[[#This Row],[z]]-PersonalCare3648607284[[#This Row],[Actual Cost]]</f>
        <v>0</v>
      </c>
      <c r="G58" t="s">
        <v>120</v>
      </c>
      <c r="H58" s="3">
        <v>2700</v>
      </c>
      <c r="I58" s="3">
        <v>2700</v>
      </c>
      <c r="J58" s="3">
        <f>Legal3547597183[[#This Row],[Projected Cost]]-Legal3547597183[[#This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PersonalCare3648607284[[#This Row],[z]]-PersonalCare3648607284[[#This Row],[Actual Cost]]</f>
        <v>0</v>
      </c>
      <c r="G59" t="s">
        <v>113</v>
      </c>
      <c r="H59" s="3">
        <v>0</v>
      </c>
      <c r="I59" s="3">
        <v>0</v>
      </c>
      <c r="J59" s="3">
        <f>Legal3547597183[[#This Row],[Projected Cost]]-Legal3547597183[[#This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PersonalCare3648607284[[#This Row],[z]]-PersonalCare3648607284[[#This Row],[Actual Cost]]</f>
        <v>0</v>
      </c>
      <c r="G60" t="s">
        <v>128</v>
      </c>
      <c r="H60" s="3">
        <v>0</v>
      </c>
      <c r="I60" s="3">
        <v>0</v>
      </c>
      <c r="J60" s="3">
        <f>Legal3547597183[[#This Row],[Projected Cost]]-Legal3547597183[[#This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PersonalCare3648607284[[#This Row],[z]]-PersonalCare3648607284[[#This Row],[Actual Cost]]</f>
        <v>0</v>
      </c>
      <c r="G61" t="s">
        <v>66</v>
      </c>
      <c r="H61" s="3">
        <f>SUBTOTAL(109,Legal3547597183[Projected Cost])</f>
        <v>5200</v>
      </c>
      <c r="I61" s="3">
        <f>SUBTOTAL(109,Legal3547597183[Actual Cost])</f>
        <v>5200</v>
      </c>
      <c r="J61" s="3">
        <f>SUBTOTAL(109,Legal3547597183[Difference])</f>
        <v>0</v>
      </c>
    </row>
    <row r="62" spans="1:10" x14ac:dyDescent="0.3">
      <c r="B62" s="8" t="s">
        <v>64</v>
      </c>
      <c r="C62" s="9"/>
      <c r="D62" s="9"/>
      <c r="E62" s="9">
        <f>PersonalCare3648607284[[#This Row],[z]]-PersonalCare3648607284[[#This Row],[Actual Cost]]</f>
        <v>0</v>
      </c>
      <c r="G62" s="35"/>
      <c r="H62" s="35"/>
      <c r="I62" s="35"/>
      <c r="J62" s="35"/>
    </row>
    <row r="63" spans="1:10" x14ac:dyDescent="0.3">
      <c r="B63" s="8" t="s">
        <v>23</v>
      </c>
      <c r="C63" s="9"/>
      <c r="D63" s="9"/>
      <c r="E63" s="9">
        <f>PersonalCare3648607284[[#This Row],[z]]-PersonalCare3648607284[[#This Row],[Actual Cost]]</f>
        <v>0</v>
      </c>
      <c r="G63" s="36" t="s">
        <v>60</v>
      </c>
      <c r="H63" s="36"/>
      <c r="I63" s="36"/>
      <c r="J63" s="37">
        <f>SUBTOTAL(109,Housing2537496173[Projected Cost],Transportation2840526476[Projected Cost],Insurance2941536577[Projected Cost],Food3244566880[Projected Cost],Pets3446587082[Projected Cost],PersonalCare3648607284[z],Entertainment2638506274[Projected Cost],Loans2739516375[Projected Cost],Taxes3042546678[Projected Cost],Savings3143556779[Projected Cost],Gifts3345576981[Projected Cost],Legal3547597183[Projected Cost])</f>
        <v>82378</v>
      </c>
    </row>
    <row r="64" spans="1:10" x14ac:dyDescent="0.3">
      <c r="B64" s="8" t="s">
        <v>66</v>
      </c>
      <c r="C64" s="9"/>
      <c r="D64" s="9"/>
      <c r="E64" s="9">
        <f>SUBTOTAL(109,PersonalCare3648607284[Difference])</f>
        <v>0</v>
      </c>
      <c r="G64" s="36"/>
      <c r="H64" s="36"/>
      <c r="I64" s="36"/>
      <c r="J64" s="37"/>
    </row>
    <row r="65" spans="2:10" x14ac:dyDescent="0.3">
      <c r="B65" s="35"/>
      <c r="C65" s="35"/>
      <c r="D65" s="35"/>
      <c r="E65" s="35"/>
      <c r="G65" s="36" t="s">
        <v>63</v>
      </c>
      <c r="H65" s="36"/>
      <c r="I65" s="36"/>
      <c r="J65" s="37">
        <f>SUBTOTAL(109,Housing2537496173[Actual Cost],Transportation2840526476[Actual Cost],Insurance2941536577[Actual Cost],Food3244566880[Actual Cost],Pets3446587082[Actual Cost],PersonalCare3648607284[Actual Cost],Entertainment2638506274[Actual Cost],Loans2739516375[Actual Cost],Taxes3042546678[Actual Cost],Savings3143556779[Actual Cost],Gifts3345576981[Actual Cost],Legal3547597183[Actual Cost])</f>
        <v>82378</v>
      </c>
    </row>
    <row r="66" spans="2:10" x14ac:dyDescent="0.3">
      <c r="G66" s="36"/>
      <c r="H66" s="36"/>
      <c r="I66" s="36"/>
      <c r="J66" s="37"/>
    </row>
    <row r="67" spans="2:10" x14ac:dyDescent="0.3">
      <c r="G67" s="36" t="s">
        <v>65</v>
      </c>
      <c r="H67" s="36"/>
      <c r="I67" s="36"/>
      <c r="J67" s="37">
        <f>J63-J65</f>
        <v>0</v>
      </c>
    </row>
    <row r="68" spans="2:10" x14ac:dyDescent="0.3">
      <c r="G68" s="36"/>
      <c r="H68" s="36"/>
      <c r="I68" s="36"/>
      <c r="J68" s="37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438" priority="2" operator="lessThan">
      <formula>0</formula>
    </cfRule>
  </conditionalFormatting>
  <conditionalFormatting sqref="J67:J68">
    <cfRule type="cellIs" dxfId="437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B7602-3435-4CB4-90DC-F527DC1F048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B4DE4676-C32B-444D-BC55-FAD6AF00F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74BBE-4C65-41A4-8B89-193EE10AA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START</vt:lpstr>
      <vt:lpstr>debts</vt:lpstr>
      <vt:lpstr>Sep 26 - Oct 26</vt:lpstr>
      <vt:lpstr>Aug 26 - Sep 26</vt:lpstr>
      <vt:lpstr>Jul 26- Aug 26</vt:lpstr>
      <vt:lpstr>Jun 26 - Jul 26</vt:lpstr>
      <vt:lpstr>May 26 - Jun 26</vt:lpstr>
      <vt:lpstr>Apr 26 - May 26</vt:lpstr>
      <vt:lpstr>mar 26 - apr 26</vt:lpstr>
      <vt:lpstr>feb 26 - mar 26</vt:lpstr>
      <vt:lpstr>jan 26 - feb 26</vt:lpstr>
      <vt:lpstr>dec 26 - jan 26.2023</vt:lpstr>
      <vt:lpstr>Sheet1</vt:lpstr>
      <vt:lpstr>nov 26 - dec 26</vt:lpstr>
      <vt:lpstr>oct 26 - nov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2019-07-07T23:05:09Z</dcterms:created>
  <dcterms:modified xsi:type="dcterms:W3CDTF">2023-02-01T04:21:31Z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3c9bec58-8084-492e-8360-0e1cfe36408c_Enabled">
    <vt:lpwstr>true</vt:lpwstr>
  </property>
  <property fmtid="{D5CDD505-2E9C-101B-9397-08002B2CF9AE}" pid="4" name="MSIP_Label_3c9bec58-8084-492e-8360-0e1cfe36408c_SetDate">
    <vt:lpwstr>2022-10-27T11:53:50Z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iteId">
    <vt:lpwstr>f35a6974-607f-47d4-82d7-ff31d7dc53a5</vt:lpwstr>
  </property>
  <property fmtid="{D5CDD505-2E9C-101B-9397-08002B2CF9AE}" pid="8" name="MSIP_Label_3c9bec58-8084-492e-8360-0e1cfe36408c_ActionId">
    <vt:lpwstr>eeb4bc1c-2ec1-4911-9c6d-2e4aee05e116</vt:lpwstr>
  </property>
  <property fmtid="{D5CDD505-2E9C-101B-9397-08002B2CF9AE}" pid="9" name="MSIP_Label_3c9bec58-8084-492e-8360-0e1cfe36408c_ContentBits">
    <vt:lpwstr>0</vt:lpwstr>
  </property>
</Properties>
</file>