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RO\OneDrive\Desktop\"/>
    </mc:Choice>
  </mc:AlternateContent>
  <xr:revisionPtr revIDLastSave="0" documentId="8_{6EB12366-596C-43EC-97A1-216B9D77DA97}" xr6:coauthVersionLast="47" xr6:coauthVersionMax="47" xr10:uidLastSave="{00000000-0000-0000-0000-000000000000}"/>
  <bookViews>
    <workbookView xWindow="-120" yWindow="-120" windowWidth="24240" windowHeight="13020" activeTab="1" xr2:uid="{BF188548-CB3A-45DB-9B3B-5216EA980CEC}"/>
  </bookViews>
  <sheets>
    <sheet name="Analysis" sheetId="5" r:id="rId1"/>
    <sheet name="IS" sheetId="1" r:id="rId2"/>
    <sheet name="BS" sheetId="2" r:id="rId3"/>
    <sheet name="CFS" sheetId="3" r:id="rId4"/>
    <sheet name="Asmpt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C8" i="2"/>
  <c r="B8" i="2"/>
  <c r="C4" i="1" l="1"/>
  <c r="D4" i="1"/>
  <c r="E4" i="1"/>
  <c r="B4" i="1"/>
  <c r="B7" i="1" s="1"/>
  <c r="B9" i="1" s="1"/>
  <c r="B11" i="1" s="1"/>
  <c r="C15" i="5"/>
  <c r="D15" i="5"/>
  <c r="B15" i="5"/>
  <c r="C14" i="5"/>
  <c r="D14" i="5"/>
  <c r="B14" i="5"/>
  <c r="D13" i="5"/>
  <c r="C13" i="5"/>
  <c r="B13" i="5"/>
  <c r="C8" i="5"/>
  <c r="D8" i="5"/>
  <c r="D3" i="5"/>
  <c r="D4" i="5"/>
  <c r="D5" i="5"/>
  <c r="C4" i="5"/>
  <c r="C5" i="5"/>
  <c r="B8" i="5"/>
  <c r="B19" i="3"/>
  <c r="C16" i="3"/>
  <c r="D16" i="3"/>
  <c r="B16" i="3"/>
  <c r="B15" i="3" a="1"/>
  <c r="B15" i="3" s="1"/>
  <c r="C14" i="3"/>
  <c r="D14" i="3"/>
  <c r="B14" i="3"/>
  <c r="C11" i="3"/>
  <c r="D11" i="3"/>
  <c r="B11" i="3"/>
  <c r="C10" i="3"/>
  <c r="D10" i="3"/>
  <c r="B10" i="3"/>
  <c r="C6" i="3"/>
  <c r="D6" i="3"/>
  <c r="C5" i="3"/>
  <c r="D5" i="3"/>
  <c r="C4" i="3"/>
  <c r="D4" i="3"/>
  <c r="B6" i="3"/>
  <c r="B5" i="3"/>
  <c r="B4" i="3"/>
  <c r="C3" i="3"/>
  <c r="D3" i="3"/>
  <c r="B3" i="3"/>
  <c r="E8" i="1"/>
  <c r="D8" i="1"/>
  <c r="C8" i="1"/>
  <c r="D16" i="2"/>
  <c r="E16" i="2"/>
  <c r="D11" i="2"/>
  <c r="E11" i="2"/>
  <c r="D7" i="2"/>
  <c r="E7" i="2" s="1"/>
  <c r="D5" i="2"/>
  <c r="E5" i="2"/>
  <c r="D4" i="2"/>
  <c r="E4" i="2"/>
  <c r="C16" i="2"/>
  <c r="D13" i="2"/>
  <c r="D14" i="2" s="1"/>
  <c r="E13" i="2"/>
  <c r="E14" i="2" s="1"/>
  <c r="C13" i="2"/>
  <c r="C11" i="2"/>
  <c r="C7" i="2"/>
  <c r="C12" i="2"/>
  <c r="C14" i="2" s="1"/>
  <c r="D12" i="2"/>
  <c r="E12" i="2"/>
  <c r="C5" i="2"/>
  <c r="C4" i="2"/>
  <c r="E6" i="1"/>
  <c r="D6" i="1"/>
  <c r="B10" i="1"/>
  <c r="B8" i="1"/>
  <c r="B6" i="1"/>
  <c r="D2" i="1"/>
  <c r="D3" i="1" s="1"/>
  <c r="C10" i="1"/>
  <c r="C7" i="1"/>
  <c r="C9" i="1" s="1"/>
  <c r="C11" i="1" s="1"/>
  <c r="C17" i="2" l="1"/>
  <c r="B10" i="5"/>
  <c r="B22" i="5" s="1"/>
  <c r="B2" i="3"/>
  <c r="B7" i="3" s="1"/>
  <c r="B18" i="3" s="1"/>
  <c r="B20" i="3" s="1"/>
  <c r="C3" i="2" s="1"/>
  <c r="B19" i="5"/>
  <c r="B9" i="5"/>
  <c r="C18" i="2"/>
  <c r="E2" i="1"/>
  <c r="D10" i="1"/>
  <c r="D5" i="1"/>
  <c r="D7" i="1"/>
  <c r="C19" i="2" l="1"/>
  <c r="B18" i="5"/>
  <c r="B26" i="5"/>
  <c r="D9" i="1"/>
  <c r="D11" i="1" s="1"/>
  <c r="C9" i="5"/>
  <c r="C19" i="5"/>
  <c r="C19" i="3"/>
  <c r="C6" i="2"/>
  <c r="E5" i="1"/>
  <c r="E10" i="1"/>
  <c r="E3" i="1"/>
  <c r="E7" i="1"/>
  <c r="C6" i="1"/>
  <c r="B5" i="1"/>
  <c r="B3" i="1"/>
  <c r="C2" i="1"/>
  <c r="C5" i="1" s="1"/>
  <c r="D17" i="2" l="1"/>
  <c r="D18" i="2" s="1"/>
  <c r="C10" i="5"/>
  <c r="C22" i="5" s="1"/>
  <c r="C26" i="5"/>
  <c r="C2" i="3"/>
  <c r="C7" i="3" s="1"/>
  <c r="C18" i="3" s="1"/>
  <c r="C20" i="3" s="1"/>
  <c r="D3" i="2" s="1"/>
  <c r="E9" i="1"/>
  <c r="E11" i="1" s="1"/>
  <c r="D9" i="5"/>
  <c r="D19" i="5"/>
  <c r="B24" i="5"/>
  <c r="B23" i="5"/>
  <c r="B25" i="5" s="1"/>
  <c r="C20" i="2"/>
  <c r="C3" i="1"/>
  <c r="B14" i="2"/>
  <c r="B12" i="2"/>
  <c r="B6" i="2"/>
  <c r="B19" i="2"/>
  <c r="B20" i="2" s="1"/>
  <c r="B18" i="2"/>
  <c r="D6" i="2" l="1"/>
  <c r="D8" i="2" s="1"/>
  <c r="D19" i="3"/>
  <c r="E17" i="2"/>
  <c r="E18" i="2" s="1"/>
  <c r="D2" i="3"/>
  <c r="D7" i="3" s="1"/>
  <c r="D18" i="3" s="1"/>
  <c r="D26" i="5"/>
  <c r="D10" i="5"/>
  <c r="D22" i="5" s="1"/>
  <c r="D19" i="2"/>
  <c r="D20" i="2" s="1"/>
  <c r="C18" i="5"/>
  <c r="E19" i="2" l="1"/>
  <c r="D18" i="5"/>
  <c r="D20" i="3"/>
  <c r="E3" i="2" s="1"/>
  <c r="E6" i="2" s="1"/>
  <c r="E8" i="2" s="1"/>
  <c r="C24" i="5"/>
  <c r="C23" i="5"/>
  <c r="C25" i="5" s="1"/>
  <c r="D24" i="5" l="1"/>
  <c r="D23" i="5"/>
  <c r="D25" i="5" s="1"/>
  <c r="E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<sst xmlns="http://schemas.openxmlformats.org/spreadsheetml/2006/main" count="97" uniqueCount="80">
  <si>
    <t>Year 1</t>
  </si>
  <si>
    <t>Year 2</t>
  </si>
  <si>
    <t>Year 3</t>
  </si>
  <si>
    <t>Income Statement Assumptions</t>
  </si>
  <si>
    <t>Revenue Growth %</t>
  </si>
  <si>
    <t>COGS as a % of Revenue</t>
  </si>
  <si>
    <t>OpEx as a % of Revenue</t>
  </si>
  <si>
    <t>Tax Rate</t>
  </si>
  <si>
    <t>Balance Sheet Assumptions</t>
  </si>
  <si>
    <t>Accounts Receivable Days</t>
  </si>
  <si>
    <t>Inventory Days</t>
  </si>
  <si>
    <t>Accounts Payable Days</t>
  </si>
  <si>
    <t>Capital &amp; Financing Assumptions</t>
  </si>
  <si>
    <t>Capital Expenditures (CapEx)</t>
  </si>
  <si>
    <t>Annual Depreciation % of Beginning PP&amp;E</t>
  </si>
  <si>
    <t>Dividends Paid</t>
  </si>
  <si>
    <t>Interest Rate on Debt</t>
  </si>
  <si>
    <t>ASSETS</t>
  </si>
  <si>
    <t>Cash</t>
  </si>
  <si>
    <t>Accounts Receivable</t>
  </si>
  <si>
    <t>Inventory</t>
  </si>
  <si>
    <t>Total Current Assets</t>
  </si>
  <si>
    <t>Net PP&amp;E</t>
  </si>
  <si>
    <t>TOTAL ASSETS</t>
  </si>
  <si>
    <t>LIABILITIES &amp; EQUITY</t>
  </si>
  <si>
    <t>Accounts Payable</t>
  </si>
  <si>
    <t>Total Current Liabilities</t>
  </si>
  <si>
    <t>Long-Term Debt</t>
  </si>
  <si>
    <t>Total Liabilities</t>
  </si>
  <si>
    <t>Common Stock</t>
  </si>
  <si>
    <t>Retained Earnings</t>
  </si>
  <si>
    <t>Total Equity</t>
  </si>
  <si>
    <t>TOTAL L&amp;E</t>
  </si>
  <si>
    <t>Balance Check</t>
  </si>
  <si>
    <t>Item</t>
  </si>
  <si>
    <t>Year 0</t>
  </si>
  <si>
    <t>Revenue</t>
  </si>
  <si>
    <t>COGS</t>
  </si>
  <si>
    <t>Depreciation</t>
  </si>
  <si>
    <t>Interest Expense</t>
  </si>
  <si>
    <t>Gross Profit</t>
  </si>
  <si>
    <t>Net Income</t>
  </si>
  <si>
    <t>Taxes</t>
  </si>
  <si>
    <t>OpEx</t>
  </si>
  <si>
    <t>Operating Income(EBIT)</t>
  </si>
  <si>
    <t>Earnings Before Tax (EBT)</t>
  </si>
  <si>
    <t>CFO</t>
  </si>
  <si>
    <t>Change in AR</t>
  </si>
  <si>
    <t>Change in Inventory</t>
  </si>
  <si>
    <t>Change in AP</t>
  </si>
  <si>
    <t>Net Cash from Operations</t>
  </si>
  <si>
    <t>Year 0 (H)</t>
  </si>
  <si>
    <t>CFI</t>
  </si>
  <si>
    <t>CapEx</t>
  </si>
  <si>
    <t>Net cash from Investing</t>
  </si>
  <si>
    <t>CFF</t>
  </si>
  <si>
    <t>Change in Debt</t>
  </si>
  <si>
    <t>Net cash from financing</t>
  </si>
  <si>
    <t>Net change in Cash</t>
  </si>
  <si>
    <t>Beginning Cash</t>
  </si>
  <si>
    <t>Ending Cash</t>
  </si>
  <si>
    <t>Revenue Growth</t>
  </si>
  <si>
    <t>EBIT Growth</t>
  </si>
  <si>
    <t>Net Income Growth</t>
  </si>
  <si>
    <t>Gross Margin</t>
  </si>
  <si>
    <t>Operatin Margin</t>
  </si>
  <si>
    <t>Net Profit Margin</t>
  </si>
  <si>
    <t>Horizontal Analysis</t>
  </si>
  <si>
    <t>Vertical Analysis</t>
  </si>
  <si>
    <t>Efficiency Ratios</t>
  </si>
  <si>
    <t>AR Days</t>
  </si>
  <si>
    <t>AP Days</t>
  </si>
  <si>
    <t>Leverage Ratio</t>
  </si>
  <si>
    <t>Debt-to-Equity</t>
  </si>
  <si>
    <t>Debt-to-EBITDA</t>
  </si>
  <si>
    <t>DuPont Analysis</t>
  </si>
  <si>
    <t>Net profit Margin</t>
  </si>
  <si>
    <t>Asset Turnover</t>
  </si>
  <si>
    <t>Financial Leverage</t>
  </si>
  <si>
    <t>Return on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</si>
</sst>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10" fontId="3" fillId="0" borderId="0" xfId="0" applyNumberFormat="1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10" fontId="3" fillId="2" borderId="10" xfId="0" applyNumberFormat="1" applyFont="1" applyFill="1" applyBorder="1"/>
    <xf numFmtId="10" fontId="3" fillId="2" borderId="11" xfId="0" applyNumberFormat="1" applyFont="1" applyFill="1" applyBorder="1"/>
    <xf numFmtId="10" fontId="3" fillId="2" borderId="12" xfId="0" applyNumberFormat="1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44" fontId="3" fillId="2" borderId="10" xfId="1" applyFont="1" applyFill="1" applyBorder="1"/>
    <xf numFmtId="44" fontId="3" fillId="2" borderId="11" xfId="1" applyFont="1" applyFill="1" applyBorder="1"/>
    <xf numFmtId="0" fontId="4" fillId="0" borderId="0" xfId="0" applyFont="1" applyAlignment="1">
      <alignment horizontal="center"/>
    </xf>
    <xf numFmtId="44" fontId="0" fillId="0" borderId="0" xfId="1" applyFont="1"/>
    <xf numFmtId="44" fontId="5" fillId="2" borderId="11" xfId="1" applyFont="1" applyFill="1" applyBorder="1"/>
    <xf numFmtId="44" fontId="0" fillId="2" borderId="12" xfId="1" applyFont="1" applyFill="1" applyBorder="1"/>
    <xf numFmtId="44" fontId="0" fillId="2" borderId="11" xfId="1" applyFont="1" applyFill="1" applyBorder="1"/>
    <xf numFmtId="0" fontId="2" fillId="2" borderId="2" xfId="0" applyFont="1" applyFill="1" applyBorder="1"/>
    <xf numFmtId="44" fontId="2" fillId="2" borderId="2" xfId="1" applyFont="1" applyFill="1" applyBorder="1"/>
    <xf numFmtId="44" fontId="0" fillId="2" borderId="10" xfId="1" applyFont="1" applyFill="1" applyBorder="1"/>
    <xf numFmtId="0" fontId="0" fillId="2" borderId="15" xfId="0" applyFill="1" applyBorder="1"/>
    <xf numFmtId="0" fontId="2" fillId="2" borderId="15" xfId="0" applyFont="1" applyFill="1" applyBorder="1"/>
    <xf numFmtId="44" fontId="0" fillId="2" borderId="11" xfId="0" applyNumberFormat="1" applyFill="1" applyBorder="1"/>
    <xf numFmtId="44" fontId="0" fillId="2" borderId="10" xfId="0" applyNumberFormat="1" applyFill="1" applyBorder="1"/>
    <xf numFmtId="0" fontId="0" fillId="0" borderId="10" xfId="0" applyBorder="1"/>
    <xf numFmtId="44" fontId="0" fillId="2" borderId="2" xfId="0" applyNumberFormat="1" applyFill="1" applyBorder="1"/>
    <xf numFmtId="44" fontId="0" fillId="2" borderId="4" xfId="0" applyNumberFormat="1" applyFill="1" applyBorder="1"/>
    <xf numFmtId="44" fontId="0" fillId="2" borderId="5" xfId="0" applyNumberFormat="1" applyFill="1" applyBorder="1"/>
    <xf numFmtId="44" fontId="0" fillId="2" borderId="13" xfId="0" applyNumberFormat="1" applyFill="1" applyBorder="1"/>
    <xf numFmtId="44" fontId="0" fillId="2" borderId="14" xfId="0" applyNumberFormat="1" applyFill="1" applyBorder="1"/>
    <xf numFmtId="44" fontId="2" fillId="2" borderId="2" xfId="0" applyNumberFormat="1" applyFont="1" applyFill="1" applyBorder="1"/>
    <xf numFmtId="9" fontId="0" fillId="0" borderId="0" xfId="2" applyFont="1"/>
    <xf numFmtId="0" fontId="0" fillId="4" borderId="0" xfId="0" applyFill="1"/>
    <xf numFmtId="0" fontId="0" fillId="3" borderId="3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0" xfId="1" applyNumberFormat="1" applyFont="1" applyFill="1" applyBorder="1"/>
    <xf numFmtId="0" fontId="0" fillId="3" borderId="11" xfId="2" applyNumberFormat="1" applyFont="1" applyFill="1" applyBorder="1"/>
    <xf numFmtId="0" fontId="0" fillId="3" borderId="12" xfId="0" applyFill="1" applyBorder="1"/>
    <xf numFmtId="9" fontId="0" fillId="0" borderId="10" xfId="2" applyFont="1" applyBorder="1"/>
    <xf numFmtId="9" fontId="0" fillId="0" borderId="11" xfId="2" applyFont="1" applyBorder="1"/>
    <xf numFmtId="9" fontId="0" fillId="0" borderId="12" xfId="2" applyFon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9" fontId="0" fillId="0" borderId="4" xfId="2" applyFont="1" applyBorder="1"/>
    <xf numFmtId="9" fontId="0" fillId="0" borderId="5" xfId="2" applyFont="1" applyBorder="1"/>
    <xf numFmtId="0" fontId="0" fillId="0" borderId="8" xfId="0" applyBorder="1"/>
    <xf numFmtId="9" fontId="0" fillId="0" borderId="1" xfId="2" applyFont="1" applyBorder="1"/>
    <xf numFmtId="9" fontId="0" fillId="0" borderId="9" xfId="2" applyFont="1" applyBorder="1"/>
    <xf numFmtId="0" fontId="0" fillId="0" borderId="6" xfId="0" applyBorder="1"/>
    <xf numFmtId="9" fontId="0" fillId="0" borderId="7" xfId="2" applyFont="1" applyBorder="1"/>
    <xf numFmtId="0" fontId="0" fillId="0" borderId="15" xfId="0" applyBorder="1"/>
    <xf numFmtId="9" fontId="0" fillId="0" borderId="14" xfId="2" applyFont="1" applyBorder="1"/>
    <xf numFmtId="0" fontId="2" fillId="3" borderId="2" xfId="0" applyFont="1" applyFill="1" applyBorder="1"/>
    <xf numFmtId="9" fontId="0" fillId="0" borderId="2" xfId="2" applyFont="1" applyBorder="1"/>
  </cellXfs>
  <cellStyles count="3">
    <cellStyle name="Currency" xfId="1" builtinId="4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0C9F-F918-4D9C-AD35-F22EC3C562A8}">
  <dimension ref="A1:D26"/>
  <sheetViews>
    <sheetView workbookViewId="0">
      <pane ySplit="1" topLeftCell="A2" activePane="bottomLeft" state="frozen"/>
      <selection pane="bottomLeft" activeCell="C15" activeCellId="1" sqref="D15 C15"/>
    </sheetView>
  </sheetViews>
  <sheetFormatPr defaultRowHeight="15" x14ac:dyDescent="0.25"/>
  <cols>
    <col min="1" max="1" width="18.5703125" bestFit="1" customWidth="1"/>
    <col min="2" max="2" width="22.5703125" bestFit="1" customWidth="1"/>
    <col min="3" max="4" width="21.5703125" bestFit="1" customWidth="1"/>
  </cols>
  <sheetData>
    <row r="1" spans="1:4" x14ac:dyDescent="0.25">
      <c r="B1" s="39" t="s">
        <v>0</v>
      </c>
      <c r="C1" s="39" t="s">
        <v>1</v>
      </c>
      <c r="D1" s="39" t="s">
        <v>2</v>
      </c>
    </row>
    <row r="2" spans="1:4" x14ac:dyDescent="0.25">
      <c r="A2" s="3" t="s">
        <v>67</v>
      </c>
    </row>
    <row r="3" spans="1:4" x14ac:dyDescent="0.25">
      <c r="A3" s="31" t="s">
        <v>61</v>
      </c>
      <c r="C3" s="46">
        <f>IS!D2/IS!C2</f>
        <v>1.1499999999999999</v>
      </c>
      <c r="D3" s="46">
        <f>IS!E2/IS!D2</f>
        <v>1.1000000000000001</v>
      </c>
    </row>
    <row r="4" spans="1:4" x14ac:dyDescent="0.25">
      <c r="A4" s="49" t="s">
        <v>62</v>
      </c>
      <c r="C4" s="47">
        <f>IS!D3/IS!C3</f>
        <v>1.1335714285714285</v>
      </c>
      <c r="D4" s="47">
        <f>IS!E3/IS!D3</f>
        <v>1.0840579710144929</v>
      </c>
    </row>
    <row r="5" spans="1:4" x14ac:dyDescent="0.25">
      <c r="A5" s="50" t="s">
        <v>63</v>
      </c>
      <c r="C5" s="48">
        <f>IS!D4/IS!C4</f>
        <v>1.1588461538461539</v>
      </c>
      <c r="D5" s="48">
        <f>IS!E4/IS!D4</f>
        <v>1.1083969465648855</v>
      </c>
    </row>
    <row r="6" spans="1:4" x14ac:dyDescent="0.25">
      <c r="C6" s="38"/>
      <c r="D6" s="38"/>
    </row>
    <row r="7" spans="1:4" x14ac:dyDescent="0.25">
      <c r="A7" s="3" t="s">
        <v>68</v>
      </c>
    </row>
    <row r="8" spans="1:4" x14ac:dyDescent="0.25">
      <c r="A8" s="31" t="s">
        <v>64</v>
      </c>
      <c r="B8" s="46">
        <f>IS!C4/IS!C2</f>
        <v>0.65</v>
      </c>
      <c r="C8" s="46">
        <f>IS!D4/IS!D2</f>
        <v>0.65500000000000014</v>
      </c>
      <c r="D8" s="46">
        <f>IS!E4/IS!E2</f>
        <v>0.66</v>
      </c>
    </row>
    <row r="9" spans="1:4" x14ac:dyDescent="0.25">
      <c r="A9" s="49" t="s">
        <v>65</v>
      </c>
      <c r="B9" s="47">
        <f>IS!C7/IS!C2</f>
        <v>0.23499999999999999</v>
      </c>
      <c r="C9" s="47">
        <f>IS!D7/IS!D2</f>
        <v>0.2513478260869566</v>
      </c>
      <c r="D9" s="47">
        <f>IS!E7/IS!E2</f>
        <v>0.26670671936758894</v>
      </c>
    </row>
    <row r="10" spans="1:4" x14ac:dyDescent="0.25">
      <c r="A10" s="50" t="s">
        <v>66</v>
      </c>
      <c r="B10" s="48">
        <f>IS!C11/IS!C2</f>
        <v>0.47833333333333333</v>
      </c>
      <c r="C10" s="48">
        <f>IS!D11/IS!D2</f>
        <v>0.49555072463768124</v>
      </c>
      <c r="D10" s="48">
        <f>IS!E11/IS!E2</f>
        <v>0.51143662714097493</v>
      </c>
    </row>
    <row r="12" spans="1:4" x14ac:dyDescent="0.25">
      <c r="A12" s="61" t="s">
        <v>69</v>
      </c>
    </row>
    <row r="13" spans="1:4" x14ac:dyDescent="0.25">
      <c r="A13" s="40" t="s">
        <v>10</v>
      </c>
      <c r="B13" s="43">
        <f>Asmptn!B10</f>
        <v>15</v>
      </c>
      <c r="C13" s="43">
        <f>Asmptn!C10</f>
        <v>14</v>
      </c>
      <c r="D13" s="43">
        <f>Asmptn!D10</f>
        <v>13</v>
      </c>
    </row>
    <row r="14" spans="1:4" x14ac:dyDescent="0.25">
      <c r="A14" s="41" t="s">
        <v>70</v>
      </c>
      <c r="B14" s="44">
        <f>Asmptn!B9</f>
        <v>5</v>
      </c>
      <c r="C14" s="44">
        <f>Asmptn!C9</f>
        <v>5</v>
      </c>
      <c r="D14" s="44">
        <f>Asmptn!D9</f>
        <v>5</v>
      </c>
    </row>
    <row r="15" spans="1:4" x14ac:dyDescent="0.25">
      <c r="A15" s="42" t="s">
        <v>71</v>
      </c>
      <c r="B15" s="45">
        <f>Asmptn!B11</f>
        <v>25</v>
      </c>
      <c r="C15" s="45">
        <f>Asmptn!C11</f>
        <v>25</v>
      </c>
      <c r="D15" s="45">
        <f>Asmptn!D11</f>
        <v>25</v>
      </c>
    </row>
    <row r="17" spans="1:4" x14ac:dyDescent="0.25">
      <c r="A17" s="3" t="s">
        <v>72</v>
      </c>
    </row>
    <row r="18" spans="1:4" x14ac:dyDescent="0.25">
      <c r="A18" s="51" t="s">
        <v>73</v>
      </c>
      <c r="B18" s="46">
        <f>BS!C13/BS!C18</f>
        <v>0.1411937593487918</v>
      </c>
      <c r="C18" s="52">
        <f>BS!D13/BS!D18</f>
        <v>7.1885217135768023E-2</v>
      </c>
      <c r="D18" s="53">
        <f>BS!E13/BS!E18</f>
        <v>4.6190071961360712E-2</v>
      </c>
    </row>
    <row r="19" spans="1:4" x14ac:dyDescent="0.25">
      <c r="A19" s="54" t="s">
        <v>74</v>
      </c>
      <c r="B19" s="48">
        <f>BS!C13/(IS!C7+IS!C6)</f>
        <v>0.33333333333333331</v>
      </c>
      <c r="C19" s="55">
        <f>BS!D13/(IS!D7+IS!D6)</f>
        <v>0.2734481815695925</v>
      </c>
      <c r="D19" s="56">
        <f>BS!E13/(IS!E7+IS!E6)</f>
        <v>0.23527197440240918</v>
      </c>
    </row>
    <row r="21" spans="1:4" x14ac:dyDescent="0.25">
      <c r="A21" s="3" t="s">
        <v>75</v>
      </c>
    </row>
    <row r="22" spans="1:4" x14ac:dyDescent="0.25">
      <c r="A22" s="51" t="s">
        <v>76</v>
      </c>
      <c r="B22" s="46">
        <f>B10</f>
        <v>0.47833333333333333</v>
      </c>
      <c r="C22" s="46">
        <f t="shared" ref="C22:D22" si="0">C10</f>
        <v>0.49555072463768124</v>
      </c>
      <c r="D22" s="53">
        <f t="shared" si="0"/>
        <v>0.51143662714097493</v>
      </c>
    </row>
    <row r="23" spans="1:4" x14ac:dyDescent="0.25">
      <c r="A23" s="57" t="s">
        <v>77</v>
      </c>
      <c r="B23" s="47">
        <f>IS!C2/((BS!C8+BS!B8)/2)</f>
        <v>2.1981882429618267</v>
      </c>
      <c r="C23" s="47">
        <f>IS!D2/((BS!D8+BS!C8)/2)</f>
        <v>1.1691299312073224</v>
      </c>
      <c r="D23" s="58">
        <f>IS!E2/((BS!E8+BS!D8)/2)</f>
        <v>0.79392593854710614</v>
      </c>
    </row>
    <row r="24" spans="1:4" x14ac:dyDescent="0.25">
      <c r="A24" s="57" t="s">
        <v>78</v>
      </c>
      <c r="B24" s="47">
        <f>((BS!C8+BS!B8)/2)/((BS!C18+BS!B18)/2)</f>
        <v>1.2959252647827557</v>
      </c>
      <c r="C24" s="47">
        <f>((BS!D8+BS!C8)/2)/((BS!D18+BS!C18)/2)</f>
        <v>1.1245034481709733</v>
      </c>
      <c r="D24" s="58">
        <f>((BS!E8+BS!D8)/2)/((BS!E18+BS!D18)/2)</f>
        <v>1.0753528396688601</v>
      </c>
    </row>
    <row r="25" spans="1:4" x14ac:dyDescent="0.25">
      <c r="A25" s="59" t="s">
        <v>79</v>
      </c>
      <c r="B25" s="62">
        <f>B22*B23*B24</f>
        <v>1.3626222739839322</v>
      </c>
      <c r="C25" s="62">
        <f t="shared" ref="C25:D25" si="1">C22*C23*C24</f>
        <v>0.65149589883207837</v>
      </c>
      <c r="D25" s="60">
        <f t="shared" si="1"/>
        <v>0.43663928253461531</v>
      </c>
    </row>
    <row r="26" spans="1:4" x14ac:dyDescent="0.25">
      <c r="A26" s="54" t="s">
        <v>79</v>
      </c>
      <c r="B26" s="48">
        <f>IS!C11/((BS!C18+BS!B18)/2)</f>
        <v>1.3626222739839324</v>
      </c>
      <c r="C26" s="48">
        <f>IS!D11/((BS!D18+BS!C18)/2)</f>
        <v>0.65149589883207837</v>
      </c>
      <c r="D26" s="56">
        <f>IS!E11/((BS!E18+BS!D18)/2)</f>
        <v>0.43663928253461542</v>
      </c>
    </row>
  </sheetData>
  <conditionalFormatting sqref="B25">
    <cfRule type="cellIs" dxfId="3" priority="3" operator="equal">
      <formula>$B$26</formula>
    </cfRule>
  </conditionalFormatting>
  <conditionalFormatting sqref="C25">
    <cfRule type="cellIs" dxfId="2" priority="2" operator="equal">
      <formula>$C$26</formula>
    </cfRule>
  </conditionalFormatting>
  <conditionalFormatting sqref="D25">
    <cfRule type="cellIs" dxfId="1" priority="1" operator="equal">
      <formula>$D$26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B33F-8471-41F3-AEF2-8E03693DC691}">
  <dimension ref="A1:E11"/>
  <sheetViews>
    <sheetView tabSelected="1" workbookViewId="0">
      <selection activeCell="C16" sqref="C16"/>
    </sheetView>
  </sheetViews>
  <sheetFormatPr defaultRowHeight="15" x14ac:dyDescent="0.25"/>
  <cols>
    <col min="1" max="1" width="23.7109375" bestFit="1" customWidth="1"/>
    <col min="2" max="2" width="15.85546875" style="20" bestFit="1" customWidth="1"/>
    <col min="3" max="5" width="15.85546875" bestFit="1" customWidth="1"/>
  </cols>
  <sheetData>
    <row r="1" spans="1:5" x14ac:dyDescent="0.25">
      <c r="B1" s="20" t="s">
        <v>35</v>
      </c>
      <c r="C1" t="s">
        <v>0</v>
      </c>
      <c r="D1" t="s">
        <v>1</v>
      </c>
      <c r="E1" t="s">
        <v>2</v>
      </c>
    </row>
    <row r="2" spans="1:5" x14ac:dyDescent="0.25">
      <c r="A2" s="14" t="s">
        <v>36</v>
      </c>
      <c r="B2" s="17">
        <v>10000000</v>
      </c>
      <c r="C2" s="26">
        <f>B2*(1+Asmptn!B3)</f>
        <v>12000000</v>
      </c>
      <c r="D2" s="26">
        <f>C2*(1+Asmptn!C3)</f>
        <v>13799999.999999998</v>
      </c>
      <c r="E2" s="26">
        <f>D2*(1+Asmptn!D3)</f>
        <v>15180000</v>
      </c>
    </row>
    <row r="3" spans="1:5" x14ac:dyDescent="0.25">
      <c r="A3" s="15" t="s">
        <v>37</v>
      </c>
      <c r="B3" s="23">
        <f>B2*Asmptn!B4</f>
        <v>3500000</v>
      </c>
      <c r="C3" s="23">
        <f>C2*Asmptn!B4</f>
        <v>4200000</v>
      </c>
      <c r="D3" s="23">
        <f>D2*Asmptn!C4</f>
        <v>4760999.9999999991</v>
      </c>
      <c r="E3" s="23">
        <f>E2*Asmptn!D4</f>
        <v>5161200</v>
      </c>
    </row>
    <row r="4" spans="1:5" x14ac:dyDescent="0.25">
      <c r="A4" s="24" t="s">
        <v>40</v>
      </c>
      <c r="B4" s="25">
        <f>B2-B3</f>
        <v>6500000</v>
      </c>
      <c r="C4" s="25">
        <f t="shared" ref="C4:E4" si="0">C2-C3</f>
        <v>7800000</v>
      </c>
      <c r="D4" s="25">
        <f t="shared" si="0"/>
        <v>9039000</v>
      </c>
      <c r="E4" s="25">
        <f t="shared" si="0"/>
        <v>10018800</v>
      </c>
    </row>
    <row r="5" spans="1:5" x14ac:dyDescent="0.25">
      <c r="A5" s="15" t="s">
        <v>43</v>
      </c>
      <c r="B5" s="23">
        <f>B2*Asmptn!B5</f>
        <v>4000000</v>
      </c>
      <c r="C5" s="23">
        <f>C2*Asmptn!B5</f>
        <v>4800000</v>
      </c>
      <c r="D5" s="23">
        <f>D2*Asmptn!C5</f>
        <v>5381999.9999999991</v>
      </c>
      <c r="E5" s="23">
        <f>E2*Asmptn!D5</f>
        <v>5768400</v>
      </c>
    </row>
    <row r="6" spans="1:5" x14ac:dyDescent="0.25">
      <c r="A6" s="15" t="s">
        <v>38</v>
      </c>
      <c r="B6" s="23">
        <f>BS!B7*Asmptn!B15</f>
        <v>180000</v>
      </c>
      <c r="C6" s="23">
        <f>BS!B7*Asmptn!B15</f>
        <v>180000</v>
      </c>
      <c r="D6" s="23">
        <f>BS!C7*Asmptn!C15</f>
        <v>188400</v>
      </c>
      <c r="E6" s="23">
        <f>BS!D7*Asmptn!D15</f>
        <v>201792</v>
      </c>
    </row>
    <row r="7" spans="1:5" x14ac:dyDescent="0.25">
      <c r="A7" s="15" t="s">
        <v>44</v>
      </c>
      <c r="B7" s="23">
        <f>B4-B5-B6</f>
        <v>2320000</v>
      </c>
      <c r="C7" s="23">
        <f>C4-C5-C6</f>
        <v>2820000</v>
      </c>
      <c r="D7" s="23">
        <f t="shared" ref="D7:E7" si="1">D4-D5-D6</f>
        <v>3468600.0000000009</v>
      </c>
      <c r="E7" s="23">
        <f t="shared" si="1"/>
        <v>4048608</v>
      </c>
    </row>
    <row r="8" spans="1:5" x14ac:dyDescent="0.25">
      <c r="A8" s="15" t="s">
        <v>39</v>
      </c>
      <c r="B8" s="23">
        <f>BS!B13*Asmptn!B17</f>
        <v>80000</v>
      </c>
      <c r="C8" s="23">
        <f>BS!B13*Asmptn!B17</f>
        <v>80000</v>
      </c>
      <c r="D8" s="23">
        <f>BS!C13*Asmptn!C17</f>
        <v>80000</v>
      </c>
      <c r="E8" s="23">
        <f>BS!D13*Asmptn!D17</f>
        <v>80000</v>
      </c>
    </row>
    <row r="9" spans="1:5" x14ac:dyDescent="0.25">
      <c r="A9" s="15" t="s">
        <v>45</v>
      </c>
      <c r="B9" s="23">
        <f>B7-B8</f>
        <v>2240000</v>
      </c>
      <c r="C9" s="23">
        <f>C7-C8</f>
        <v>2740000</v>
      </c>
      <c r="D9" s="23">
        <f t="shared" ref="D9:E9" si="2">D7-D8</f>
        <v>3388600.0000000009</v>
      </c>
      <c r="E9" s="23">
        <f t="shared" si="2"/>
        <v>3968608</v>
      </c>
    </row>
    <row r="10" spans="1:5" x14ac:dyDescent="0.25">
      <c r="A10" s="15" t="s">
        <v>42</v>
      </c>
      <c r="B10" s="23">
        <f>IS!B2*Asmptn!B6</f>
        <v>2500000</v>
      </c>
      <c r="C10" s="23">
        <f>IS!C2*Asmptn!B6</f>
        <v>3000000</v>
      </c>
      <c r="D10" s="23">
        <f>IS!D2*Asmptn!C6</f>
        <v>3449999.9999999995</v>
      </c>
      <c r="E10" s="23">
        <f>IS!E2*Asmptn!D6</f>
        <v>3795000</v>
      </c>
    </row>
    <row r="11" spans="1:5" x14ac:dyDescent="0.25">
      <c r="A11" s="24" t="s">
        <v>41</v>
      </c>
      <c r="B11" s="25">
        <f>B9+B10</f>
        <v>4740000</v>
      </c>
      <c r="C11" s="25">
        <f>C9+C10</f>
        <v>5740000</v>
      </c>
      <c r="D11" s="25">
        <f t="shared" ref="D11:E11" si="3">D9+D10</f>
        <v>6838600</v>
      </c>
      <c r="E11" s="25">
        <f t="shared" si="3"/>
        <v>7763608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27F5-3ECD-4774-8A2F-8C170E911D60}">
  <dimension ref="A1:E20"/>
  <sheetViews>
    <sheetView workbookViewId="0">
      <selection activeCell="F11" sqref="F11"/>
    </sheetView>
  </sheetViews>
  <sheetFormatPr defaultRowHeight="15" x14ac:dyDescent="0.25"/>
  <cols>
    <col min="1" max="1" width="22" bestFit="1" customWidth="1"/>
    <col min="2" max="2" width="14.28515625" bestFit="1" customWidth="1"/>
    <col min="3" max="4" width="16.5703125" bestFit="1" customWidth="1"/>
    <col min="5" max="5" width="19.42578125" customWidth="1"/>
  </cols>
  <sheetData>
    <row r="1" spans="1:5" ht="18.75" x14ac:dyDescent="0.3">
      <c r="A1" t="s">
        <v>34</v>
      </c>
      <c r="B1" s="19" t="s">
        <v>51</v>
      </c>
      <c r="C1" s="19" t="s">
        <v>0</v>
      </c>
      <c r="D1" s="19" t="s">
        <v>1</v>
      </c>
      <c r="E1" s="19" t="s">
        <v>2</v>
      </c>
    </row>
    <row r="2" spans="1:5" x14ac:dyDescent="0.25">
      <c r="A2" t="s">
        <v>17</v>
      </c>
    </row>
    <row r="3" spans="1:5" x14ac:dyDescent="0.25">
      <c r="A3" s="14" t="s">
        <v>18</v>
      </c>
      <c r="B3" s="17">
        <v>500000</v>
      </c>
      <c r="C3" s="30">
        <f>CFS!B20</f>
        <v>6463150.9315068498</v>
      </c>
      <c r="D3" s="30">
        <f>CFS!C20</f>
        <v>13183907.09589041</v>
      </c>
      <c r="E3" s="30">
        <f>CFS!D20</f>
        <v>20781604.08219178</v>
      </c>
    </row>
    <row r="4" spans="1:5" x14ac:dyDescent="0.25">
      <c r="A4" s="15" t="s">
        <v>19</v>
      </c>
      <c r="B4" s="18">
        <v>136986</v>
      </c>
      <c r="C4" s="29">
        <f>(Asmptn!B9/365)*IS!C2</f>
        <v>164383.56164383559</v>
      </c>
      <c r="D4" s="29">
        <f>(Asmptn!C9/365)*IS!D2</f>
        <v>189041.09589041091</v>
      </c>
      <c r="E4" s="29">
        <f>(Asmptn!D9/365)*IS!E2</f>
        <v>207945.20547945204</v>
      </c>
    </row>
    <row r="5" spans="1:5" x14ac:dyDescent="0.25">
      <c r="A5" s="15" t="s">
        <v>20</v>
      </c>
      <c r="B5" s="18">
        <v>410959</v>
      </c>
      <c r="C5" s="29">
        <f>(Asmptn!B10/365)*IS!C3</f>
        <v>172602.73972602739</v>
      </c>
      <c r="D5" s="29">
        <f>(Asmptn!C10/365)*IS!D3</f>
        <v>182613.69863013696</v>
      </c>
      <c r="E5" s="29">
        <f>(Asmptn!D10/365)*IS!E3</f>
        <v>183823.56164383562</v>
      </c>
    </row>
    <row r="6" spans="1:5" x14ac:dyDescent="0.25">
      <c r="A6" s="15" t="s">
        <v>21</v>
      </c>
      <c r="B6" s="21">
        <f>SUM(B3:B5)</f>
        <v>1047945</v>
      </c>
      <c r="C6" s="21">
        <f t="shared" ref="C6:E6" si="0">SUM(C3:C5)</f>
        <v>6800137.2328767125</v>
      </c>
      <c r="D6" s="21">
        <f t="shared" si="0"/>
        <v>13555561.890410958</v>
      </c>
      <c r="E6" s="21">
        <f t="shared" si="0"/>
        <v>21173372.849315066</v>
      </c>
    </row>
    <row r="7" spans="1:5" x14ac:dyDescent="0.25">
      <c r="A7" s="15" t="s">
        <v>22</v>
      </c>
      <c r="B7" s="18">
        <v>1500000</v>
      </c>
      <c r="C7" s="29">
        <f>B7+Asmptn!B14-IS!C6</f>
        <v>1570000</v>
      </c>
      <c r="D7" s="29">
        <f>C7+Asmptn!C14-IS!D6</f>
        <v>1681600</v>
      </c>
      <c r="E7" s="29">
        <f>D7+Asmptn!D14-IS!E6</f>
        <v>1829808</v>
      </c>
    </row>
    <row r="8" spans="1:5" x14ac:dyDescent="0.25">
      <c r="A8" s="24" t="s">
        <v>23</v>
      </c>
      <c r="B8" s="25">
        <f>SUM(B6:B7)</f>
        <v>2547945</v>
      </c>
      <c r="C8" s="25">
        <f>SUM(C6:C7)</f>
        <v>8370137.2328767125</v>
      </c>
      <c r="D8" s="25">
        <f t="shared" ref="D8:E8" si="1">SUM(D6:D7)</f>
        <v>15237161.890410958</v>
      </c>
      <c r="E8" s="25">
        <f t="shared" si="1"/>
        <v>23003180.849315066</v>
      </c>
    </row>
    <row r="9" spans="1:5" x14ac:dyDescent="0.25">
      <c r="B9" s="20"/>
    </row>
    <row r="10" spans="1:5" x14ac:dyDescent="0.25">
      <c r="A10" t="s">
        <v>24</v>
      </c>
      <c r="B10" s="20"/>
    </row>
    <row r="11" spans="1:5" x14ac:dyDescent="0.25">
      <c r="A11" s="14" t="s">
        <v>25</v>
      </c>
      <c r="B11" s="17">
        <v>205479</v>
      </c>
      <c r="C11" s="30">
        <f>(Asmptn!B11/365)*IS!C3</f>
        <v>287671.23287671234</v>
      </c>
      <c r="D11" s="30">
        <f>(Asmptn!C11/365)*IS!D3</f>
        <v>326095.89041095885</v>
      </c>
      <c r="E11" s="30">
        <f>(Asmptn!D11/365)*IS!E3</f>
        <v>353506.84931506845</v>
      </c>
    </row>
    <row r="12" spans="1:5" x14ac:dyDescent="0.25">
      <c r="A12" s="15" t="s">
        <v>26</v>
      </c>
      <c r="B12" s="21">
        <f>SUM(B11)</f>
        <v>205479</v>
      </c>
      <c r="C12" s="21">
        <f t="shared" ref="C12:E12" si="2">SUM(C11)</f>
        <v>287671.23287671234</v>
      </c>
      <c r="D12" s="21">
        <f t="shared" si="2"/>
        <v>326095.89041095885</v>
      </c>
      <c r="E12" s="21">
        <f t="shared" si="2"/>
        <v>353506.84931506845</v>
      </c>
    </row>
    <row r="13" spans="1:5" x14ac:dyDescent="0.25">
      <c r="A13" s="15" t="s">
        <v>27</v>
      </c>
      <c r="B13" s="18">
        <v>1000000</v>
      </c>
      <c r="C13" s="29">
        <f>B13</f>
        <v>1000000</v>
      </c>
      <c r="D13" s="29">
        <f t="shared" ref="D13:E13" si="3">C13</f>
        <v>1000000</v>
      </c>
      <c r="E13" s="29">
        <f t="shared" si="3"/>
        <v>1000000</v>
      </c>
    </row>
    <row r="14" spans="1:5" x14ac:dyDescent="0.25">
      <c r="A14" s="16" t="s">
        <v>28</v>
      </c>
      <c r="B14" s="22">
        <f>SUM(B12:B13)</f>
        <v>1205479</v>
      </c>
      <c r="C14" s="22">
        <f t="shared" ref="C14:E14" si="4">SUM(C12:C13)</f>
        <v>1287671.2328767125</v>
      </c>
      <c r="D14" s="22">
        <f t="shared" si="4"/>
        <v>1326095.8904109588</v>
      </c>
      <c r="E14" s="22">
        <f t="shared" si="4"/>
        <v>1353506.8493150685</v>
      </c>
    </row>
    <row r="15" spans="1:5" x14ac:dyDescent="0.25">
      <c r="B15" s="20"/>
    </row>
    <row r="16" spans="1:5" x14ac:dyDescent="0.25">
      <c r="A16" s="14" t="s">
        <v>29</v>
      </c>
      <c r="B16" s="17">
        <v>500000</v>
      </c>
      <c r="C16" s="30">
        <f>B16</f>
        <v>500000</v>
      </c>
      <c r="D16" s="30">
        <f t="shared" ref="D16:E16" si="5">C16</f>
        <v>500000</v>
      </c>
      <c r="E16" s="30">
        <f t="shared" si="5"/>
        <v>500000</v>
      </c>
    </row>
    <row r="17" spans="1:5" x14ac:dyDescent="0.25">
      <c r="A17" s="15" t="s">
        <v>30</v>
      </c>
      <c r="B17" s="18">
        <v>842466</v>
      </c>
      <c r="C17" s="29">
        <f>B17+IS!C11-Asmptn!B16</f>
        <v>6582466</v>
      </c>
      <c r="D17" s="29">
        <f>C17+IS!D11-Asmptn!C16</f>
        <v>13411066</v>
      </c>
      <c r="E17" s="29">
        <f>D17+IS!E11-Asmptn!D16</f>
        <v>21149674</v>
      </c>
    </row>
    <row r="18" spans="1:5" x14ac:dyDescent="0.25">
      <c r="A18" s="15" t="s">
        <v>31</v>
      </c>
      <c r="B18" s="23">
        <f>SUM(B16:B17)</f>
        <v>1342466</v>
      </c>
      <c r="C18" s="23">
        <f t="shared" ref="C18:E18" si="6">SUM(C16:C17)</f>
        <v>7082466</v>
      </c>
      <c r="D18" s="23">
        <f t="shared" si="6"/>
        <v>13911066</v>
      </c>
      <c r="E18" s="23">
        <f t="shared" si="6"/>
        <v>21649674</v>
      </c>
    </row>
    <row r="19" spans="1:5" x14ac:dyDescent="0.25">
      <c r="A19" s="24" t="s">
        <v>32</v>
      </c>
      <c r="B19" s="25">
        <f>SUM(B14,B18)</f>
        <v>2547945</v>
      </c>
      <c r="C19" s="25">
        <f t="shared" ref="C19:E19" si="7">SUM(C14,C18)</f>
        <v>8370137.2328767125</v>
      </c>
      <c r="D19" s="25">
        <f t="shared" si="7"/>
        <v>15237161.89041096</v>
      </c>
      <c r="E19" s="25">
        <f t="shared" si="7"/>
        <v>23003180.84931507</v>
      </c>
    </row>
    <row r="20" spans="1:5" x14ac:dyDescent="0.25">
      <c r="A20" s="24" t="s">
        <v>33</v>
      </c>
      <c r="B20" s="25">
        <f>B8-B19</f>
        <v>0</v>
      </c>
      <c r="C20" s="25">
        <f t="shared" ref="C20:E20" si="8">C8-C19</f>
        <v>0</v>
      </c>
      <c r="D20" s="25">
        <f t="shared" si="8"/>
        <v>0</v>
      </c>
      <c r="E20" s="25">
        <f t="shared" si="8"/>
        <v>0</v>
      </c>
    </row>
  </sheetData>
  <conditionalFormatting sqref="B20:E20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2B2D-8DAC-413D-A52D-AA4E58BF4521}">
  <dimension ref="A1:D20"/>
  <sheetViews>
    <sheetView workbookViewId="0">
      <selection activeCell="C24" sqref="C24"/>
    </sheetView>
  </sheetViews>
  <sheetFormatPr defaultRowHeight="15" x14ac:dyDescent="0.25"/>
  <cols>
    <col min="1" max="1" width="24.28515625" bestFit="1" customWidth="1"/>
    <col min="2" max="4" width="15.85546875" bestFit="1" customWidth="1"/>
  </cols>
  <sheetData>
    <row r="1" spans="1:4" x14ac:dyDescent="0.25">
      <c r="A1" t="s">
        <v>46</v>
      </c>
      <c r="B1" s="31" t="s">
        <v>0</v>
      </c>
      <c r="C1" s="31" t="s">
        <v>1</v>
      </c>
      <c r="D1" s="31" t="s">
        <v>2</v>
      </c>
    </row>
    <row r="2" spans="1:4" x14ac:dyDescent="0.25">
      <c r="A2" s="5" t="s">
        <v>41</v>
      </c>
      <c r="B2" s="30">
        <f>IS!C11</f>
        <v>5740000</v>
      </c>
      <c r="C2" s="30">
        <f>IS!D11</f>
        <v>6838600</v>
      </c>
      <c r="D2" s="30">
        <f>IS!E11</f>
        <v>7763608</v>
      </c>
    </row>
    <row r="3" spans="1:4" x14ac:dyDescent="0.25">
      <c r="A3" s="6" t="s">
        <v>38</v>
      </c>
      <c r="B3" s="29">
        <f>IS!C6</f>
        <v>180000</v>
      </c>
      <c r="C3" s="29">
        <f>IS!D6</f>
        <v>188400</v>
      </c>
      <c r="D3" s="29">
        <f>IS!E6</f>
        <v>201792</v>
      </c>
    </row>
    <row r="4" spans="1:4" x14ac:dyDescent="0.25">
      <c r="A4" s="6" t="s">
        <v>47</v>
      </c>
      <c r="B4" s="29">
        <f>-(BS!C4-BS!B4)</f>
        <v>-27397.561643835594</v>
      </c>
      <c r="C4" s="29">
        <f>-(BS!D4-BS!C4)</f>
        <v>-24657.53424657532</v>
      </c>
      <c r="D4" s="29">
        <f>-(BS!E4-BS!D4)</f>
        <v>-18904.109589041123</v>
      </c>
    </row>
    <row r="5" spans="1:4" x14ac:dyDescent="0.25">
      <c r="A5" s="6" t="s">
        <v>48</v>
      </c>
      <c r="B5" s="29">
        <f>-(BS!C5-BS!B5)</f>
        <v>238356.26027397261</v>
      </c>
      <c r="C5" s="29">
        <f>-(BS!D5-BS!C5)</f>
        <v>-10010.958904109575</v>
      </c>
      <c r="D5" s="29">
        <f>-(BS!E5-BS!D5)</f>
        <v>-1209.8630136986612</v>
      </c>
    </row>
    <row r="6" spans="1:4" x14ac:dyDescent="0.25">
      <c r="A6" s="6" t="s">
        <v>49</v>
      </c>
      <c r="B6" s="29">
        <f>BS!C11-BS!B11</f>
        <v>82192.23287671234</v>
      </c>
      <c r="C6" s="29">
        <f>BS!D11-BS!C11</f>
        <v>38424.657534246508</v>
      </c>
      <c r="D6" s="29">
        <f>BS!E11-BS!D11</f>
        <v>27410.958904109604</v>
      </c>
    </row>
    <row r="7" spans="1:4" x14ac:dyDescent="0.25">
      <c r="A7" s="27" t="s">
        <v>50</v>
      </c>
      <c r="B7" s="32">
        <f>SUM(B2:B6)</f>
        <v>6213150.9315068498</v>
      </c>
      <c r="C7" s="32">
        <f t="shared" ref="C7:D7" si="0">SUM(C2:C6)</f>
        <v>7030756.1643835614</v>
      </c>
      <c r="D7" s="32">
        <f t="shared" si="0"/>
        <v>7972696.98630137</v>
      </c>
    </row>
    <row r="9" spans="1:4" x14ac:dyDescent="0.25">
      <c r="A9" t="s">
        <v>52</v>
      </c>
    </row>
    <row r="10" spans="1:4" x14ac:dyDescent="0.25">
      <c r="A10" s="5" t="s">
        <v>53</v>
      </c>
      <c r="B10" s="33">
        <f>-Asmptn!B14</f>
        <v>-250000</v>
      </c>
      <c r="C10" s="33">
        <f>-Asmptn!C14</f>
        <v>-300000</v>
      </c>
      <c r="D10" s="34">
        <f>-Asmptn!D14</f>
        <v>-350000</v>
      </c>
    </row>
    <row r="11" spans="1:4" x14ac:dyDescent="0.25">
      <c r="A11" s="27" t="s">
        <v>54</v>
      </c>
      <c r="B11" s="35">
        <f>SUM(B10)</f>
        <v>-250000</v>
      </c>
      <c r="C11" s="35">
        <f t="shared" ref="C11:D11" si="1">SUM(C10)</f>
        <v>-300000</v>
      </c>
      <c r="D11" s="36">
        <f t="shared" si="1"/>
        <v>-350000</v>
      </c>
    </row>
    <row r="13" spans="1:4" x14ac:dyDescent="0.25">
      <c r="A13" t="s">
        <v>55</v>
      </c>
    </row>
    <row r="14" spans="1:4" x14ac:dyDescent="0.25">
      <c r="A14" s="14" t="s">
        <v>56</v>
      </c>
      <c r="B14" s="30">
        <f>BS!C13-BS!B13</f>
        <v>0</v>
      </c>
      <c r="C14" s="30">
        <f>BS!D13-BS!C13</f>
        <v>0</v>
      </c>
      <c r="D14" s="30">
        <f>BS!E13-BS!D13</f>
        <v>0</v>
      </c>
    </row>
    <row r="15" spans="1:4" x14ac:dyDescent="0.25">
      <c r="A15" s="16" t="s">
        <v>15</v>
      </c>
      <c r="B15" s="23" cm="1">
        <f t="array" ref="B15:D15">-Asmptn!B16:D16</f>
        <v>0</v>
      </c>
      <c r="C15" s="23">
        <v>-10000</v>
      </c>
      <c r="D15" s="23">
        <v>-25000</v>
      </c>
    </row>
    <row r="16" spans="1:4" x14ac:dyDescent="0.25">
      <c r="A16" s="27" t="s">
        <v>57</v>
      </c>
      <c r="B16" s="32">
        <f>SUM(B14:B15)</f>
        <v>0</v>
      </c>
      <c r="C16" s="32">
        <f t="shared" ref="C16:D16" si="2">SUM(C14:C15)</f>
        <v>-10000</v>
      </c>
      <c r="D16" s="32">
        <f t="shared" si="2"/>
        <v>-25000</v>
      </c>
    </row>
    <row r="18" spans="1:4" x14ac:dyDescent="0.25">
      <c r="A18" s="27" t="s">
        <v>58</v>
      </c>
      <c r="B18" s="32">
        <f>SUM(B7,B11,B16)</f>
        <v>5963150.9315068498</v>
      </c>
      <c r="C18" s="32">
        <f t="shared" ref="C18:D18" si="3">SUM(C7,C11,C16)</f>
        <v>6720756.1643835614</v>
      </c>
      <c r="D18" s="32">
        <f t="shared" si="3"/>
        <v>7597696.98630137</v>
      </c>
    </row>
    <row r="19" spans="1:4" x14ac:dyDescent="0.25">
      <c r="A19" s="4" t="s">
        <v>59</v>
      </c>
      <c r="B19" s="29">
        <f>BS!B3</f>
        <v>500000</v>
      </c>
      <c r="C19" s="29">
        <f>BS!C3</f>
        <v>6463150.9315068498</v>
      </c>
      <c r="D19" s="29">
        <f>BS!D3</f>
        <v>13183907.09589041</v>
      </c>
    </row>
    <row r="20" spans="1:4" x14ac:dyDescent="0.25">
      <c r="A20" s="28" t="s">
        <v>60</v>
      </c>
      <c r="B20" s="37">
        <f>B18+B19</f>
        <v>6463150.9315068498</v>
      </c>
      <c r="C20" s="37">
        <f t="shared" ref="C20:D20" si="4">C18+C19</f>
        <v>13183907.09589041</v>
      </c>
      <c r="D20" s="37">
        <f t="shared" si="4"/>
        <v>20781604.08219178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051A-D04C-4E1D-A3B3-D18ED12D3C94}">
  <dimension ref="A1:D17"/>
  <sheetViews>
    <sheetView workbookViewId="0">
      <selection activeCell="B24" sqref="B24"/>
    </sheetView>
  </sheetViews>
  <sheetFormatPr defaultRowHeight="15" x14ac:dyDescent="0.25"/>
  <cols>
    <col min="1" max="1" width="38.85546875" bestFit="1" customWidth="1"/>
    <col min="2" max="4" width="13.28515625" bestFit="1" customWidth="1"/>
  </cols>
  <sheetData>
    <row r="1" spans="1:4" ht="18.75" x14ac:dyDescent="0.3">
      <c r="B1" s="19" t="s">
        <v>0</v>
      </c>
      <c r="C1" s="19" t="s">
        <v>1</v>
      </c>
      <c r="D1" s="19" t="s">
        <v>2</v>
      </c>
    </row>
    <row r="2" spans="1:4" x14ac:dyDescent="0.25">
      <c r="A2" s="3" t="s">
        <v>3</v>
      </c>
    </row>
    <row r="3" spans="1:4" x14ac:dyDescent="0.25">
      <c r="A3" s="5" t="s">
        <v>4</v>
      </c>
      <c r="B3" s="8">
        <v>0.2</v>
      </c>
      <c r="C3" s="8">
        <v>0.15</v>
      </c>
      <c r="D3" s="8">
        <v>0.1</v>
      </c>
    </row>
    <row r="4" spans="1:4" x14ac:dyDescent="0.25">
      <c r="A4" s="6" t="s">
        <v>5</v>
      </c>
      <c r="B4" s="9">
        <v>0.35</v>
      </c>
      <c r="C4" s="9">
        <v>0.34499999999999997</v>
      </c>
      <c r="D4" s="9">
        <v>0.34</v>
      </c>
    </row>
    <row r="5" spans="1:4" x14ac:dyDescent="0.25">
      <c r="A5" s="6" t="s">
        <v>6</v>
      </c>
      <c r="B5" s="9">
        <v>0.4</v>
      </c>
      <c r="C5" s="9">
        <v>0.39</v>
      </c>
      <c r="D5" s="9">
        <v>0.38</v>
      </c>
    </row>
    <row r="6" spans="1:4" x14ac:dyDescent="0.25">
      <c r="A6" s="7" t="s">
        <v>7</v>
      </c>
      <c r="B6" s="10">
        <v>0.25</v>
      </c>
      <c r="C6" s="10">
        <v>0.25</v>
      </c>
      <c r="D6" s="10">
        <v>0.25</v>
      </c>
    </row>
    <row r="7" spans="1:4" x14ac:dyDescent="0.25">
      <c r="B7" s="1"/>
      <c r="C7" s="1"/>
      <c r="D7" s="1"/>
    </row>
    <row r="8" spans="1:4" x14ac:dyDescent="0.25">
      <c r="A8" s="3" t="s">
        <v>8</v>
      </c>
      <c r="B8" s="2"/>
      <c r="C8" s="2"/>
      <c r="D8" s="2"/>
    </row>
    <row r="9" spans="1:4" x14ac:dyDescent="0.25">
      <c r="A9" s="14" t="s">
        <v>9</v>
      </c>
      <c r="B9" s="11">
        <v>5</v>
      </c>
      <c r="C9" s="11">
        <v>5</v>
      </c>
      <c r="D9" s="11">
        <v>5</v>
      </c>
    </row>
    <row r="10" spans="1:4" x14ac:dyDescent="0.25">
      <c r="A10" s="15" t="s">
        <v>10</v>
      </c>
      <c r="B10" s="12">
        <v>15</v>
      </c>
      <c r="C10" s="12">
        <v>14</v>
      </c>
      <c r="D10" s="12">
        <v>13</v>
      </c>
    </row>
    <row r="11" spans="1:4" x14ac:dyDescent="0.25">
      <c r="A11" s="16" t="s">
        <v>11</v>
      </c>
      <c r="B11" s="13">
        <v>25</v>
      </c>
      <c r="C11" s="13">
        <v>25</v>
      </c>
      <c r="D11" s="13">
        <v>25</v>
      </c>
    </row>
    <row r="12" spans="1:4" x14ac:dyDescent="0.25">
      <c r="B12" s="2"/>
      <c r="C12" s="2"/>
      <c r="D12" s="2"/>
    </row>
    <row r="13" spans="1:4" x14ac:dyDescent="0.25">
      <c r="A13" s="3" t="s">
        <v>12</v>
      </c>
      <c r="B13" s="2"/>
      <c r="C13" s="2"/>
      <c r="D13" s="2"/>
    </row>
    <row r="14" spans="1:4" x14ac:dyDescent="0.25">
      <c r="A14" s="14" t="s">
        <v>13</v>
      </c>
      <c r="B14" s="17">
        <v>250000</v>
      </c>
      <c r="C14" s="17">
        <v>300000</v>
      </c>
      <c r="D14" s="17">
        <v>350000</v>
      </c>
    </row>
    <row r="15" spans="1:4" x14ac:dyDescent="0.25">
      <c r="A15" s="15" t="s">
        <v>14</v>
      </c>
      <c r="B15" s="9">
        <v>0.12</v>
      </c>
      <c r="C15" s="9">
        <v>0.12</v>
      </c>
      <c r="D15" s="9">
        <v>0.12</v>
      </c>
    </row>
    <row r="16" spans="1:4" x14ac:dyDescent="0.25">
      <c r="A16" s="15" t="s">
        <v>15</v>
      </c>
      <c r="B16" s="12">
        <v>0</v>
      </c>
      <c r="C16" s="18">
        <v>10000</v>
      </c>
      <c r="D16" s="18">
        <v>25000</v>
      </c>
    </row>
    <row r="17" spans="1:4" x14ac:dyDescent="0.25">
      <c r="A17" s="16" t="s">
        <v>16</v>
      </c>
      <c r="B17" s="10">
        <v>0.08</v>
      </c>
      <c r="C17" s="10">
        <v>0.08</v>
      </c>
      <c r="D17" s="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IS</vt:lpstr>
      <vt:lpstr>BS</vt:lpstr>
      <vt:lpstr>CFS</vt:lpstr>
      <vt:lpstr>Asmptn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SWARRO</dc:creator>
  <cp:lastModifiedBy>Hemswaroop Raorane</cp:lastModifiedBy>
  <dcterms:created xsi:type="dcterms:W3CDTF">2025-07-18T04:31:04Z</dcterms:created>
  <dcterms:modified xsi:type="dcterms:W3CDTF">2025-07-20T12:40:07Z</dcterms:modified>
</cp:coreProperties>
</file>