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RO\OneDrive\Desktop\"/>
    </mc:Choice>
  </mc:AlternateContent>
  <xr:revisionPtr revIDLastSave="0" documentId="8_{D14E7F08-A4FE-4CC0-8BF3-B8A77FF7160D}" xr6:coauthVersionLast="47" xr6:coauthVersionMax="47" xr10:uidLastSave="{00000000-0000-0000-0000-000000000000}"/>
  <bookViews>
    <workbookView xWindow="0" yWindow="0" windowWidth="24000" windowHeight="12780" firstSheet="2" activeTab="5" xr2:uid="{BF188548-CB3A-45DB-9B3B-5216EA980CEC}"/>
  </bookViews>
  <sheets>
    <sheet name="Analysis" sheetId="5" r:id="rId1"/>
    <sheet name="IS" sheetId="1" r:id="rId2"/>
    <sheet name="BS" sheetId="2" r:id="rId3"/>
    <sheet name="CFS" sheetId="3" r:id="rId4"/>
    <sheet name="Assumptions" sheetId="4" r:id="rId5"/>
    <sheet name="Valuation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6" l="1"/>
  <c r="F8" i="6"/>
  <c r="D3" i="6"/>
  <c r="B10" i="6"/>
  <c r="B9" i="6"/>
  <c r="C4" i="6"/>
  <c r="B4" i="6"/>
  <c r="D4" i="6"/>
  <c r="B5" i="6" s="1"/>
  <c r="C2" i="6"/>
  <c r="D2" i="6"/>
  <c r="B2" i="6"/>
  <c r="C26" i="3"/>
  <c r="D26" i="3"/>
  <c r="D27" i="3"/>
  <c r="B26" i="3"/>
  <c r="C28" i="2"/>
  <c r="G18" i="4"/>
  <c r="E35" i="4"/>
  <c r="F18" i="4"/>
  <c r="C14" i="2"/>
  <c r="D14" i="2"/>
  <c r="E14" i="2"/>
  <c r="C6" i="1"/>
  <c r="B3" i="3" s="1"/>
  <c r="E18" i="4"/>
  <c r="C2" i="1" s="1"/>
  <c r="D15" i="3"/>
  <c r="C15" i="3"/>
  <c r="B15" i="3"/>
  <c r="B8" i="1"/>
  <c r="B10" i="1" s="1"/>
  <c r="B13" i="2"/>
  <c r="E36" i="4"/>
  <c r="E21" i="4"/>
  <c r="C10" i="3"/>
  <c r="C11" i="3" s="1"/>
  <c r="D10" i="3"/>
  <c r="D11" i="3" s="1"/>
  <c r="G19" i="4"/>
  <c r="G20" i="4"/>
  <c r="G21" i="4"/>
  <c r="F19" i="4"/>
  <c r="F20" i="4"/>
  <c r="F21" i="4"/>
  <c r="E19" i="4"/>
  <c r="B3" i="1" s="1"/>
  <c r="E20" i="4"/>
  <c r="B5" i="1" s="1"/>
  <c r="B8" i="6" l="1"/>
  <c r="B11" i="6" s="1"/>
  <c r="A13" i="6" s="1"/>
  <c r="C5" i="1"/>
  <c r="C3" i="1"/>
  <c r="D2" i="1"/>
  <c r="E26" i="2"/>
  <c r="C26" i="2"/>
  <c r="D26" i="2"/>
  <c r="C15" i="5"/>
  <c r="D15" i="5"/>
  <c r="B15" i="5"/>
  <c r="C14" i="5"/>
  <c r="D14" i="5"/>
  <c r="B14" i="5"/>
  <c r="D13" i="5"/>
  <c r="C13" i="5"/>
  <c r="B13" i="5"/>
  <c r="B19" i="3"/>
  <c r="B10" i="3"/>
  <c r="B11" i="3" s="1"/>
  <c r="C17" i="2"/>
  <c r="D17" i="2" s="1"/>
  <c r="E17" i="2" s="1"/>
  <c r="C8" i="1"/>
  <c r="B12" i="1"/>
  <c r="B6" i="1"/>
  <c r="E2" i="1" l="1"/>
  <c r="D3" i="1"/>
  <c r="D4" i="1" s="1"/>
  <c r="D5" i="1"/>
  <c r="D12" i="1"/>
  <c r="D4" i="2"/>
  <c r="D5" i="2" l="1"/>
  <c r="E5" i="1"/>
  <c r="E3" i="1"/>
  <c r="E4" i="1" s="1"/>
  <c r="E8" i="1"/>
  <c r="D8" i="1"/>
  <c r="D11" i="2"/>
  <c r="B4" i="1"/>
  <c r="B7" i="1" s="1"/>
  <c r="B11" i="1" l="1"/>
  <c r="B13" i="1" s="1"/>
  <c r="C7" i="2"/>
  <c r="D6" i="1" s="1"/>
  <c r="C3" i="3" s="1"/>
  <c r="C4" i="2"/>
  <c r="B4" i="3" s="1"/>
  <c r="C12" i="1"/>
  <c r="B6" i="2"/>
  <c r="B8" i="2" s="1"/>
  <c r="B19" i="2"/>
  <c r="B15" i="2" l="1"/>
  <c r="B20" i="2" s="1"/>
  <c r="B21" i="2" s="1"/>
  <c r="D7" i="2"/>
  <c r="E6" i="1" s="1"/>
  <c r="D3" i="3" s="1"/>
  <c r="C3" i="5"/>
  <c r="C4" i="3"/>
  <c r="C5" i="2"/>
  <c r="B5" i="3" s="1"/>
  <c r="C11" i="2"/>
  <c r="C4" i="1"/>
  <c r="E4" i="2" l="1"/>
  <c r="D4" i="3" s="1"/>
  <c r="E12" i="1"/>
  <c r="B8" i="5"/>
  <c r="C7" i="1"/>
  <c r="B23" i="3" s="1"/>
  <c r="B6" i="3"/>
  <c r="D3" i="5"/>
  <c r="C5" i="5"/>
  <c r="C8" i="5"/>
  <c r="D7" i="1"/>
  <c r="C23" i="3" s="1"/>
  <c r="C4" i="5"/>
  <c r="C5" i="3"/>
  <c r="C24" i="3" l="1"/>
  <c r="C25" i="3"/>
  <c r="B24" i="3"/>
  <c r="B25" i="3" s="1"/>
  <c r="D5" i="5"/>
  <c r="E11" i="2"/>
  <c r="E5" i="2"/>
  <c r="D5" i="3" s="1"/>
  <c r="C9" i="5"/>
  <c r="C19" i="5"/>
  <c r="B19" i="5"/>
  <c r="B9" i="5"/>
  <c r="C6" i="3"/>
  <c r="B27" i="3" s="1"/>
  <c r="D4" i="5"/>
  <c r="B28" i="3" l="1"/>
  <c r="D8" i="5"/>
  <c r="E7" i="2"/>
  <c r="E7" i="1"/>
  <c r="D23" i="3" s="1"/>
  <c r="D6" i="3"/>
  <c r="C27" i="3" s="1"/>
  <c r="C28" i="3" s="1"/>
  <c r="D24" i="3" l="1"/>
  <c r="D25" i="3"/>
  <c r="D28" i="3" s="1"/>
  <c r="D19" i="5"/>
  <c r="D9" i="5"/>
  <c r="B10" i="5"/>
  <c r="C10" i="5"/>
  <c r="D10" i="5"/>
  <c r="B18" i="5"/>
  <c r="C18" i="5"/>
  <c r="D18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C3" i="2"/>
  <c r="D3" i="2"/>
  <c r="E3" i="2"/>
  <c r="C6" i="2"/>
  <c r="D6" i="2"/>
  <c r="E6" i="2"/>
  <c r="C8" i="2"/>
  <c r="D8" i="2"/>
  <c r="E8" i="2"/>
  <c r="C12" i="2"/>
  <c r="D12" i="2"/>
  <c r="E12" i="2"/>
  <c r="C13" i="2"/>
  <c r="D13" i="2"/>
  <c r="E13" i="2"/>
  <c r="C15" i="2"/>
  <c r="D15" i="2"/>
  <c r="E15" i="2"/>
  <c r="C18" i="2"/>
  <c r="D18" i="2"/>
  <c r="E18" i="2"/>
  <c r="C19" i="2"/>
  <c r="D19" i="2"/>
  <c r="E19" i="2"/>
  <c r="C20" i="2"/>
  <c r="D20" i="2"/>
  <c r="E20" i="2"/>
  <c r="C21" i="2"/>
  <c r="D21" i="2"/>
  <c r="E21" i="2"/>
  <c r="C25" i="2"/>
  <c r="D25" i="2"/>
  <c r="E25" i="2"/>
  <c r="C27" i="2"/>
  <c r="D27" i="2"/>
  <c r="E27" i="2"/>
  <c r="D28" i="2"/>
  <c r="E28" i="2"/>
  <c r="C29" i="2"/>
  <c r="D29" i="2"/>
  <c r="E29" i="2"/>
  <c r="C30" i="2"/>
  <c r="D30" i="2"/>
  <c r="E30" i="2"/>
  <c r="C31" i="2"/>
  <c r="D31" i="2"/>
  <c r="E31" i="2"/>
  <c r="B2" i="3"/>
  <c r="C2" i="3"/>
  <c r="D2" i="3"/>
  <c r="B7" i="3"/>
  <c r="C7" i="3"/>
  <c r="D7" i="3"/>
  <c r="B14" i="3"/>
  <c r="C14" i="3"/>
  <c r="D14" i="3"/>
  <c r="B16" i="3"/>
  <c r="C16" i="3"/>
  <c r="D16" i="3"/>
  <c r="B18" i="3"/>
  <c r="C18" i="3"/>
  <c r="D18" i="3"/>
  <c r="C19" i="3"/>
  <c r="D19" i="3"/>
  <c r="B20" i="3"/>
  <c r="C20" i="3"/>
  <c r="D20" i="3"/>
  <c r="C9" i="1"/>
  <c r="D9" i="1"/>
  <c r="E9" i="1"/>
  <c r="C10" i="1"/>
  <c r="D10" i="1"/>
  <c r="E10" i="1"/>
  <c r="C11" i="1"/>
  <c r="D11" i="1"/>
  <c r="E11" i="1"/>
  <c r="C13" i="1"/>
  <c r="D13" i="1"/>
  <c r="E13" i="1"/>
</calcChain>
</file>

<file path=xl/sharedStrings.xml><?xml version="1.0" encoding="utf-8"?>
<sst xmlns="http://schemas.openxmlformats.org/spreadsheetml/2006/main" count="145" uniqueCount="118">
  <si>
    <t>Year 1</t>
  </si>
  <si>
    <t>Year 2</t>
  </si>
  <si>
    <t>Year 3</t>
  </si>
  <si>
    <t>Income Statement Assumptions</t>
  </si>
  <si>
    <t>Revenue Growth %</t>
  </si>
  <si>
    <t>COGS as a % of Revenue</t>
  </si>
  <si>
    <t>OpEx as a % of Revenue</t>
  </si>
  <si>
    <t>Tax Rate</t>
  </si>
  <si>
    <t>Balance Sheet Assumptions</t>
  </si>
  <si>
    <t>Accounts Receivable Days</t>
  </si>
  <si>
    <t>Inventory Days</t>
  </si>
  <si>
    <t>Accounts Payable Days</t>
  </si>
  <si>
    <t>Capital &amp; Financing Assumptions</t>
  </si>
  <si>
    <t>Capital Expenditures (CapEx)</t>
  </si>
  <si>
    <t>Annual Depreciation % of Beginning PP&amp;E</t>
  </si>
  <si>
    <t>Dividends Paid</t>
  </si>
  <si>
    <t>Interest Rate on Debt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</si>
  <si>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</si>
  <si>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</si>
  <si>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</si>
  <si>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</si>
  <si>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</si>
  <si>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</si>
  <si>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</si>
  <si>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&amp; EQUITY</t>
  </si>
  <si>
    <t>Accounts Payable</t>
  </si>
  <si>
    <t>Total Current Liabilities</t>
  </si>
  <si>
    <t>Long-Term Debt</t>
  </si>
  <si>
    <t>Total Liabilities</t>
  </si>
  <si>
    <t>Common Stock</t>
  </si>
  <si>
    <t>Retained Earnings</t>
  </si>
  <si>
    <t>Total Equity</t>
  </si>
  <si>
    <t>TOTAL L&amp;E</t>
  </si>
  <si>
    <t>Balance Check</t>
  </si>
  <si>
    <t>Item</t>
  </si>
  <si>
    <t>Year 0</t>
  </si>
  <si>
    <t>Revenue</t>
  </si>
  <si>
    <t>COGS</t>
  </si>
  <si>
    <t>Depreciation</t>
  </si>
  <si>
    <t>Gross Profit</t>
  </si>
  <si>
    <t>Net Income</t>
  </si>
  <si>
    <t>Taxes</t>
  </si>
  <si>
    <t>OpEx</t>
  </si>
  <si>
    <t>Operating Income(EBIT)</t>
  </si>
  <si>
    <t>Earnings Before Tax (EBT)</t>
  </si>
  <si>
    <t>CFO</t>
  </si>
  <si>
    <t>Change in AR</t>
  </si>
  <si>
    <t>Change in Inventory</t>
  </si>
  <si>
    <t>Change in AP</t>
  </si>
  <si>
    <t>Net Cash from Operations</t>
  </si>
  <si>
    <t>Year 0 (H)</t>
  </si>
  <si>
    <t>CFI</t>
  </si>
  <si>
    <t>CapEx</t>
  </si>
  <si>
    <t>Net cash from Investing</t>
  </si>
  <si>
    <t>CFF</t>
  </si>
  <si>
    <t>Change in Debt</t>
  </si>
  <si>
    <t>Net cash from financing</t>
  </si>
  <si>
    <t>Net change in Cash</t>
  </si>
  <si>
    <t>Beginning Cash</t>
  </si>
  <si>
    <t>Ending Cash</t>
  </si>
  <si>
    <t>Revenue Growth</t>
  </si>
  <si>
    <t>EBIT Growth</t>
  </si>
  <si>
    <t>Net Income Growth</t>
  </si>
  <si>
    <t>Gross Margin</t>
  </si>
  <si>
    <t>Operatin Margin</t>
  </si>
  <si>
    <t>Net Profit Margin</t>
  </si>
  <si>
    <t>Horizontal Analysis</t>
  </si>
  <si>
    <t>Vertical Analysis</t>
  </si>
  <si>
    <t>Efficiency Ratios</t>
  </si>
  <si>
    <t>AR Days</t>
  </si>
  <si>
    <t>AP Days</t>
  </si>
  <si>
    <t>Leverage Ratio</t>
  </si>
  <si>
    <t>Debt-to-Equity</t>
  </si>
  <si>
    <t>Debt-to-EBITDA</t>
  </si>
  <si>
    <t>DuPont Analysis</t>
  </si>
  <si>
    <t>Net profit Margin</t>
  </si>
  <si>
    <t>Asset Turnover</t>
  </si>
  <si>
    <t>Financial Leverage</t>
  </si>
  <si>
    <t>Return on Equity</t>
  </si>
  <si>
    <t>Scenario Selection</t>
  </si>
  <si>
    <t>Revolver</t>
  </si>
  <si>
    <t>Minimum Cash Balance Required</t>
  </si>
  <si>
    <t>Revolver Interest</t>
  </si>
  <si>
    <t>Interest on LT. Debt</t>
  </si>
  <si>
    <t>Total Interest</t>
  </si>
  <si>
    <t>Revolver Drawdown</t>
  </si>
  <si>
    <t>Cash Surplus/Deficit</t>
  </si>
  <si>
    <t>Cash before Revolver</t>
  </si>
  <si>
    <t>Min Cash Balance Required</t>
  </si>
  <si>
    <t>Beg. Revolver Balance</t>
  </si>
  <si>
    <t>Cash Sweep/ Repayment</t>
  </si>
  <si>
    <t>Ending Revolver balance</t>
  </si>
  <si>
    <t>Assumption block</t>
  </si>
  <si>
    <t>Live Block</t>
  </si>
  <si>
    <t>Interest on Revolver</t>
  </si>
  <si>
    <t>Free Cash Flow to the Firm Calculation</t>
  </si>
  <si>
    <t>EBIT</t>
  </si>
  <si>
    <t>Taxes on EBIT</t>
  </si>
  <si>
    <t>Base Case</t>
  </si>
  <si>
    <t>NOPAT</t>
  </si>
  <si>
    <t>Less:CapEx</t>
  </si>
  <si>
    <t>Less: Change in Net working Capital</t>
  </si>
  <si>
    <t>FCFF</t>
  </si>
  <si>
    <t>Valuation Assumption</t>
  </si>
  <si>
    <t>Weighted Average Cost of Capital (WACC)</t>
  </si>
  <si>
    <t>Perpetual Growth Rate</t>
  </si>
  <si>
    <t>Revolver Assumptions</t>
  </si>
  <si>
    <t>Free Cash Flow to the Firm</t>
  </si>
  <si>
    <t>Terminal Value</t>
  </si>
  <si>
    <t>Total Cash Flows to Discount</t>
  </si>
  <si>
    <t xml:space="preserve">Enterprise Value </t>
  </si>
  <si>
    <t>Enterprise to Equity Bridge</t>
  </si>
  <si>
    <t>Enterprise Value</t>
  </si>
  <si>
    <t>Less: Total Debt</t>
  </si>
  <si>
    <t>Add: Cash</t>
  </si>
  <si>
    <t>Equity Value</t>
  </si>
  <si>
    <t>WACC link</t>
  </si>
  <si>
    <t>Growth Rate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</si>
</sst>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10" fontId="3" fillId="2" borderId="10" xfId="0" applyNumberFormat="1" applyFont="1" applyFill="1" applyBorder="1"/>
    <xf numFmtId="10" fontId="3" fillId="2" borderId="11" xfId="0" applyNumberFormat="1" applyFont="1" applyFill="1" applyBorder="1"/>
    <xf numFmtId="10" fontId="3" fillId="2" borderId="12" xfId="0" applyNumberFormat="1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44" fontId="3" fillId="2" borderId="10" xfId="1" applyFont="1" applyFill="1" applyBorder="1"/>
    <xf numFmtId="44" fontId="3" fillId="2" borderId="11" xfId="1" applyFont="1" applyFill="1" applyBorder="1"/>
    <xf numFmtId="0" fontId="4" fillId="0" borderId="0" xfId="0" applyFont="1" applyAlignment="1">
      <alignment horizontal="center"/>
    </xf>
    <xf numFmtId="44" fontId="0" fillId="0" borderId="0" xfId="1" applyFont="1"/>
    <xf numFmtId="44" fontId="0" fillId="2" borderId="11" xfId="1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44" fontId="0" fillId="2" borderId="10" xfId="1" applyFont="1" applyFill="1" applyBorder="1"/>
    <xf numFmtId="0" fontId="0" fillId="2" borderId="14" xfId="0" applyFill="1" applyBorder="1"/>
    <xf numFmtId="0" fontId="2" fillId="2" borderId="14" xfId="0" applyFont="1" applyFill="1" applyBorder="1"/>
    <xf numFmtId="44" fontId="0" fillId="2" borderId="11" xfId="0" applyNumberFormat="1" applyFill="1" applyBorder="1"/>
    <xf numFmtId="44" fontId="0" fillId="2" borderId="10" xfId="0" applyNumberFormat="1" applyFill="1" applyBorder="1"/>
    <xf numFmtId="0" fontId="0" fillId="0" borderId="10" xfId="0" applyBorder="1"/>
    <xf numFmtId="44" fontId="0" fillId="2" borderId="2" xfId="0" applyNumberFormat="1" applyFill="1" applyBorder="1"/>
    <xf numFmtId="44" fontId="0" fillId="2" borderId="4" xfId="0" applyNumberFormat="1" applyFill="1" applyBorder="1"/>
    <xf numFmtId="44" fontId="0" fillId="2" borderId="5" xfId="0" applyNumberFormat="1" applyFill="1" applyBorder="1"/>
    <xf numFmtId="44" fontId="2" fillId="2" borderId="2" xfId="0" applyNumberFormat="1" applyFont="1" applyFill="1" applyBorder="1"/>
    <xf numFmtId="9" fontId="0" fillId="0" borderId="0" xfId="2" applyFont="1"/>
    <xf numFmtId="0" fontId="0" fillId="4" borderId="0" xfId="0" applyFill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0" xfId="1" applyNumberFormat="1" applyFont="1" applyFill="1" applyBorder="1"/>
    <xf numFmtId="0" fontId="0" fillId="3" borderId="11" xfId="2" applyNumberFormat="1" applyFont="1" applyFill="1" applyBorder="1"/>
    <xf numFmtId="0" fontId="0" fillId="3" borderId="12" xfId="0" applyFill="1" applyBorder="1"/>
    <xf numFmtId="9" fontId="0" fillId="0" borderId="10" xfId="2" applyFont="1" applyBorder="1"/>
    <xf numFmtId="9" fontId="0" fillId="0" borderId="11" xfId="2" applyFont="1" applyBorder="1"/>
    <xf numFmtId="9" fontId="0" fillId="0" borderId="12" xfId="2" applyFon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9" fontId="0" fillId="0" borderId="4" xfId="2" applyFont="1" applyBorder="1"/>
    <xf numFmtId="9" fontId="0" fillId="0" borderId="5" xfId="2" applyFont="1" applyBorder="1"/>
    <xf numFmtId="0" fontId="0" fillId="0" borderId="8" xfId="0" applyBorder="1"/>
    <xf numFmtId="9" fontId="0" fillId="0" borderId="1" xfId="2" applyFont="1" applyBorder="1"/>
    <xf numFmtId="9" fontId="0" fillId="0" borderId="9" xfId="2" applyFont="1" applyBorder="1"/>
    <xf numFmtId="0" fontId="0" fillId="0" borderId="6" xfId="0" applyBorder="1"/>
    <xf numFmtId="9" fontId="0" fillId="0" borderId="7" xfId="2" applyFont="1" applyBorder="1"/>
    <xf numFmtId="0" fontId="0" fillId="0" borderId="14" xfId="0" applyBorder="1"/>
    <xf numFmtId="9" fontId="0" fillId="0" borderId="13" xfId="2" applyFont="1" applyBorder="1"/>
    <xf numFmtId="0" fontId="2" fillId="3" borderId="2" xfId="0" applyFont="1" applyFill="1" applyBorder="1"/>
    <xf numFmtId="9" fontId="0" fillId="0" borderId="2" xfId="2" applyFont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19" xfId="0" applyBorder="1"/>
    <xf numFmtId="10" fontId="3" fillId="0" borderId="0" xfId="0" applyNumberFormat="1" applyFont="1"/>
    <xf numFmtId="0" fontId="2" fillId="5" borderId="15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10" fontId="3" fillId="2" borderId="6" xfId="0" applyNumberFormat="1" applyFont="1" applyFill="1" applyBorder="1"/>
    <xf numFmtId="10" fontId="3" fillId="2" borderId="8" xfId="0" applyNumberFormat="1" applyFont="1" applyFill="1" applyBorder="1"/>
    <xf numFmtId="44" fontId="3" fillId="0" borderId="0" xfId="1" applyFont="1" applyFill="1" applyBorder="1"/>
    <xf numFmtId="2" fontId="3" fillId="0" borderId="0" xfId="0" applyNumberFormat="1" applyFont="1"/>
    <xf numFmtId="10" fontId="3" fillId="7" borderId="10" xfId="0" applyNumberFormat="1" applyFont="1" applyFill="1" applyBorder="1"/>
    <xf numFmtId="10" fontId="3" fillId="7" borderId="11" xfId="0" applyNumberFormat="1" applyFont="1" applyFill="1" applyBorder="1"/>
    <xf numFmtId="10" fontId="3" fillId="7" borderId="12" xfId="0" applyNumberFormat="1" applyFont="1" applyFill="1" applyBorder="1"/>
    <xf numFmtId="10" fontId="3" fillId="8" borderId="10" xfId="0" applyNumberFormat="1" applyFont="1" applyFill="1" applyBorder="1"/>
    <xf numFmtId="10" fontId="3" fillId="8" borderId="11" xfId="0" applyNumberFormat="1" applyFont="1" applyFill="1" applyBorder="1"/>
    <xf numFmtId="10" fontId="3" fillId="8" borderId="12" xfId="0" applyNumberFormat="1" applyFont="1" applyFill="1" applyBorder="1"/>
    <xf numFmtId="10" fontId="3" fillId="9" borderId="10" xfId="0" applyNumberFormat="1" applyFont="1" applyFill="1" applyBorder="1"/>
    <xf numFmtId="10" fontId="3" fillId="9" borderId="11" xfId="0" applyNumberFormat="1" applyFont="1" applyFill="1" applyBorder="1"/>
    <xf numFmtId="10" fontId="3" fillId="9" borderId="12" xfId="0" applyNumberFormat="1" applyFont="1" applyFill="1" applyBorder="1"/>
    <xf numFmtId="10" fontId="3" fillId="9" borderId="2" xfId="0" applyNumberFormat="1" applyFont="1" applyFill="1" applyBorder="1"/>
    <xf numFmtId="10" fontId="3" fillId="9" borderId="0" xfId="0" applyNumberFormat="1" applyFont="1" applyFill="1"/>
    <xf numFmtId="44" fontId="3" fillId="9" borderId="0" xfId="1" applyFont="1" applyFill="1" applyBorder="1"/>
    <xf numFmtId="44" fontId="3" fillId="8" borderId="10" xfId="1" applyFont="1" applyFill="1" applyBorder="1"/>
    <xf numFmtId="44" fontId="3" fillId="7" borderId="0" xfId="1" applyFont="1" applyFill="1" applyBorder="1"/>
    <xf numFmtId="10" fontId="3" fillId="7" borderId="0" xfId="0" applyNumberFormat="1" applyFont="1" applyFill="1"/>
    <xf numFmtId="44" fontId="0" fillId="0" borderId="0" xfId="0" applyNumberFormat="1"/>
    <xf numFmtId="10" fontId="7" fillId="0" borderId="0" xfId="0" applyNumberFormat="1" applyFont="1"/>
    <xf numFmtId="0" fontId="8" fillId="0" borderId="0" xfId="0" applyFont="1"/>
    <xf numFmtId="0" fontId="9" fillId="6" borderId="0" xfId="0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10" fontId="3" fillId="2" borderId="21" xfId="0" applyNumberFormat="1" applyFont="1" applyFill="1" applyBorder="1"/>
    <xf numFmtId="44" fontId="3" fillId="2" borderId="21" xfId="1" applyFont="1" applyFill="1" applyBorder="1"/>
    <xf numFmtId="10" fontId="3" fillId="2" borderId="22" xfId="0" applyNumberFormat="1" applyFont="1" applyFill="1" applyBorder="1"/>
    <xf numFmtId="44" fontId="3" fillId="2" borderId="22" xfId="1" applyFont="1" applyFill="1" applyBorder="1"/>
    <xf numFmtId="10" fontId="3" fillId="2" borderId="23" xfId="0" applyNumberFormat="1" applyFont="1" applyFill="1" applyBorder="1"/>
    <xf numFmtId="0" fontId="0" fillId="0" borderId="24" xfId="0" applyBorder="1"/>
    <xf numFmtId="0" fontId="0" fillId="2" borderId="25" xfId="0" applyFill="1" applyBorder="1"/>
    <xf numFmtId="0" fontId="0" fillId="0" borderId="27" xfId="0" applyBorder="1"/>
    <xf numFmtId="0" fontId="0" fillId="0" borderId="28" xfId="0" applyBorder="1"/>
    <xf numFmtId="44" fontId="5" fillId="2" borderId="10" xfId="1" applyFont="1" applyFill="1" applyBorder="1"/>
    <xf numFmtId="0" fontId="0" fillId="2" borderId="2" xfId="0" applyFill="1" applyBorder="1"/>
    <xf numFmtId="44" fontId="0" fillId="2" borderId="2" xfId="1" applyFont="1" applyFill="1" applyBorder="1"/>
    <xf numFmtId="0" fontId="0" fillId="2" borderId="4" xfId="0" applyFill="1" applyBorder="1"/>
    <xf numFmtId="44" fontId="0" fillId="2" borderId="0" xfId="0" applyNumberFormat="1" applyFill="1"/>
    <xf numFmtId="44" fontId="0" fillId="2" borderId="7" xfId="0" applyNumberFormat="1" applyFill="1" applyBorder="1"/>
    <xf numFmtId="0" fontId="0" fillId="2" borderId="1" xfId="0" applyFill="1" applyBorder="1"/>
    <xf numFmtId="44" fontId="0" fillId="2" borderId="1" xfId="0" applyNumberFormat="1" applyFill="1" applyBorder="1"/>
    <xf numFmtId="44" fontId="0" fillId="2" borderId="9" xfId="0" applyNumberFormat="1" applyFill="1" applyBorder="1"/>
    <xf numFmtId="0" fontId="4" fillId="0" borderId="0" xfId="0" applyFont="1" applyAlignment="1">
      <alignment horizontal="center"/>
    </xf>
    <xf numFmtId="0" fontId="0" fillId="0" borderId="4" xfId="0" applyBorder="1"/>
    <xf numFmtId="44" fontId="0" fillId="2" borderId="0" xfId="1" applyFont="1" applyFill="1" applyBorder="1"/>
    <xf numFmtId="44" fontId="0" fillId="2" borderId="0" xfId="0" applyNumberFormat="1" applyFill="1" applyBorder="1"/>
    <xf numFmtId="44" fontId="2" fillId="2" borderId="29" xfId="0" applyNumberFormat="1" applyFont="1" applyFill="1" applyBorder="1"/>
    <xf numFmtId="10" fontId="3" fillId="0" borderId="0" xfId="0" applyNumberFormat="1" applyFont="1" applyBorder="1"/>
    <xf numFmtId="0" fontId="3" fillId="0" borderId="0" xfId="0" applyFont="1" applyBorder="1"/>
    <xf numFmtId="0" fontId="0" fillId="0" borderId="0" xfId="0" applyBorder="1"/>
    <xf numFmtId="0" fontId="3" fillId="5" borderId="0" xfId="0" applyFont="1" applyFill="1" applyBorder="1"/>
    <xf numFmtId="0" fontId="3" fillId="5" borderId="24" xfId="0" applyFont="1" applyFill="1" applyBorder="1"/>
    <xf numFmtId="10" fontId="3" fillId="0" borderId="24" xfId="0" applyNumberFormat="1" applyFont="1" applyBorder="1"/>
    <xf numFmtId="0" fontId="3" fillId="0" borderId="24" xfId="0" applyFont="1" applyBorder="1"/>
    <xf numFmtId="0" fontId="3" fillId="2" borderId="24" xfId="0" applyFont="1" applyFill="1" applyBorder="1"/>
    <xf numFmtId="0" fontId="0" fillId="0" borderId="19" xfId="0" applyFill="1" applyBorder="1"/>
    <xf numFmtId="10" fontId="3" fillId="2" borderId="3" xfId="0" applyNumberFormat="1" applyFont="1" applyFill="1" applyBorder="1"/>
    <xf numFmtId="0" fontId="3" fillId="2" borderId="31" xfId="0" applyFont="1" applyFill="1" applyBorder="1"/>
    <xf numFmtId="0" fontId="3" fillId="2" borderId="32" xfId="0" applyFont="1" applyFill="1" applyBorder="1"/>
    <xf numFmtId="10" fontId="3" fillId="2" borderId="33" xfId="0" applyNumberFormat="1" applyFont="1" applyFill="1" applyBorder="1"/>
    <xf numFmtId="0" fontId="2" fillId="5" borderId="30" xfId="0" applyFont="1" applyFill="1" applyBorder="1"/>
    <xf numFmtId="10" fontId="3" fillId="0" borderId="0" xfId="0" applyNumberFormat="1" applyFont="1" applyFill="1" applyBorder="1"/>
    <xf numFmtId="10" fontId="3" fillId="0" borderId="24" xfId="0" applyNumberFormat="1" applyFont="1" applyFill="1" applyBorder="1"/>
    <xf numFmtId="0" fontId="2" fillId="10" borderId="30" xfId="0" applyFont="1" applyFill="1" applyBorder="1"/>
    <xf numFmtId="0" fontId="6" fillId="5" borderId="30" xfId="0" applyFont="1" applyFill="1" applyBorder="1"/>
    <xf numFmtId="10" fontId="0" fillId="0" borderId="0" xfId="0" applyNumberFormat="1"/>
    <xf numFmtId="9" fontId="0" fillId="10" borderId="16" xfId="2" applyFont="1" applyFill="1" applyBorder="1"/>
    <xf numFmtId="9" fontId="0" fillId="10" borderId="17" xfId="2" applyFont="1" applyFill="1" applyBorder="1"/>
    <xf numFmtId="9" fontId="0" fillId="10" borderId="19" xfId="2" applyNumberFormat="1" applyFont="1" applyFill="1" applyBorder="1"/>
    <xf numFmtId="9" fontId="0" fillId="10" borderId="25" xfId="2" applyNumberFormat="1" applyFont="1" applyFill="1" applyBorder="1"/>
    <xf numFmtId="44" fontId="0" fillId="0" borderId="2" xfId="1" applyFont="1" applyBorder="1"/>
    <xf numFmtId="0" fontId="0" fillId="0" borderId="5" xfId="0" applyBorder="1"/>
    <xf numFmtId="8" fontId="0" fillId="2" borderId="10" xfId="0" applyNumberFormat="1" applyFill="1" applyBorder="1"/>
    <xf numFmtId="8" fontId="2" fillId="12" borderId="14" xfId="0" applyNumberFormat="1" applyFont="1" applyFill="1" applyBorder="1" applyAlignment="1">
      <alignment horizontal="center"/>
    </xf>
    <xf numFmtId="8" fontId="2" fillId="12" borderId="29" xfId="0" applyNumberFormat="1" applyFont="1" applyFill="1" applyBorder="1" applyAlignment="1">
      <alignment horizontal="center"/>
    </xf>
    <xf numFmtId="8" fontId="2" fillId="12" borderId="13" xfId="0" applyNumberFormat="1" applyFont="1" applyFill="1" applyBorder="1" applyAlignment="1">
      <alignment horizontal="center"/>
    </xf>
    <xf numFmtId="8" fontId="2" fillId="12" borderId="2" xfId="0" applyNumberFormat="1" applyFont="1" applyFill="1" applyBorder="1"/>
    <xf numFmtId="44" fontId="0" fillId="2" borderId="11" xfId="2" applyNumberFormat="1" applyFont="1" applyFill="1" applyBorder="1"/>
    <xf numFmtId="44" fontId="0" fillId="2" borderId="12" xfId="0" applyNumberFormat="1" applyFill="1" applyBorder="1"/>
    <xf numFmtId="166" fontId="0" fillId="10" borderId="16" xfId="2" applyNumberFormat="1" applyFont="1" applyFill="1" applyBorder="1"/>
    <xf numFmtId="8" fontId="0" fillId="11" borderId="30" xfId="0" applyNumberFormat="1" applyFill="1" applyBorder="1"/>
    <xf numFmtId="44" fontId="0" fillId="0" borderId="34" xfId="1" applyFont="1" applyBorder="1"/>
    <xf numFmtId="44" fontId="0" fillId="0" borderId="26" xfId="1" applyFont="1" applyBorder="1"/>
    <xf numFmtId="44" fontId="0" fillId="0" borderId="35" xfId="1" applyFont="1" applyBorder="1"/>
  </cellXfs>
  <cellStyles count="3">
    <cellStyle name="Currency" xfId="1" builtinId="4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0C9F-F918-4D9C-AD35-F22EC3C562A8}">
  <dimension ref="A1:D26"/>
  <sheetViews>
    <sheetView zoomScale="85" zoomScaleNormal="85"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1" width="18.5703125" bestFit="1" customWidth="1"/>
    <col min="2" max="2" width="22.5703125" bestFit="1" customWidth="1"/>
    <col min="3" max="4" width="21.5703125" bestFit="1" customWidth="1"/>
  </cols>
  <sheetData>
    <row r="1" spans="1:4" x14ac:dyDescent="0.25">
      <c r="B1" s="34" t="s">
        <v>0</v>
      </c>
      <c r="C1" s="34" t="s">
        <v>1</v>
      </c>
      <c r="D1" s="34" t="s">
        <v>2</v>
      </c>
    </row>
    <row r="2" spans="1:4" x14ac:dyDescent="0.25">
      <c r="A2" s="2" t="s">
        <v>66</v>
      </c>
    </row>
    <row r="3" spans="1:4" x14ac:dyDescent="0.25">
      <c r="A3" s="28" t="s">
        <v>60</v>
      </c>
      <c r="C3" s="41">
        <f>IS!D2/IS!C2</f>
        <v>1.1499999999999999</v>
      </c>
      <c r="D3" s="41">
        <f>IS!E2/IS!D2</f>
        <v>1.1000000000000001</v>
      </c>
    </row>
    <row r="4" spans="1:4" x14ac:dyDescent="0.25">
      <c r="A4" s="44" t="s">
        <v>61</v>
      </c>
      <c r="C4" s="42">
        <f>IS!D3/IS!C3</f>
        <v>1.1335714285714285</v>
      </c>
      <c r="D4" s="42">
        <f>IS!E3/IS!D3</f>
        <v>1.0840579710144929</v>
      </c>
    </row>
    <row r="5" spans="1:4" x14ac:dyDescent="0.25">
      <c r="A5" s="45" t="s">
        <v>62</v>
      </c>
      <c r="C5" s="43">
        <f>IS!D4/IS!C4</f>
        <v>1.1588461538461539</v>
      </c>
      <c r="D5" s="43">
        <f>IS!E4/IS!D4</f>
        <v>1.1083969465648855</v>
      </c>
    </row>
    <row r="6" spans="1:4" x14ac:dyDescent="0.25">
      <c r="C6" s="33"/>
      <c r="D6" s="33"/>
    </row>
    <row r="7" spans="1:4" x14ac:dyDescent="0.25">
      <c r="A7" s="2" t="s">
        <v>67</v>
      </c>
    </row>
    <row r="8" spans="1:4" x14ac:dyDescent="0.25">
      <c r="A8" s="28" t="s">
        <v>63</v>
      </c>
      <c r="B8" s="41">
        <f>IS!C4/IS!C2</f>
        <v>0.65</v>
      </c>
      <c r="C8" s="41">
        <f>IS!D4/IS!D2</f>
        <v>0.65500000000000014</v>
      </c>
      <c r="D8" s="41">
        <f>IS!E4/IS!E2</f>
        <v>0.66</v>
      </c>
    </row>
    <row r="9" spans="1:4" x14ac:dyDescent="0.25">
      <c r="A9" s="44" t="s">
        <v>64</v>
      </c>
      <c r="B9" s="42">
        <f>IS!C7/IS!C2</f>
        <v>0.23499999999999999</v>
      </c>
      <c r="C9" s="42">
        <f>IS!D7/IS!D2</f>
        <v>0.2513478260869566</v>
      </c>
      <c r="D9" s="42">
        <f>IS!E7/IS!E2</f>
        <v>0.26710197628458499</v>
      </c>
    </row>
    <row r="10" spans="1:4" x14ac:dyDescent="0.25">
      <c r="A10" s="45" t="s">
        <v>65</v>
      </c>
      <c r="B10" s="43">
        <f ca="1">IS!C13/IS!C2</f>
        <v>0.47833333333333333</v>
      </c>
      <c r="C10" s="43">
        <f ca="1">IS!D13/IS!D2</f>
        <v>0.49555072463768124</v>
      </c>
      <c r="D10" s="43">
        <f ca="1">IS!E13/IS!E2</f>
        <v>0.51183188405797098</v>
      </c>
    </row>
    <row r="12" spans="1:4" x14ac:dyDescent="0.25">
      <c r="A12" s="56" t="s">
        <v>68</v>
      </c>
    </row>
    <row r="13" spans="1:4" x14ac:dyDescent="0.25">
      <c r="A13" s="35" t="s">
        <v>10</v>
      </c>
      <c r="B13" s="38">
        <f>Assumptions!E25</f>
        <v>15</v>
      </c>
      <c r="C13" s="38" t="e">
        <f>Assumptions!#REF!</f>
        <v>#REF!</v>
      </c>
      <c r="D13" s="38">
        <f>Assumptions!H28</f>
        <v>0</v>
      </c>
    </row>
    <row r="14" spans="1:4" x14ac:dyDescent="0.25">
      <c r="A14" s="36" t="s">
        <v>69</v>
      </c>
      <c r="B14" s="39">
        <f>Assumptions!E24</f>
        <v>5</v>
      </c>
      <c r="C14" s="39" t="e">
        <f>Assumptions!#REF!</f>
        <v>#REF!</v>
      </c>
      <c r="D14" s="39">
        <f>Assumptions!H27</f>
        <v>0</v>
      </c>
    </row>
    <row r="15" spans="1:4" x14ac:dyDescent="0.25">
      <c r="A15" s="37" t="s">
        <v>70</v>
      </c>
      <c r="B15" s="40">
        <f>Assumptions!E26</f>
        <v>25</v>
      </c>
      <c r="C15" s="40" t="e">
        <f>Assumptions!#REF!</f>
        <v>#REF!</v>
      </c>
      <c r="D15" s="40">
        <f>Assumptions!H29</f>
        <v>0</v>
      </c>
    </row>
    <row r="17" spans="1:4" x14ac:dyDescent="0.25">
      <c r="A17" s="2" t="s">
        <v>71</v>
      </c>
    </row>
    <row r="18" spans="1:4" x14ac:dyDescent="0.25">
      <c r="A18" s="46" t="s">
        <v>72</v>
      </c>
      <c r="B18" s="41">
        <f ca="1">BS!C14/BS!C19</f>
        <v>0.14129350815673294</v>
      </c>
      <c r="C18" s="47">
        <f ca="1">BS!D14/BS!D19</f>
        <v>7.1911063847963905E-2</v>
      </c>
      <c r="D18" s="48">
        <f ca="1">BS!E14/BS!E19</f>
        <v>4.6187938537155936E-2</v>
      </c>
    </row>
    <row r="19" spans="1:4" x14ac:dyDescent="0.25">
      <c r="A19" s="49" t="s">
        <v>73</v>
      </c>
      <c r="B19" s="43">
        <f>BS!C14/(IS!C7+IS!C6)</f>
        <v>0.33333333333333331</v>
      </c>
      <c r="C19" s="50">
        <f>BS!D14/(IS!D7+IS!D6)</f>
        <v>0.2734481815695925</v>
      </c>
      <c r="D19" s="51">
        <f>BS!E14/(IS!E7+IS!E6)</f>
        <v>0.23527197440240918</v>
      </c>
    </row>
    <row r="21" spans="1:4" x14ac:dyDescent="0.25">
      <c r="A21" s="2" t="s">
        <v>74</v>
      </c>
    </row>
    <row r="22" spans="1:4" x14ac:dyDescent="0.25">
      <c r="A22" s="46" t="s">
        <v>75</v>
      </c>
      <c r="B22" s="41">
        <f ca="1">B10</f>
        <v>0.47833333333333333</v>
      </c>
      <c r="C22" s="41">
        <f t="shared" ref="C22:D22" ca="1" si="0">C10</f>
        <v>0.49555072463768124</v>
      </c>
      <c r="D22" s="48">
        <f t="shared" ca="1" si="0"/>
        <v>0.51183188405797098</v>
      </c>
    </row>
    <row r="23" spans="1:4" x14ac:dyDescent="0.25">
      <c r="A23" s="52" t="s">
        <v>76</v>
      </c>
      <c r="B23" s="42">
        <f ca="1">IS!C2/((BS!C8+BS!B8)/2)</f>
        <v>2.1991953774248749</v>
      </c>
      <c r="C23" s="42">
        <f ca="1">IS!D2/((BS!D8+BS!C8)/2)</f>
        <v>1.1696253819472986</v>
      </c>
      <c r="D23" s="53">
        <f ca="1">IS!E2/((BS!E8+BS!D8)/2)</f>
        <v>0.79400899313670958</v>
      </c>
    </row>
    <row r="24" spans="1:4" x14ac:dyDescent="0.25">
      <c r="A24" s="52" t="s">
        <v>77</v>
      </c>
      <c r="B24" s="42">
        <f ca="1">((BS!C8+BS!B8)/2)/((BS!C19+BS!B19)/2)</f>
        <v>1.2961009937938588</v>
      </c>
      <c r="C24" s="42">
        <f ca="1">((BS!D8+BS!C8)/2)/((BS!D19+BS!C19)/2)</f>
        <v>1.1245627820563131</v>
      </c>
      <c r="D24" s="53">
        <f ca="1">((BS!E8+BS!D8)/2)/((BS!E19+BS!D19)/2)</f>
        <v>1.0753613165809359</v>
      </c>
    </row>
    <row r="25" spans="1:4" x14ac:dyDescent="0.25">
      <c r="A25" s="54" t="s">
        <v>78</v>
      </c>
      <c r="B25" s="57">
        <f ca="1">B22*B23*B24</f>
        <v>1.363431438638697</v>
      </c>
      <c r="C25" s="57">
        <f t="shared" ref="C25:D25" ca="1" si="1">C22*C23*C24</f>
        <v>0.65180637844953848</v>
      </c>
      <c r="D25" s="55">
        <f t="shared" ca="1" si="1"/>
        <v>0.43702589157498684</v>
      </c>
    </row>
    <row r="26" spans="1:4" x14ac:dyDescent="0.25">
      <c r="A26" s="49" t="s">
        <v>78</v>
      </c>
      <c r="B26" s="43">
        <f ca="1">IS!C13/((BS!C19+BS!B19)/2)</f>
        <v>1.3634314386386968</v>
      </c>
      <c r="C26" s="43">
        <f ca="1">IS!D13/((BS!D19+BS!C19)/2)</f>
        <v>0.65180637844953848</v>
      </c>
      <c r="D26" s="51">
        <f ca="1">IS!E13/((BS!E19+BS!D19)/2)</f>
        <v>0.43702589157498689</v>
      </c>
    </row>
  </sheetData>
  <conditionalFormatting sqref="B25">
    <cfRule type="cellIs" dxfId="6" priority="3" operator="equal">
      <formula>$B$26</formula>
    </cfRule>
  </conditionalFormatting>
  <conditionalFormatting sqref="C25">
    <cfRule type="cellIs" dxfId="5" priority="2" operator="equal">
      <formula>$C$26</formula>
    </cfRule>
  </conditionalFormatting>
  <conditionalFormatting sqref="D25">
    <cfRule type="cellIs" dxfId="4" priority="1" operator="equal">
      <formula>$D$26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B33F-8471-41F3-AEF2-8E03693DC691}">
  <dimension ref="A1:E13"/>
  <sheetViews>
    <sheetView workbookViewId="0">
      <selection activeCell="E9" sqref="E9"/>
    </sheetView>
  </sheetViews>
  <sheetFormatPr defaultRowHeight="15" x14ac:dyDescent="0.25"/>
  <cols>
    <col min="1" max="1" width="23.7109375" bestFit="1" customWidth="1"/>
    <col min="2" max="2" width="15.85546875" style="19" bestFit="1" customWidth="1"/>
    <col min="3" max="5" width="15.85546875" bestFit="1" customWidth="1"/>
  </cols>
  <sheetData>
    <row r="1" spans="1:5" x14ac:dyDescent="0.25">
      <c r="B1" s="19" t="s">
        <v>35</v>
      </c>
      <c r="C1" t="s">
        <v>0</v>
      </c>
      <c r="D1" t="s">
        <v>1</v>
      </c>
      <c r="E1" t="s">
        <v>2</v>
      </c>
    </row>
    <row r="2" spans="1:5" x14ac:dyDescent="0.25">
      <c r="A2" s="13" t="s">
        <v>36</v>
      </c>
      <c r="B2" s="16">
        <v>10000000</v>
      </c>
      <c r="C2" s="23">
        <f>B2*(1+Assumptions!E18)</f>
        <v>12000000</v>
      </c>
      <c r="D2" s="23">
        <f>C2*(1+Assumptions!F18)</f>
        <v>13799999.999999998</v>
      </c>
      <c r="E2" s="23">
        <f>D2*(1+Assumptions!G18)</f>
        <v>15180000</v>
      </c>
    </row>
    <row r="3" spans="1:5" x14ac:dyDescent="0.25">
      <c r="A3" s="14" t="s">
        <v>37</v>
      </c>
      <c r="B3" s="20">
        <f>B2*Assumptions!E19</f>
        <v>3500000</v>
      </c>
      <c r="C3" s="20">
        <f>C2*Assumptions!E19</f>
        <v>4200000</v>
      </c>
      <c r="D3" s="20">
        <f>D2*Assumptions!F19</f>
        <v>4760999.9999999991</v>
      </c>
      <c r="E3" s="20">
        <f>E2*Assumptions!G19</f>
        <v>5161200</v>
      </c>
    </row>
    <row r="4" spans="1:5" x14ac:dyDescent="0.25">
      <c r="A4" s="21" t="s">
        <v>39</v>
      </c>
      <c r="B4" s="22">
        <f>B2-B3</f>
        <v>6500000</v>
      </c>
      <c r="C4" s="22">
        <f t="shared" ref="C4:E4" si="0">C2-C3</f>
        <v>7800000</v>
      </c>
      <c r="D4" s="22">
        <f t="shared" si="0"/>
        <v>9039000</v>
      </c>
      <c r="E4" s="22">
        <f t="shared" si="0"/>
        <v>10018800</v>
      </c>
    </row>
    <row r="5" spans="1:5" x14ac:dyDescent="0.25">
      <c r="A5" s="14" t="s">
        <v>42</v>
      </c>
      <c r="B5" s="20">
        <f>B2*Assumptions!E20</f>
        <v>4000000</v>
      </c>
      <c r="C5" s="20">
        <f>C2*Assumptions!E20</f>
        <v>4800000</v>
      </c>
      <c r="D5" s="20">
        <f>D2*Assumptions!F20</f>
        <v>5381999.9999999991</v>
      </c>
      <c r="E5" s="20">
        <f>E2*Assumptions!G20</f>
        <v>5768400</v>
      </c>
    </row>
    <row r="6" spans="1:5" x14ac:dyDescent="0.25">
      <c r="A6" s="14" t="s">
        <v>38</v>
      </c>
      <c r="B6" s="20">
        <f>BS!B7*Assumptions!E30</f>
        <v>180000</v>
      </c>
      <c r="C6" s="20">
        <f>BS!B7*Assumptions!E30</f>
        <v>180000</v>
      </c>
      <c r="D6" s="20">
        <f>BS!C7*Assumptions!F30</f>
        <v>188400</v>
      </c>
      <c r="E6" s="20">
        <f>BS!D7*Assumptions!G30</f>
        <v>195792</v>
      </c>
    </row>
    <row r="7" spans="1:5" x14ac:dyDescent="0.25">
      <c r="A7" s="14" t="s">
        <v>43</v>
      </c>
      <c r="B7" s="20">
        <f>B4-B5-B6</f>
        <v>2320000</v>
      </c>
      <c r="C7" s="20">
        <f>C4-C5-C6</f>
        <v>2820000</v>
      </c>
      <c r="D7" s="20">
        <f t="shared" ref="D7:E7" si="1">D4-D5-D6</f>
        <v>3468600.0000000009</v>
      </c>
      <c r="E7" s="20">
        <f t="shared" si="1"/>
        <v>4054608</v>
      </c>
    </row>
    <row r="8" spans="1:5" x14ac:dyDescent="0.25">
      <c r="A8" s="14" t="s">
        <v>83</v>
      </c>
      <c r="B8" s="20">
        <f>BS!B14*Assumptions!$E$32</f>
        <v>80000</v>
      </c>
      <c r="C8" s="20">
        <f>BS!C14*Assumptions!$E$32</f>
        <v>80000</v>
      </c>
      <c r="D8" s="20">
        <f>BS!D14*Assumptions!$E$32</f>
        <v>80000</v>
      </c>
      <c r="E8" s="20">
        <f>BS!E14*Assumptions!$E$32</f>
        <v>80000</v>
      </c>
    </row>
    <row r="9" spans="1:5" x14ac:dyDescent="0.25">
      <c r="A9" s="14" t="s">
        <v>94</v>
      </c>
      <c r="B9" s="20"/>
      <c r="C9" s="20">
        <f ca="1">BS!C12*Assumptions!$E$36</f>
        <v>0</v>
      </c>
      <c r="D9" s="20">
        <f ca="1">BS!D12*Assumptions!$E$36</f>
        <v>0</v>
      </c>
      <c r="E9" s="20">
        <f ca="1">BS!D12*Assumptions!$E$36</f>
        <v>0</v>
      </c>
    </row>
    <row r="10" spans="1:5" x14ac:dyDescent="0.25">
      <c r="A10" s="14" t="s">
        <v>84</v>
      </c>
      <c r="B10" s="20">
        <f>SUM(B8:B9)</f>
        <v>80000</v>
      </c>
      <c r="C10" s="20">
        <f t="shared" ref="C10:E10" ca="1" si="2">SUM(C8:C9)</f>
        <v>80000</v>
      </c>
      <c r="D10" s="20">
        <f t="shared" ca="1" si="2"/>
        <v>80000</v>
      </c>
      <c r="E10" s="20">
        <f t="shared" ca="1" si="2"/>
        <v>80000</v>
      </c>
    </row>
    <row r="11" spans="1:5" x14ac:dyDescent="0.25">
      <c r="A11" s="14" t="s">
        <v>44</v>
      </c>
      <c r="B11" s="20">
        <f>B7-B10</f>
        <v>2240000</v>
      </c>
      <c r="C11" s="20">
        <f t="shared" ref="C11:E11" ca="1" si="3">C7-C10</f>
        <v>2740000</v>
      </c>
      <c r="D11" s="20">
        <f t="shared" ca="1" si="3"/>
        <v>3388600.0000000009</v>
      </c>
      <c r="E11" s="20">
        <f t="shared" ca="1" si="3"/>
        <v>3974608</v>
      </c>
    </row>
    <row r="12" spans="1:5" x14ac:dyDescent="0.25">
      <c r="A12" s="14" t="s">
        <v>41</v>
      </c>
      <c r="B12" s="20">
        <f>IS!B2*Assumptions!E21</f>
        <v>2500000</v>
      </c>
      <c r="C12" s="20">
        <f>IS!C2*Assumptions!E21</f>
        <v>3000000</v>
      </c>
      <c r="D12" s="20">
        <f>IS!D2*Assumptions!F21</f>
        <v>3449999.9999999995</v>
      </c>
      <c r="E12" s="20">
        <f>IS!E2*Assumptions!G21</f>
        <v>3795000</v>
      </c>
    </row>
    <row r="13" spans="1:5" x14ac:dyDescent="0.25">
      <c r="A13" s="21" t="s">
        <v>40</v>
      </c>
      <c r="B13" s="22">
        <f>B11+B12</f>
        <v>4740000</v>
      </c>
      <c r="C13" s="22">
        <f ca="1">C11+C12</f>
        <v>5740000</v>
      </c>
      <c r="D13" s="22">
        <f t="shared" ref="D13:E13" ca="1" si="4">D11+D12</f>
        <v>6838600</v>
      </c>
      <c r="E13" s="22">
        <f t="shared" ca="1" si="4"/>
        <v>7769608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27F5-3ECD-4774-8A2F-8C170E911D60}">
  <dimension ref="A1:E42"/>
  <sheetViews>
    <sheetView zoomScale="85" zoomScaleNormal="85" workbookViewId="0">
      <selection activeCell="G29" sqref="G29"/>
    </sheetView>
  </sheetViews>
  <sheetFormatPr defaultRowHeight="15" x14ac:dyDescent="0.25"/>
  <cols>
    <col min="1" max="1" width="43.140625" bestFit="1" customWidth="1"/>
    <col min="2" max="3" width="20.42578125" bestFit="1" customWidth="1"/>
    <col min="4" max="4" width="16.5703125" bestFit="1" customWidth="1"/>
    <col min="5" max="5" width="16" bestFit="1" customWidth="1"/>
  </cols>
  <sheetData>
    <row r="1" spans="1:5" ht="18.75" x14ac:dyDescent="0.3">
      <c r="A1" t="s">
        <v>34</v>
      </c>
      <c r="B1" s="18" t="s">
        <v>50</v>
      </c>
      <c r="C1" s="18" t="s">
        <v>0</v>
      </c>
      <c r="D1" s="18" t="s">
        <v>1</v>
      </c>
      <c r="E1" s="18" t="s">
        <v>2</v>
      </c>
    </row>
    <row r="2" spans="1:5" x14ac:dyDescent="0.25">
      <c r="A2" t="s">
        <v>17</v>
      </c>
    </row>
    <row r="3" spans="1:5" x14ac:dyDescent="0.25">
      <c r="A3" s="13" t="s">
        <v>18</v>
      </c>
      <c r="B3" s="16">
        <v>500000</v>
      </c>
      <c r="C3" s="27">
        <f ca="1">CFS!B20</f>
        <v>6458150.9315068498</v>
      </c>
      <c r="D3" s="27">
        <f ca="1">CFS!C20</f>
        <v>13215863.260273974</v>
      </c>
      <c r="E3" s="27">
        <f ca="1">CFS!D20</f>
        <v>20898323.534246579</v>
      </c>
    </row>
    <row r="4" spans="1:5" x14ac:dyDescent="0.25">
      <c r="A4" s="14" t="s">
        <v>19</v>
      </c>
      <c r="B4" s="17">
        <v>136986</v>
      </c>
      <c r="C4" s="26">
        <f>(Assumptions!E24/365)*IS!C2</f>
        <v>164383.56164383559</v>
      </c>
      <c r="D4" s="26">
        <f>(Assumptions!F24/365)*IS!D2</f>
        <v>189041.09589041091</v>
      </c>
      <c r="E4" s="26">
        <f>(Assumptions!G24/365)*IS!E2</f>
        <v>207945.20547945204</v>
      </c>
    </row>
    <row r="5" spans="1:5" x14ac:dyDescent="0.25">
      <c r="A5" s="14" t="s">
        <v>20</v>
      </c>
      <c r="B5" s="17">
        <v>410959</v>
      </c>
      <c r="C5" s="26">
        <f>(Assumptions!E25/365)*IS!C3</f>
        <v>172602.73972602739</v>
      </c>
      <c r="D5" s="26">
        <f>(Assumptions!F25/365)*IS!D3</f>
        <v>195657.53424657529</v>
      </c>
      <c r="E5" s="26">
        <f>(Assumptions!G25/365)*IS!E3</f>
        <v>212104.10958904109</v>
      </c>
    </row>
    <row r="6" spans="1:5" x14ac:dyDescent="0.25">
      <c r="A6" s="13" t="s">
        <v>21</v>
      </c>
      <c r="B6" s="101">
        <f>SUM(B3:B5)</f>
        <v>1047945</v>
      </c>
      <c r="C6" s="101">
        <f t="shared" ref="C6:E6" ca="1" si="0">SUM(C3:C5)</f>
        <v>6795137.2328767125</v>
      </c>
      <c r="D6" s="101">
        <f t="shared" ca="1" si="0"/>
        <v>13600561.89041096</v>
      </c>
      <c r="E6" s="101">
        <f t="shared" ca="1" si="0"/>
        <v>21318372.84931507</v>
      </c>
    </row>
    <row r="7" spans="1:5" x14ac:dyDescent="0.25">
      <c r="A7" s="14" t="s">
        <v>22</v>
      </c>
      <c r="B7" s="17">
        <v>1500000</v>
      </c>
      <c r="C7" s="26">
        <f>B7+Assumptions!E29-IS!C6</f>
        <v>1570000</v>
      </c>
      <c r="D7" s="26">
        <f>C7+Assumptions!F29-IS!D6</f>
        <v>1631600</v>
      </c>
      <c r="E7" s="26">
        <f>D7+Assumptions!G29-IS!E6</f>
        <v>1685808</v>
      </c>
    </row>
    <row r="8" spans="1:5" x14ac:dyDescent="0.25">
      <c r="A8" s="21" t="s">
        <v>23</v>
      </c>
      <c r="B8" s="22">
        <f>SUM(B6:B7)</f>
        <v>2547945</v>
      </c>
      <c r="C8" s="22">
        <f ca="1">SUM(C6:C7)</f>
        <v>8365137.2328767125</v>
      </c>
      <c r="D8" s="22">
        <f t="shared" ref="D8:E8" ca="1" si="1">SUM(D6:D7)</f>
        <v>15232161.89041096</v>
      </c>
      <c r="E8" s="22">
        <f t="shared" ca="1" si="1"/>
        <v>23004180.84931507</v>
      </c>
    </row>
    <row r="9" spans="1:5" x14ac:dyDescent="0.25">
      <c r="B9" s="19"/>
    </row>
    <row r="10" spans="1:5" x14ac:dyDescent="0.25">
      <c r="A10" t="s">
        <v>24</v>
      </c>
      <c r="B10" s="19"/>
    </row>
    <row r="11" spans="1:5" x14ac:dyDescent="0.25">
      <c r="A11" s="13" t="s">
        <v>25</v>
      </c>
      <c r="B11" s="16">
        <v>205479</v>
      </c>
      <c r="C11" s="27">
        <f>(Assumptions!E26/365)*IS!C3</f>
        <v>287671.23287671234</v>
      </c>
      <c r="D11" s="27">
        <f>(Assumptions!F26/365)*IS!D3</f>
        <v>326095.89041095885</v>
      </c>
      <c r="E11" s="27">
        <f>(Assumptions!G26/365)*IS!E3</f>
        <v>353506.84931506845</v>
      </c>
    </row>
    <row r="12" spans="1:5" x14ac:dyDescent="0.25">
      <c r="A12" s="14" t="s">
        <v>80</v>
      </c>
      <c r="B12" s="17"/>
      <c r="C12" s="26">
        <f ca="1">C31</f>
        <v>0</v>
      </c>
      <c r="D12" s="26">
        <f ca="1">D31</f>
        <v>0</v>
      </c>
      <c r="E12" s="26">
        <f ca="1">E31</f>
        <v>0</v>
      </c>
    </row>
    <row r="13" spans="1:5" x14ac:dyDescent="0.25">
      <c r="A13" s="13" t="s">
        <v>26</v>
      </c>
      <c r="B13" s="101">
        <f>SUM(B11,B12)</f>
        <v>205479</v>
      </c>
      <c r="C13" s="101">
        <f t="shared" ref="C13:D13" ca="1" si="2">SUM(C11,C12)</f>
        <v>287671.23287671234</v>
      </c>
      <c r="D13" s="101">
        <f t="shared" ca="1" si="2"/>
        <v>326095.89041095885</v>
      </c>
      <c r="E13" s="101">
        <f ca="1">SUM(E11,E12)</f>
        <v>353506.84931506845</v>
      </c>
    </row>
    <row r="14" spans="1:5" x14ac:dyDescent="0.25">
      <c r="A14" s="14" t="s">
        <v>27</v>
      </c>
      <c r="B14" s="17">
        <v>1000000</v>
      </c>
      <c r="C14" s="26">
        <f>B14</f>
        <v>1000000</v>
      </c>
      <c r="D14" s="26">
        <f t="shared" ref="D14:E14" si="3">C14</f>
        <v>1000000</v>
      </c>
      <c r="E14" s="26">
        <f t="shared" si="3"/>
        <v>1000000</v>
      </c>
    </row>
    <row r="15" spans="1:5" x14ac:dyDescent="0.25">
      <c r="A15" s="102" t="s">
        <v>28</v>
      </c>
      <c r="B15" s="103">
        <f>SUM(B13:B14)</f>
        <v>1205479</v>
      </c>
      <c r="C15" s="103">
        <f ca="1">SUM(C13:C14)</f>
        <v>1287671.2328767125</v>
      </c>
      <c r="D15" s="103">
        <f ca="1">SUM(D13:D14)</f>
        <v>1326095.8904109588</v>
      </c>
      <c r="E15" s="103">
        <f ca="1">SUM(E13:E14)</f>
        <v>1353506.8493150685</v>
      </c>
    </row>
    <row r="16" spans="1:5" x14ac:dyDescent="0.25">
      <c r="B16" s="19"/>
    </row>
    <row r="17" spans="1:5" x14ac:dyDescent="0.25">
      <c r="A17" s="13" t="s">
        <v>29</v>
      </c>
      <c r="B17" s="16">
        <v>500000</v>
      </c>
      <c r="C17" s="27">
        <f>B17</f>
        <v>500000</v>
      </c>
      <c r="D17" s="27">
        <f t="shared" ref="D17:E17" si="4">C17</f>
        <v>500000</v>
      </c>
      <c r="E17" s="27">
        <f t="shared" si="4"/>
        <v>500000</v>
      </c>
    </row>
    <row r="18" spans="1:5" x14ac:dyDescent="0.25">
      <c r="A18" s="14" t="s">
        <v>30</v>
      </c>
      <c r="B18" s="17">
        <v>842466</v>
      </c>
      <c r="C18" s="26">
        <f ca="1">B18+IS!C13-Assumptions!E31</f>
        <v>6577466</v>
      </c>
      <c r="D18" s="26">
        <f ca="1">C18+IS!D13-Assumptions!F31</f>
        <v>13406066</v>
      </c>
      <c r="E18" s="26">
        <f ca="1">D18+IS!E13-Assumptions!G31</f>
        <v>21150674</v>
      </c>
    </row>
    <row r="19" spans="1:5" x14ac:dyDescent="0.25">
      <c r="A19" s="102" t="s">
        <v>31</v>
      </c>
      <c r="B19" s="103">
        <f>SUM(B17:B18)</f>
        <v>1342466</v>
      </c>
      <c r="C19" s="103">
        <f t="shared" ref="C19:E19" ca="1" si="5">SUM(C17:C18)</f>
        <v>7077466</v>
      </c>
      <c r="D19" s="103">
        <f t="shared" ca="1" si="5"/>
        <v>13906066</v>
      </c>
      <c r="E19" s="103">
        <f t="shared" ca="1" si="5"/>
        <v>21650674</v>
      </c>
    </row>
    <row r="20" spans="1:5" x14ac:dyDescent="0.25">
      <c r="A20" s="21" t="s">
        <v>32</v>
      </c>
      <c r="B20" s="22">
        <f>SUM(B15,B19)</f>
        <v>2547945</v>
      </c>
      <c r="C20" s="22">
        <f t="shared" ref="C20:E20" ca="1" si="6">SUM(C15,C19)</f>
        <v>8365137.2328767125</v>
      </c>
      <c r="D20" s="22">
        <f t="shared" ca="1" si="6"/>
        <v>15232161.89041096</v>
      </c>
      <c r="E20" s="22">
        <f t="shared" ca="1" si="6"/>
        <v>23004180.84931507</v>
      </c>
    </row>
    <row r="21" spans="1:5" x14ac:dyDescent="0.25">
      <c r="A21" s="21" t="s">
        <v>33</v>
      </c>
      <c r="B21" s="22">
        <f>B8-B20</f>
        <v>0</v>
      </c>
      <c r="C21" s="22">
        <f ca="1">C8-C20</f>
        <v>0</v>
      </c>
      <c r="D21" s="22">
        <f ca="1">D8-D20</f>
        <v>0</v>
      </c>
      <c r="E21" s="22">
        <f ca="1">E8-E20</f>
        <v>0</v>
      </c>
    </row>
    <row r="23" spans="1:5" x14ac:dyDescent="0.25">
      <c r="C23" s="85"/>
    </row>
    <row r="24" spans="1:5" x14ac:dyDescent="0.25">
      <c r="C24" s="85"/>
    </row>
    <row r="25" spans="1:5" x14ac:dyDescent="0.25">
      <c r="A25" s="4" t="s">
        <v>87</v>
      </c>
      <c r="B25" s="104"/>
      <c r="C25" s="30">
        <f ca="1">B3+CFS!B7+CFS!B11-Assumptions!E31</f>
        <v>6458150.9315068498</v>
      </c>
      <c r="D25" s="30">
        <f ca="1">C3+CFS!C7+CFS!C11-Assumptions!F31</f>
        <v>13215863.260273974</v>
      </c>
      <c r="E25" s="31">
        <f ca="1">D3+CFS!D7+CFS!D11-Assumptions!G31</f>
        <v>20898323.534246579</v>
      </c>
    </row>
    <row r="26" spans="1:5" x14ac:dyDescent="0.25">
      <c r="A26" s="5" t="s">
        <v>88</v>
      </c>
      <c r="B26" s="3"/>
      <c r="C26" s="105">
        <f>Assumptions!$E$35</f>
        <v>500000</v>
      </c>
      <c r="D26" s="105">
        <f>Assumptions!$E$35</f>
        <v>500000</v>
      </c>
      <c r="E26" s="106">
        <f>Assumptions!$E$35</f>
        <v>500000</v>
      </c>
    </row>
    <row r="27" spans="1:5" x14ac:dyDescent="0.25">
      <c r="A27" s="5" t="s">
        <v>86</v>
      </c>
      <c r="B27" s="3"/>
      <c r="C27" s="105">
        <f ca="1">C25-C26</f>
        <v>5958150.9315068498</v>
      </c>
      <c r="D27" s="105">
        <f t="shared" ref="D27:E27" ca="1" si="7">D25-D26</f>
        <v>12715863.260273974</v>
      </c>
      <c r="E27" s="106">
        <f t="shared" ca="1" si="7"/>
        <v>20398323.534246579</v>
      </c>
    </row>
    <row r="28" spans="1:5" x14ac:dyDescent="0.25">
      <c r="A28" s="5" t="s">
        <v>89</v>
      </c>
      <c r="B28" s="3"/>
      <c r="C28" s="105">
        <f t="shared" ref="C28:D28" si="8">B12</f>
        <v>0</v>
      </c>
      <c r="D28" s="105">
        <f t="shared" ca="1" si="8"/>
        <v>0</v>
      </c>
      <c r="E28" s="106">
        <f t="shared" ref="E28" ca="1" si="9">D12</f>
        <v>0</v>
      </c>
    </row>
    <row r="29" spans="1:5" x14ac:dyDescent="0.25">
      <c r="A29" s="5" t="s">
        <v>90</v>
      </c>
      <c r="B29" s="3"/>
      <c r="C29" s="105">
        <f ca="1">-MIN(MAX(0,C27),C28)</f>
        <v>0</v>
      </c>
      <c r="D29" s="105">
        <f ca="1">-MIN(MAX(0,D27),D28)</f>
        <v>0</v>
      </c>
      <c r="E29" s="106">
        <f ca="1">-MIN(MAX(0,E27),E28)</f>
        <v>0</v>
      </c>
    </row>
    <row r="30" spans="1:5" x14ac:dyDescent="0.25">
      <c r="A30" s="5" t="s">
        <v>85</v>
      </c>
      <c r="B30" s="3"/>
      <c r="C30" s="105">
        <f ca="1">-MIN(0,C27)</f>
        <v>0</v>
      </c>
      <c r="D30" s="105">
        <f ca="1">-MIN(0,D27)</f>
        <v>0</v>
      </c>
      <c r="E30" s="106">
        <f ca="1">-MIN(0,E27)</f>
        <v>0</v>
      </c>
    </row>
    <row r="31" spans="1:5" x14ac:dyDescent="0.25">
      <c r="A31" s="6" t="s">
        <v>91</v>
      </c>
      <c r="B31" s="107"/>
      <c r="C31" s="108">
        <f t="shared" ref="C31:E31" ca="1" si="10">C28+C29+C30</f>
        <v>0</v>
      </c>
      <c r="D31" s="108">
        <f t="shared" ref="D31" ca="1" si="11">D28+D29+D30</f>
        <v>0</v>
      </c>
      <c r="E31" s="109">
        <f t="shared" ca="1" si="10"/>
        <v>0</v>
      </c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  <row r="41" spans="2:5" x14ac:dyDescent="0.25">
      <c r="B41" s="19"/>
      <c r="C41" s="19"/>
      <c r="D41" s="19"/>
      <c r="E41" s="19"/>
    </row>
    <row r="42" spans="2:5" x14ac:dyDescent="0.25">
      <c r="B42" s="19"/>
      <c r="C42" s="19"/>
      <c r="D42" s="19"/>
      <c r="E42" s="19"/>
    </row>
  </sheetData>
  <conditionalFormatting sqref="B21:E21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2B2D-8DAC-413D-A52D-AA4E58BF4521}">
  <dimension ref="A1:D28"/>
  <sheetViews>
    <sheetView zoomScale="85" zoomScaleNormal="85" workbookViewId="0">
      <selection activeCell="F26" sqref="F26"/>
    </sheetView>
  </sheetViews>
  <sheetFormatPr defaultRowHeight="15" x14ac:dyDescent="0.25"/>
  <cols>
    <col min="1" max="1" width="37.28515625" bestFit="1" customWidth="1"/>
    <col min="2" max="3" width="15.85546875" bestFit="1" customWidth="1"/>
    <col min="4" max="4" width="16" bestFit="1" customWidth="1"/>
  </cols>
  <sheetData>
    <row r="1" spans="1:4" x14ac:dyDescent="0.25">
      <c r="A1" t="s">
        <v>45</v>
      </c>
      <c r="B1" s="28" t="s">
        <v>0</v>
      </c>
      <c r="C1" s="28" t="s">
        <v>1</v>
      </c>
      <c r="D1" s="28" t="s">
        <v>2</v>
      </c>
    </row>
    <row r="2" spans="1:4" x14ac:dyDescent="0.25">
      <c r="A2" s="4" t="s">
        <v>40</v>
      </c>
      <c r="B2" s="27">
        <f ca="1">IS!C13</f>
        <v>5740000</v>
      </c>
      <c r="C2" s="27">
        <f ca="1">IS!D13</f>
        <v>6838600</v>
      </c>
      <c r="D2" s="27">
        <f ca="1">IS!E13</f>
        <v>7769608</v>
      </c>
    </row>
    <row r="3" spans="1:4" x14ac:dyDescent="0.25">
      <c r="A3" s="5" t="s">
        <v>38</v>
      </c>
      <c r="B3" s="26">
        <f>IS!C6</f>
        <v>180000</v>
      </c>
      <c r="C3" s="26">
        <f>IS!D6</f>
        <v>188400</v>
      </c>
      <c r="D3" s="26">
        <f>IS!E6</f>
        <v>195792</v>
      </c>
    </row>
    <row r="4" spans="1:4" x14ac:dyDescent="0.25">
      <c r="A4" s="5" t="s">
        <v>46</v>
      </c>
      <c r="B4" s="26">
        <f>-(BS!C4-BS!B4)</f>
        <v>-27397.561643835594</v>
      </c>
      <c r="C4" s="26">
        <f>-(BS!D4-BS!C4)</f>
        <v>-24657.53424657532</v>
      </c>
      <c r="D4" s="26">
        <f>-(BS!E4-BS!D4)</f>
        <v>-18904.109589041123</v>
      </c>
    </row>
    <row r="5" spans="1:4" x14ac:dyDescent="0.25">
      <c r="A5" s="5" t="s">
        <v>47</v>
      </c>
      <c r="B5" s="26">
        <f>-(BS!C5-BS!B5)</f>
        <v>238356.26027397261</v>
      </c>
      <c r="C5" s="26">
        <f>-(BS!D5-BS!C5)</f>
        <v>-23054.794520547905</v>
      </c>
      <c r="D5" s="26">
        <f>-(BS!E5-BS!D5)</f>
        <v>-16446.575342465803</v>
      </c>
    </row>
    <row r="6" spans="1:4" x14ac:dyDescent="0.25">
      <c r="A6" s="5" t="s">
        <v>48</v>
      </c>
      <c r="B6" s="26">
        <f>BS!C11-BS!B11</f>
        <v>82192.23287671234</v>
      </c>
      <c r="C6" s="26">
        <f>BS!D11-BS!C11</f>
        <v>38424.657534246508</v>
      </c>
      <c r="D6" s="26">
        <f>BS!E11-BS!D11</f>
        <v>27410.958904109604</v>
      </c>
    </row>
    <row r="7" spans="1:4" x14ac:dyDescent="0.25">
      <c r="A7" s="24" t="s">
        <v>49</v>
      </c>
      <c r="B7" s="29">
        <f ca="1">SUM(B2:B6)</f>
        <v>6213150.9315068498</v>
      </c>
      <c r="C7" s="29">
        <f t="shared" ref="C7:D7" ca="1" si="0">SUM(C2:C6)</f>
        <v>7017712.3287671236</v>
      </c>
      <c r="D7" s="29">
        <f t="shared" ca="1" si="0"/>
        <v>7957460.2739726026</v>
      </c>
    </row>
    <row r="9" spans="1:4" x14ac:dyDescent="0.25">
      <c r="A9" t="s">
        <v>51</v>
      </c>
    </row>
    <row r="10" spans="1:4" x14ac:dyDescent="0.25">
      <c r="A10" s="4" t="s">
        <v>52</v>
      </c>
      <c r="B10" s="27">
        <f>-Assumptions!E29</f>
        <v>-250000</v>
      </c>
      <c r="C10" s="27">
        <f>-Assumptions!F29</f>
        <v>-250000</v>
      </c>
      <c r="D10" s="31">
        <f>-Assumptions!G29</f>
        <v>-250000</v>
      </c>
    </row>
    <row r="11" spans="1:4" x14ac:dyDescent="0.25">
      <c r="A11" s="24" t="s">
        <v>53</v>
      </c>
      <c r="B11" s="29">
        <f>SUM(B10)</f>
        <v>-250000</v>
      </c>
      <c r="C11" s="29">
        <f t="shared" ref="C11:D11" si="1">SUM(C10)</f>
        <v>-250000</v>
      </c>
      <c r="D11" s="29">
        <f t="shared" si="1"/>
        <v>-250000</v>
      </c>
    </row>
    <row r="13" spans="1:4" x14ac:dyDescent="0.25">
      <c r="A13" t="s">
        <v>54</v>
      </c>
    </row>
    <row r="14" spans="1:4" x14ac:dyDescent="0.25">
      <c r="A14" s="13" t="s">
        <v>55</v>
      </c>
      <c r="B14" s="27">
        <f ca="1">BS!C29+BS!C30</f>
        <v>0</v>
      </c>
      <c r="C14" s="27">
        <f ca="1">BS!D29+BS!D30</f>
        <v>0</v>
      </c>
      <c r="D14" s="27">
        <f ca="1">BS!E29+BS!E30</f>
        <v>0</v>
      </c>
    </row>
    <row r="15" spans="1:4" x14ac:dyDescent="0.25">
      <c r="A15" s="15" t="s">
        <v>15</v>
      </c>
      <c r="B15" s="20">
        <f>-Assumptions!E31</f>
        <v>-5000</v>
      </c>
      <c r="C15" s="20">
        <f>-Assumptions!F31</f>
        <v>-10000</v>
      </c>
      <c r="D15" s="20">
        <f>-Assumptions!G31</f>
        <v>-25000</v>
      </c>
    </row>
    <row r="16" spans="1:4" x14ac:dyDescent="0.25">
      <c r="A16" s="24" t="s">
        <v>56</v>
      </c>
      <c r="B16" s="29">
        <f ca="1">SUM(B14:B15)</f>
        <v>-5000</v>
      </c>
      <c r="C16" s="29">
        <f t="shared" ref="C16" ca="1" si="2">SUM(C14:C15)</f>
        <v>-10000</v>
      </c>
      <c r="D16" s="29">
        <f ca="1">SUM(D14:D15)</f>
        <v>-25000</v>
      </c>
    </row>
    <row r="18" spans="1:4" x14ac:dyDescent="0.25">
      <c r="A18" s="24" t="s">
        <v>57</v>
      </c>
      <c r="B18" s="29">
        <f ca="1">SUM(B7,B11,B16)</f>
        <v>5958150.9315068498</v>
      </c>
      <c r="C18" s="29">
        <f ca="1">SUM(C7,C11,C16)</f>
        <v>6757712.3287671236</v>
      </c>
      <c r="D18" s="29">
        <f ca="1">SUM(D7,D11,D16)</f>
        <v>7682460.2739726026</v>
      </c>
    </row>
    <row r="19" spans="1:4" x14ac:dyDescent="0.25">
      <c r="A19" s="3" t="s">
        <v>58</v>
      </c>
      <c r="B19" s="26">
        <f>BS!B3</f>
        <v>500000</v>
      </c>
      <c r="C19" s="26">
        <f ca="1">BS!C3</f>
        <v>6458150.9315068498</v>
      </c>
      <c r="D19" s="26">
        <f ca="1">BS!D3</f>
        <v>13215863.260273974</v>
      </c>
    </row>
    <row r="20" spans="1:4" x14ac:dyDescent="0.25">
      <c r="A20" s="25" t="s">
        <v>59</v>
      </c>
      <c r="B20" s="32">
        <f ca="1">B18+B19</f>
        <v>6458150.9315068498</v>
      </c>
      <c r="C20" s="32">
        <f t="shared" ref="C20:D20" ca="1" si="3">C18+C19</f>
        <v>13215863.260273974</v>
      </c>
      <c r="D20" s="32">
        <f t="shared" ca="1" si="3"/>
        <v>20898323.534246579</v>
      </c>
    </row>
    <row r="22" spans="1:4" x14ac:dyDescent="0.25">
      <c r="A22" t="s">
        <v>95</v>
      </c>
      <c r="B22" s="85"/>
      <c r="C22" s="85"/>
      <c r="D22" s="85"/>
    </row>
    <row r="23" spans="1:4" x14ac:dyDescent="0.25">
      <c r="A23" s="4" t="s">
        <v>96</v>
      </c>
      <c r="B23" s="27">
        <f>IS!C7</f>
        <v>2820000</v>
      </c>
      <c r="C23" s="30">
        <f>IS!D7</f>
        <v>3468600.0000000009</v>
      </c>
      <c r="D23" s="27">
        <f>IS!E7</f>
        <v>4054608</v>
      </c>
    </row>
    <row r="24" spans="1:4" x14ac:dyDescent="0.25">
      <c r="A24" s="5" t="s">
        <v>97</v>
      </c>
      <c r="B24" s="20">
        <f>-B23*Assumptions!E21</f>
        <v>-705000</v>
      </c>
      <c r="C24" s="112">
        <f>-C23*Assumptions!F21</f>
        <v>-867150.00000000023</v>
      </c>
      <c r="D24" s="20">
        <f>-D23*Assumptions!G21</f>
        <v>-1013652</v>
      </c>
    </row>
    <row r="25" spans="1:4" x14ac:dyDescent="0.25">
      <c r="A25" s="4" t="s">
        <v>99</v>
      </c>
      <c r="B25" s="27">
        <f>SUM(B23:B24)</f>
        <v>2115000</v>
      </c>
      <c r="C25" s="30">
        <f t="shared" ref="C25:D25" si="4">SUM(C23:C24)</f>
        <v>2601450.0000000009</v>
      </c>
      <c r="D25" s="27">
        <f t="shared" si="4"/>
        <v>3040956</v>
      </c>
    </row>
    <row r="26" spans="1:4" x14ac:dyDescent="0.25">
      <c r="A26" s="5" t="s">
        <v>100</v>
      </c>
      <c r="B26" s="26">
        <f>-Assumptions!E29</f>
        <v>-250000</v>
      </c>
      <c r="C26" s="113">
        <f>-Assumptions!F29</f>
        <v>-250000</v>
      </c>
      <c r="D26" s="26">
        <f>-Assumptions!G29</f>
        <v>-250000</v>
      </c>
    </row>
    <row r="27" spans="1:4" x14ac:dyDescent="0.25">
      <c r="A27" s="5" t="s">
        <v>101</v>
      </c>
      <c r="B27" s="26">
        <f>CFS!C4+CFS!C5+CFS!C6</f>
        <v>-9287.6712328767171</v>
      </c>
      <c r="C27" s="113">
        <f>CFS!D4+CFS!D5+CFS!D6</f>
        <v>-7939.7260273973225</v>
      </c>
      <c r="D27" s="26">
        <f>CFS!E4+CFS!E5+CFS!E6</f>
        <v>0</v>
      </c>
    </row>
    <row r="28" spans="1:4" x14ac:dyDescent="0.25">
      <c r="A28" s="25" t="s">
        <v>102</v>
      </c>
      <c r="B28" s="32">
        <f>SUM(B25:B27)</f>
        <v>1855712.3287671232</v>
      </c>
      <c r="C28" s="114">
        <f t="shared" ref="C28:D28" si="5">SUM(C25:C27)</f>
        <v>2343510.2739726035</v>
      </c>
      <c r="D28" s="32">
        <f t="shared" si="5"/>
        <v>2790956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051A-D04C-4E1D-A3B3-D18ED12D3C94}">
  <dimension ref="A1:J45"/>
  <sheetViews>
    <sheetView topLeftCell="C7" zoomScale="70" zoomScaleNormal="70" workbookViewId="0">
      <selection activeCell="E39" sqref="E39"/>
    </sheetView>
  </sheetViews>
  <sheetFormatPr defaultRowHeight="15" x14ac:dyDescent="0.25"/>
  <cols>
    <col min="1" max="1" width="42.140625" bestFit="1" customWidth="1"/>
    <col min="2" max="2" width="17.5703125" bestFit="1" customWidth="1"/>
    <col min="3" max="3" width="16" bestFit="1" customWidth="1"/>
    <col min="4" max="4" width="42.28515625" bestFit="1" customWidth="1"/>
    <col min="5" max="5" width="18.28515625" bestFit="1" customWidth="1"/>
    <col min="6" max="7" width="16" bestFit="1" customWidth="1"/>
    <col min="8" max="9" width="13.28515625" bestFit="1" customWidth="1"/>
    <col min="10" max="10" width="17.7109375" customWidth="1"/>
  </cols>
  <sheetData>
    <row r="1" spans="1:10" s="1" customFormat="1" ht="15.75" thickBot="1" x14ac:dyDescent="0.3">
      <c r="A1" t="s">
        <v>92</v>
      </c>
      <c r="B1" s="69"/>
    </row>
    <row r="2" spans="1:10" x14ac:dyDescent="0.25">
      <c r="A2" s="63" t="s">
        <v>3</v>
      </c>
      <c r="B2" s="64">
        <v>0</v>
      </c>
      <c r="C2" s="64">
        <v>1</v>
      </c>
      <c r="D2" s="64">
        <v>2</v>
      </c>
      <c r="E2" s="64">
        <v>0</v>
      </c>
      <c r="F2" s="64">
        <v>1</v>
      </c>
      <c r="G2" s="64">
        <v>2</v>
      </c>
      <c r="H2" s="64">
        <v>0</v>
      </c>
      <c r="I2" s="64">
        <v>1</v>
      </c>
      <c r="J2" s="65">
        <v>2</v>
      </c>
    </row>
    <row r="3" spans="1:10" x14ac:dyDescent="0.25">
      <c r="A3" s="58" t="s">
        <v>4</v>
      </c>
      <c r="B3" s="76">
        <v>0.2</v>
      </c>
      <c r="C3" s="70">
        <v>0.25</v>
      </c>
      <c r="D3" s="73">
        <v>-0.89</v>
      </c>
      <c r="E3" s="76">
        <v>0.15</v>
      </c>
      <c r="F3" s="70">
        <v>0.2</v>
      </c>
      <c r="G3" s="73">
        <v>-0.88</v>
      </c>
      <c r="H3" s="76">
        <v>0.1</v>
      </c>
      <c r="I3" s="70">
        <v>0.15</v>
      </c>
      <c r="J3" s="73">
        <v>-0.8</v>
      </c>
    </row>
    <row r="4" spans="1:10" x14ac:dyDescent="0.25">
      <c r="A4" s="59" t="s">
        <v>5</v>
      </c>
      <c r="B4" s="76">
        <v>0.35</v>
      </c>
      <c r="C4" s="71">
        <v>0.33</v>
      </c>
      <c r="D4" s="74">
        <v>0.3</v>
      </c>
      <c r="E4" s="77">
        <v>0.34499999999999997</v>
      </c>
      <c r="F4" s="71">
        <v>0.32</v>
      </c>
      <c r="G4" s="74">
        <v>0.35</v>
      </c>
      <c r="H4" s="77">
        <v>0.34</v>
      </c>
      <c r="I4" s="71">
        <v>0.28000000000000003</v>
      </c>
      <c r="J4" s="74">
        <v>0.3</v>
      </c>
    </row>
    <row r="5" spans="1:10" x14ac:dyDescent="0.25">
      <c r="A5" s="59" t="s">
        <v>6</v>
      </c>
      <c r="B5" s="76">
        <v>0.4</v>
      </c>
      <c r="C5" s="71">
        <v>0.38</v>
      </c>
      <c r="D5" s="74">
        <v>0.6</v>
      </c>
      <c r="E5" s="77">
        <v>0.39</v>
      </c>
      <c r="F5" s="71">
        <v>0.37</v>
      </c>
      <c r="G5" s="74">
        <v>0.8</v>
      </c>
      <c r="H5" s="77">
        <v>0.38</v>
      </c>
      <c r="I5" s="71">
        <v>0.28000000000000003</v>
      </c>
      <c r="J5" s="74">
        <v>0.3</v>
      </c>
    </row>
    <row r="6" spans="1:10" x14ac:dyDescent="0.25">
      <c r="A6" s="60" t="s">
        <v>7</v>
      </c>
      <c r="B6" s="79">
        <v>0.25</v>
      </c>
      <c r="C6" s="72">
        <v>0.25</v>
      </c>
      <c r="D6" s="75">
        <v>0.25</v>
      </c>
      <c r="E6" s="78">
        <v>0.25</v>
      </c>
      <c r="F6" s="71">
        <v>0.25</v>
      </c>
      <c r="G6" s="75">
        <v>0.25</v>
      </c>
      <c r="H6" s="78">
        <v>0.25</v>
      </c>
      <c r="I6" s="71">
        <v>0.25</v>
      </c>
      <c r="J6" s="75">
        <v>0.25</v>
      </c>
    </row>
    <row r="7" spans="1:10" x14ac:dyDescent="0.25">
      <c r="B7" s="69"/>
      <c r="C7" s="68"/>
      <c r="D7" s="68"/>
      <c r="E7" s="68"/>
      <c r="F7" s="68"/>
      <c r="G7" s="68"/>
      <c r="H7" s="68"/>
      <c r="I7" s="68"/>
      <c r="J7" s="68"/>
    </row>
    <row r="8" spans="1:10" x14ac:dyDescent="0.25">
      <c r="A8" s="3" t="s">
        <v>81</v>
      </c>
      <c r="B8" s="81">
        <v>500000</v>
      </c>
      <c r="C8" s="83">
        <v>500000</v>
      </c>
      <c r="D8" s="82">
        <v>500000</v>
      </c>
      <c r="E8" s="62"/>
      <c r="F8" s="62"/>
      <c r="G8" s="62"/>
      <c r="H8" s="62"/>
      <c r="I8" s="62"/>
      <c r="J8" s="62"/>
    </row>
    <row r="9" spans="1:10" x14ac:dyDescent="0.25">
      <c r="A9" s="3" t="s">
        <v>82</v>
      </c>
      <c r="B9" s="80">
        <v>0.1</v>
      </c>
      <c r="C9" s="84">
        <v>0.1</v>
      </c>
      <c r="D9" s="74">
        <v>0.1</v>
      </c>
    </row>
    <row r="11" spans="1:10" x14ac:dyDescent="0.25">
      <c r="C11" s="62"/>
      <c r="D11" s="62"/>
    </row>
    <row r="12" spans="1:10" x14ac:dyDescent="0.25">
      <c r="C12" s="62"/>
      <c r="D12" s="62"/>
    </row>
    <row r="13" spans="1:10" x14ac:dyDescent="0.25">
      <c r="C13" s="62"/>
      <c r="D13" s="62"/>
    </row>
    <row r="14" spans="1:10" x14ac:dyDescent="0.25">
      <c r="B14" s="62"/>
      <c r="C14" s="62"/>
      <c r="D14" s="62"/>
    </row>
    <row r="15" spans="1:10" ht="21.75" thickBot="1" x14ac:dyDescent="0.4">
      <c r="B15" s="62"/>
      <c r="C15" s="62"/>
      <c r="D15" s="86" t="s">
        <v>93</v>
      </c>
    </row>
    <row r="16" spans="1:10" ht="21.75" thickBot="1" x14ac:dyDescent="0.4">
      <c r="A16" s="87" t="s">
        <v>79</v>
      </c>
      <c r="B16" s="88" t="s">
        <v>98</v>
      </c>
      <c r="C16" s="62"/>
      <c r="D16" s="89"/>
      <c r="E16" s="90" t="s">
        <v>0</v>
      </c>
      <c r="F16" s="90" t="s">
        <v>1</v>
      </c>
      <c r="G16" s="91" t="s">
        <v>2</v>
      </c>
    </row>
    <row r="17" spans="3:10" ht="15.75" thickBot="1" x14ac:dyDescent="0.3">
      <c r="D17" s="132" t="s">
        <v>3</v>
      </c>
      <c r="E17" s="118"/>
      <c r="F17" s="118"/>
      <c r="G17" s="119"/>
    </row>
    <row r="18" spans="3:10" ht="18.75" x14ac:dyDescent="0.3">
      <c r="C18" s="18"/>
      <c r="D18" s="59" t="s">
        <v>4</v>
      </c>
      <c r="E18" s="7">
        <f>IF($B$16="Base Case",B3,IF($B$16="Best Case",C3,D3))</f>
        <v>0.2</v>
      </c>
      <c r="F18" s="124">
        <f>IF($B$16="Base Case",E3,IF($B$16="Best Case",F3,G3))</f>
        <v>0.15</v>
      </c>
      <c r="G18" s="92">
        <f>IF($B$16="Base Case",H3,IF($B$16="Best Case",I3,J3))</f>
        <v>0.1</v>
      </c>
      <c r="H18" s="110"/>
      <c r="I18" s="110"/>
      <c r="J18" s="110"/>
    </row>
    <row r="19" spans="3:10" x14ac:dyDescent="0.25">
      <c r="D19" s="59" t="s">
        <v>5</v>
      </c>
      <c r="E19" s="8">
        <f>IF($B$16="Base Case",B4,IF($B$16="Best Case",C4,D4))</f>
        <v>0.35</v>
      </c>
      <c r="F19" s="66">
        <f>IF($B$16="Base Case",E4,IF($B$16="Best Case",F4,G4))</f>
        <v>0.34499999999999997</v>
      </c>
      <c r="G19" s="94">
        <f>IF($B$16="Base Case",H4,IF($B$16="Best Case",I4,J4))</f>
        <v>0.34</v>
      </c>
    </row>
    <row r="20" spans="3:10" x14ac:dyDescent="0.25">
      <c r="D20" s="59" t="s">
        <v>6</v>
      </c>
      <c r="E20" s="8">
        <f>IF($B$16="Base Case",B5,IF($B$16="Best Case",C5,D5))</f>
        <v>0.4</v>
      </c>
      <c r="F20" s="66">
        <f>IF($B$16="Base Case",E5,IF($B$16="Best Case",F5,G5))</f>
        <v>0.39</v>
      </c>
      <c r="G20" s="94">
        <f>IF($B$16="Base Case",H5,IF($B$16="Best Case",I5,J5))</f>
        <v>0.38</v>
      </c>
      <c r="H20" s="1"/>
      <c r="I20" s="1"/>
      <c r="J20" s="1"/>
    </row>
    <row r="21" spans="3:10" x14ac:dyDescent="0.25">
      <c r="D21" s="60" t="s">
        <v>7</v>
      </c>
      <c r="E21" s="9">
        <f>IF($B$16="Base Case",B6,IF($B$16="Best Case",C6,D6))</f>
        <v>0.25</v>
      </c>
      <c r="F21" s="67">
        <f>IF($B$16="Base Case",E6,IF($B$16="Best Case",F6,G6))</f>
        <v>0.25</v>
      </c>
      <c r="G21" s="96">
        <f>IF($B$16="Base Case",H6,IF($B$16="Best Case",I6,J6))</f>
        <v>0.25</v>
      </c>
      <c r="H21" s="62"/>
      <c r="I21" s="62"/>
      <c r="J21" s="62"/>
    </row>
    <row r="22" spans="3:10" ht="15.75" thickBot="1" x14ac:dyDescent="0.3">
      <c r="D22" s="61"/>
      <c r="E22" s="115"/>
      <c r="F22" s="115"/>
      <c r="G22" s="120"/>
      <c r="H22" s="62"/>
      <c r="I22" s="62"/>
      <c r="J22" s="62"/>
    </row>
    <row r="23" spans="3:10" ht="15.75" thickBot="1" x14ac:dyDescent="0.3">
      <c r="D23" s="128" t="s">
        <v>8</v>
      </c>
      <c r="E23" s="116"/>
      <c r="F23" s="116"/>
      <c r="G23" s="121"/>
      <c r="H23" s="62"/>
      <c r="I23" s="62"/>
      <c r="J23" s="62"/>
    </row>
    <row r="24" spans="3:10" x14ac:dyDescent="0.25">
      <c r="D24" s="59" t="s">
        <v>9</v>
      </c>
      <c r="E24" s="10">
        <v>5</v>
      </c>
      <c r="F24" s="10">
        <v>5</v>
      </c>
      <c r="G24" s="125">
        <v>5</v>
      </c>
      <c r="H24" s="62"/>
      <c r="I24" s="62"/>
      <c r="J24" s="62"/>
    </row>
    <row r="25" spans="3:10" x14ac:dyDescent="0.25">
      <c r="D25" s="59" t="s">
        <v>10</v>
      </c>
      <c r="E25" s="11">
        <v>15</v>
      </c>
      <c r="F25" s="11">
        <v>15</v>
      </c>
      <c r="G25" s="122">
        <v>15</v>
      </c>
      <c r="H25" s="62"/>
    </row>
    <row r="26" spans="3:10" x14ac:dyDescent="0.25">
      <c r="D26" s="60" t="s">
        <v>11</v>
      </c>
      <c r="E26" s="12">
        <v>25</v>
      </c>
      <c r="F26" s="12">
        <v>25</v>
      </c>
      <c r="G26" s="126">
        <v>25</v>
      </c>
      <c r="H26" s="1"/>
    </row>
    <row r="27" spans="3:10" ht="15.75" thickBot="1" x14ac:dyDescent="0.3">
      <c r="D27" s="61"/>
      <c r="E27" s="116"/>
      <c r="F27" s="116"/>
      <c r="G27" s="121"/>
      <c r="H27" s="1"/>
      <c r="I27" s="1"/>
      <c r="J27" s="1"/>
    </row>
    <row r="28" spans="3:10" ht="15.75" thickBot="1" x14ac:dyDescent="0.3">
      <c r="D28" s="128" t="s">
        <v>12</v>
      </c>
      <c r="E28" s="116"/>
      <c r="F28" s="116"/>
      <c r="G28" s="121"/>
      <c r="H28" s="1"/>
      <c r="I28" s="1"/>
      <c r="J28" s="1"/>
    </row>
    <row r="29" spans="3:10" x14ac:dyDescent="0.25">
      <c r="D29" s="59" t="s">
        <v>13</v>
      </c>
      <c r="E29" s="16">
        <v>250000</v>
      </c>
      <c r="F29" s="16">
        <v>250000</v>
      </c>
      <c r="G29" s="93">
        <v>250000</v>
      </c>
      <c r="H29" s="1"/>
      <c r="I29" s="1"/>
      <c r="J29" s="1"/>
    </row>
    <row r="30" spans="3:10" x14ac:dyDescent="0.25">
      <c r="D30" s="59" t="s">
        <v>14</v>
      </c>
      <c r="E30" s="8">
        <v>0.12</v>
      </c>
      <c r="F30" s="8">
        <v>0.12</v>
      </c>
      <c r="G30" s="94">
        <v>0.12</v>
      </c>
      <c r="H30" s="1"/>
    </row>
    <row r="31" spans="3:10" x14ac:dyDescent="0.25">
      <c r="D31" s="59" t="s">
        <v>15</v>
      </c>
      <c r="E31" s="17">
        <v>5000</v>
      </c>
      <c r="F31" s="17">
        <v>10000</v>
      </c>
      <c r="G31" s="95">
        <v>25000</v>
      </c>
      <c r="H31" s="1"/>
    </row>
    <row r="32" spans="3:10" x14ac:dyDescent="0.25">
      <c r="D32" s="60" t="s">
        <v>16</v>
      </c>
      <c r="E32" s="9">
        <v>0.08</v>
      </c>
      <c r="F32" s="9">
        <v>0.08</v>
      </c>
      <c r="G32" s="96">
        <v>0.08</v>
      </c>
      <c r="H32" s="68"/>
      <c r="I32" s="68"/>
      <c r="J32" s="68"/>
    </row>
    <row r="33" spans="2:10" ht="15.75" thickBot="1" x14ac:dyDescent="0.3">
      <c r="D33" s="123"/>
      <c r="E33" s="129"/>
      <c r="F33" s="129"/>
      <c r="G33" s="130"/>
      <c r="H33" s="68"/>
      <c r="I33" s="68"/>
      <c r="J33" s="68"/>
    </row>
    <row r="34" spans="2:10" ht="15.75" thickBot="1" x14ac:dyDescent="0.3">
      <c r="D34" s="131" t="s">
        <v>106</v>
      </c>
      <c r="E34" s="117"/>
      <c r="F34" s="117"/>
      <c r="G34" s="97"/>
      <c r="H34" s="62"/>
      <c r="I34" s="62"/>
      <c r="J34" s="62"/>
    </row>
    <row r="35" spans="2:10" x14ac:dyDescent="0.25">
      <c r="D35" s="59" t="s">
        <v>81</v>
      </c>
      <c r="E35" s="16">
        <f>IF($B$16="Base Case",B8,IF($B$16="Best Case",C8,D8))</f>
        <v>500000</v>
      </c>
      <c r="F35" s="117"/>
      <c r="G35" s="97"/>
      <c r="H35" s="68"/>
      <c r="I35" s="68"/>
      <c r="J35" s="68"/>
    </row>
    <row r="36" spans="2:10" x14ac:dyDescent="0.25">
      <c r="D36" s="60" t="s">
        <v>82</v>
      </c>
      <c r="E36" s="9">
        <f>IF($B$16="Base Case",B9,IF($B$16="Best Case",C9,D9))</f>
        <v>0.1</v>
      </c>
      <c r="F36" s="117"/>
      <c r="G36" s="97"/>
      <c r="H36" s="62"/>
      <c r="I36" s="62"/>
      <c r="J36" s="62"/>
    </row>
    <row r="37" spans="2:10" ht="15.75" thickBot="1" x14ac:dyDescent="0.3">
      <c r="D37" s="61"/>
      <c r="E37" s="117"/>
      <c r="F37" s="117"/>
      <c r="G37" s="97"/>
    </row>
    <row r="38" spans="2:10" ht="15.75" thickBot="1" x14ac:dyDescent="0.3">
      <c r="D38" s="128" t="s">
        <v>103</v>
      </c>
      <c r="E38" s="115"/>
      <c r="F38" s="117"/>
      <c r="G38" s="97"/>
    </row>
    <row r="39" spans="2:10" x14ac:dyDescent="0.25">
      <c r="D39" s="59" t="s">
        <v>104</v>
      </c>
      <c r="E39" s="7">
        <v>0.11</v>
      </c>
      <c r="F39" s="117"/>
      <c r="G39" s="97"/>
    </row>
    <row r="40" spans="2:10" ht="15.75" thickBot="1" x14ac:dyDescent="0.3">
      <c r="D40" s="98" t="s">
        <v>105</v>
      </c>
      <c r="E40" s="127">
        <v>0.02</v>
      </c>
      <c r="F40" s="99"/>
      <c r="G40" s="100"/>
    </row>
    <row r="43" spans="2:10" x14ac:dyDescent="0.25">
      <c r="B43" s="62"/>
      <c r="C43" s="62"/>
      <c r="D43" s="62"/>
    </row>
    <row r="44" spans="2:10" x14ac:dyDescent="0.25">
      <c r="B44" s="62"/>
      <c r="C44" s="62"/>
      <c r="D44" s="62"/>
    </row>
    <row r="45" spans="2:10" x14ac:dyDescent="0.25">
      <c r="B45" s="62"/>
      <c r="C45" s="1"/>
      <c r="D45" s="1"/>
    </row>
  </sheetData>
  <mergeCells count="1">
    <mergeCell ref="H18:J18"/>
  </mergeCells>
  <conditionalFormatting sqref="B16">
    <cfRule type="cellIs" dxfId="2" priority="1" operator="equal">
      <formula>"Worst Case"</formula>
    </cfRule>
    <cfRule type="cellIs" dxfId="1" priority="2" operator="equal">
      <formula>"Best Case"</formula>
    </cfRule>
    <cfRule type="cellIs" dxfId="0" priority="3" operator="equal">
      <formula>"Base Case"</formula>
    </cfRule>
  </conditionalFormatting>
  <dataValidations count="2">
    <dataValidation type="whole" allowBlank="1" showInputMessage="1" showErrorMessage="1" sqref="F17 C2" xr:uid="{A3858758-8ACB-4F3B-AED7-80FB66393D35}">
      <formula1>1</formula1>
      <formula2>3</formula2>
    </dataValidation>
    <dataValidation type="list" allowBlank="1" showInputMessage="1" showErrorMessage="1" sqref="B16" xr:uid="{3FA7F243-76DD-479E-ACA3-A51924663463}">
      <formula1>"Base Case,Best Case,Worst Case"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09FB-A303-4E88-AE88-91B6F797E8C0}">
  <dimension ref="A1:F16"/>
  <sheetViews>
    <sheetView tabSelected="1" workbookViewId="0">
      <selection activeCell="C18" sqref="C18"/>
    </sheetView>
  </sheetViews>
  <sheetFormatPr defaultRowHeight="15" x14ac:dyDescent="0.25"/>
  <cols>
    <col min="1" max="1" width="26.5703125" bestFit="1" customWidth="1"/>
    <col min="2" max="3" width="15.85546875" bestFit="1" customWidth="1"/>
    <col min="4" max="4" width="22.7109375" customWidth="1"/>
    <col min="5" max="5" width="16.140625" bestFit="1" customWidth="1"/>
  </cols>
  <sheetData>
    <row r="1" spans="1:6" x14ac:dyDescent="0.25">
      <c r="A1" s="46"/>
      <c r="B1" s="111" t="s">
        <v>0</v>
      </c>
      <c r="C1" s="111" t="s">
        <v>1</v>
      </c>
      <c r="D1" s="139" t="s">
        <v>2</v>
      </c>
    </row>
    <row r="2" spans="1:6" x14ac:dyDescent="0.25">
      <c r="A2" s="13" t="s">
        <v>107</v>
      </c>
      <c r="B2" s="27">
        <f>CFS!B28</f>
        <v>1855712.3287671232</v>
      </c>
      <c r="C2" s="27">
        <f>CFS!C28</f>
        <v>2343510.2739726035</v>
      </c>
      <c r="D2" s="27">
        <f>CFS!D28</f>
        <v>2790956</v>
      </c>
    </row>
    <row r="3" spans="1:6" x14ac:dyDescent="0.25">
      <c r="A3" s="14" t="s">
        <v>108</v>
      </c>
      <c r="B3" s="14"/>
      <c r="C3" s="14"/>
      <c r="D3" s="145">
        <f>(CFS!D28*(1+F9)/(F8-F9))</f>
        <v>31630834.666666668</v>
      </c>
    </row>
    <row r="4" spans="1:6" x14ac:dyDescent="0.25">
      <c r="A4" s="15" t="s">
        <v>109</v>
      </c>
      <c r="B4" s="26">
        <f>SUM(B2,B3)</f>
        <v>1855712.3287671232</v>
      </c>
      <c r="C4" s="26">
        <f>SUM(C2,C3)</f>
        <v>2343510.2739726035</v>
      </c>
      <c r="D4" s="146">
        <f>SUM(D2,D3)</f>
        <v>34421790.666666672</v>
      </c>
    </row>
    <row r="5" spans="1:6" x14ac:dyDescent="0.25">
      <c r="A5" s="25" t="s">
        <v>110</v>
      </c>
      <c r="B5" s="141">
        <f>NPV(F8,Valuation!B4:D4)</f>
        <v>28742775.084105451</v>
      </c>
      <c r="C5" s="142"/>
      <c r="D5" s="143"/>
    </row>
    <row r="7" spans="1:6" x14ac:dyDescent="0.25">
      <c r="A7" t="s">
        <v>111</v>
      </c>
    </row>
    <row r="8" spans="1:6" x14ac:dyDescent="0.25">
      <c r="A8" s="13" t="s">
        <v>112</v>
      </c>
      <c r="B8" s="140">
        <f>B5</f>
        <v>28742775.084105451</v>
      </c>
      <c r="E8" t="s">
        <v>116</v>
      </c>
      <c r="F8" s="133">
        <f>Assumptions!E39</f>
        <v>0.11</v>
      </c>
    </row>
    <row r="9" spans="1:6" x14ac:dyDescent="0.25">
      <c r="A9" s="14" t="s">
        <v>113</v>
      </c>
      <c r="B9" s="26">
        <f>-BS!B14</f>
        <v>-1000000</v>
      </c>
      <c r="E9" t="s">
        <v>117</v>
      </c>
      <c r="F9" s="133">
        <f>Assumptions!E40</f>
        <v>0.02</v>
      </c>
    </row>
    <row r="10" spans="1:6" x14ac:dyDescent="0.25">
      <c r="A10" s="14" t="s">
        <v>114</v>
      </c>
      <c r="B10" s="26">
        <f>BS!B3</f>
        <v>500000</v>
      </c>
    </row>
    <row r="11" spans="1:6" x14ac:dyDescent="0.25">
      <c r="A11" s="21" t="s">
        <v>115</v>
      </c>
      <c r="B11" s="144">
        <f>SUM(B8:B10)</f>
        <v>28242775.084105451</v>
      </c>
    </row>
    <row r="12" spans="1:6" ht="15.75" thickBot="1" x14ac:dyDescent="0.3"/>
    <row r="13" spans="1:6" ht="15.75" thickBot="1" x14ac:dyDescent="0.3">
      <c r="A13" s="148">
        <f>B11</f>
        <v>28242775.084105451</v>
      </c>
      <c r="B13" s="134">
        <v>0.02</v>
      </c>
      <c r="C13" s="147">
        <v>2.5000000000000001E-2</v>
      </c>
      <c r="D13" s="135">
        <v>0.03</v>
      </c>
    </row>
    <row r="14" spans="1:6" x14ac:dyDescent="0.25">
      <c r="A14" s="136">
        <v>0.11</v>
      </c>
      <c r="B14" s="138">
        <f t="dataTable" ref="B14:D16" dt2D="1" dtr="1" r1="F9" r2="F8"/>
        <v>28242775.084105451</v>
      </c>
      <c r="C14" s="138">
        <v>29723299.593776751</v>
      </c>
      <c r="D14" s="149">
        <v>31388889.667156968</v>
      </c>
    </row>
    <row r="15" spans="1:6" x14ac:dyDescent="0.25">
      <c r="A15" s="136">
        <v>0.12</v>
      </c>
      <c r="B15" s="138">
        <v>25274448.407359518</v>
      </c>
      <c r="C15" s="138">
        <v>26445465.794577561</v>
      </c>
      <c r="D15" s="149">
        <v>27746596.224819832</v>
      </c>
    </row>
    <row r="16" spans="1:6" ht="15.75" thickBot="1" x14ac:dyDescent="0.3">
      <c r="A16" s="137">
        <v>0.13</v>
      </c>
      <c r="B16" s="150">
        <v>22847789.551418856</v>
      </c>
      <c r="C16" s="150">
        <v>23793992.120614611</v>
      </c>
      <c r="D16" s="151">
        <v>24834814.946729943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IS</vt:lpstr>
      <vt:lpstr>BS</vt:lpstr>
      <vt:lpstr>CFS</vt:lpstr>
      <vt:lpstr>Assumptions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SWARRO</dc:creator>
  <cp:lastModifiedBy>Hemswaroop Raorane</cp:lastModifiedBy>
  <dcterms:created xsi:type="dcterms:W3CDTF">2025-07-18T04:31:04Z</dcterms:created>
  <dcterms:modified xsi:type="dcterms:W3CDTF">2025-07-29T08:40:48Z</dcterms:modified>
</cp:coreProperties>
</file>