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financial modelling\youtube\financial modeling\"/>
    </mc:Choice>
  </mc:AlternateContent>
  <xr:revisionPtr revIDLastSave="0" documentId="13_ncr:1_{3B820858-8405-471E-8F41-F56D36E4817B}" xr6:coauthVersionLast="47" xr6:coauthVersionMax="47" xr10:uidLastSave="{00000000-0000-0000-0000-000000000000}"/>
  <bookViews>
    <workbookView xWindow="-110" yWindow="-110" windowWidth="25820" windowHeight="15500" tabRatio="822" firstSheet="9" activeTab="18" xr2:uid="{00000000-000D-0000-FFFF-FFFF00000000}"/>
  </bookViews>
  <sheets>
    <sheet name="FINANCIALS" sheetId="20" r:id="rId1"/>
    <sheet name="Historical Financials" sheetId="7" r:id="rId2"/>
    <sheet name="RAW DATA" sheetId="18" r:id="rId3"/>
    <sheet name="Data Sheet" sheetId="6" r:id="rId4"/>
    <sheet name="Cash flow data" sheetId="8" r:id="rId5"/>
    <sheet name="RAW FS" sheetId="11" r:id="rId6"/>
    <sheet name="RM" sheetId="15" r:id="rId7"/>
    <sheet name="Peer Comps Raw Data" sheetId="13" r:id="rId8"/>
    <sheet name="COMPS_VAL RAW DATABASE" sheetId="22" r:id="rId9"/>
    <sheet name="CALCULATIONS" sheetId="19" r:id="rId10"/>
    <sheet name="Beta" sheetId="14" r:id="rId11"/>
    <sheet name="WACC" sheetId="10" r:id="rId12"/>
    <sheet name="Predictions" sheetId="9" r:id="rId13"/>
    <sheet name="VALUATIONS" sheetId="21" r:id="rId14"/>
    <sheet name="Intrisic Growth" sheetId="12" r:id="rId15"/>
    <sheet name="FCFF Valuation" sheetId="17" r:id="rId16"/>
    <sheet name="DCF Valuation" sheetId="16" r:id="rId17"/>
    <sheet name="Comps Valuation" sheetId="23" r:id="rId18"/>
    <sheet name="Footbal Field Analysis" sheetId="24" r:id="rId19"/>
  </sheets>
  <externalReferences>
    <externalReference r:id="rId20"/>
  </externalReference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24" l="1"/>
  <c r="O11" i="24"/>
  <c r="Q9" i="24"/>
  <c r="O9" i="24"/>
  <c r="Q8" i="24"/>
  <c r="P8" i="24" s="1"/>
  <c r="O8" i="24"/>
  <c r="N8" i="24" s="1"/>
  <c r="Q6" i="24"/>
  <c r="O6" i="24"/>
  <c r="N6" i="24" s="1"/>
  <c r="P6" i="24"/>
  <c r="P7" i="24"/>
  <c r="P9" i="24"/>
  <c r="P10" i="24"/>
  <c r="P11" i="24"/>
  <c r="P12" i="24"/>
  <c r="P5" i="24"/>
  <c r="N7" i="24"/>
  <c r="N9" i="24"/>
  <c r="N10" i="24"/>
  <c r="N11" i="24"/>
  <c r="N12" i="24"/>
  <c r="N5" i="24"/>
  <c r="Q10" i="24"/>
  <c r="O10" i="24"/>
  <c r="G48" i="16"/>
  <c r="H48" i="16" s="1"/>
  <c r="I48" i="16" s="1"/>
  <c r="E48" i="16"/>
  <c r="D48" i="16" s="1"/>
  <c r="C53" i="16"/>
  <c r="C54" i="16" s="1"/>
  <c r="C55" i="16" s="1"/>
  <c r="C51" i="16"/>
  <c r="C50" i="16" s="1"/>
  <c r="C49" i="16" s="1"/>
  <c r="B2" i="24"/>
  <c r="B3" i="23"/>
  <c r="B2" i="12"/>
  <c r="B2" i="17"/>
  <c r="Q7" i="24"/>
  <c r="O7" i="24"/>
  <c r="C20" i="23" l="1"/>
  <c r="L9" i="23"/>
  <c r="L10" i="23"/>
  <c r="L11" i="23"/>
  <c r="L8" i="23"/>
  <c r="K9" i="23"/>
  <c r="K10" i="23"/>
  <c r="K11" i="23"/>
  <c r="K8" i="23"/>
  <c r="J9" i="23"/>
  <c r="J10" i="23"/>
  <c r="J11" i="23"/>
  <c r="J8" i="23"/>
  <c r="G9" i="23"/>
  <c r="G10" i="23"/>
  <c r="G11" i="23"/>
  <c r="G8" i="23"/>
  <c r="P25" i="23"/>
  <c r="F9" i="23"/>
  <c r="F10" i="23"/>
  <c r="F11" i="23"/>
  <c r="F8" i="23"/>
  <c r="E9" i="23"/>
  <c r="E10" i="23"/>
  <c r="E11" i="23"/>
  <c r="E8" i="23"/>
  <c r="N29" i="23" s="1"/>
  <c r="D9" i="23"/>
  <c r="D10" i="23"/>
  <c r="D11" i="23"/>
  <c r="D8" i="23"/>
  <c r="B9" i="23"/>
  <c r="B10" i="23"/>
  <c r="B11" i="23"/>
  <c r="B8" i="23"/>
  <c r="O29" i="23" l="1"/>
  <c r="P29" i="23"/>
  <c r="P10" i="23"/>
  <c r="H10" i="23"/>
  <c r="P8" i="23"/>
  <c r="H8" i="23"/>
  <c r="H11" i="23"/>
  <c r="P11" i="23"/>
  <c r="H9" i="23"/>
  <c r="P9" i="23"/>
  <c r="N25" i="23"/>
  <c r="O25" i="23"/>
  <c r="N11" i="23" l="1"/>
  <c r="O11" i="23"/>
  <c r="P16" i="23"/>
  <c r="P26" i="23" s="1"/>
  <c r="P14" i="23"/>
  <c r="P13" i="23"/>
  <c r="P15" i="23"/>
  <c r="P18" i="23"/>
  <c r="P17" i="23"/>
  <c r="P27" i="23" s="1"/>
  <c r="O8" i="23"/>
  <c r="N8" i="23"/>
  <c r="O10" i="23"/>
  <c r="N10" i="23"/>
  <c r="O9" i="23"/>
  <c r="N9" i="23"/>
  <c r="P23" i="23" l="1"/>
  <c r="P31" i="23"/>
  <c r="P30" i="23"/>
  <c r="P33" i="23" s="1"/>
  <c r="P22" i="23"/>
  <c r="N17" i="23"/>
  <c r="N23" i="23" s="1"/>
  <c r="N27" i="23" s="1"/>
  <c r="N31" i="23" s="1"/>
  <c r="N15" i="23"/>
  <c r="N16" i="23"/>
  <c r="N22" i="23" s="1"/>
  <c r="N26" i="23" s="1"/>
  <c r="N30" i="23" s="1"/>
  <c r="N33" i="23" s="1"/>
  <c r="N13" i="23"/>
  <c r="N18" i="23"/>
  <c r="N14" i="23"/>
  <c r="O14" i="23"/>
  <c r="O15" i="23"/>
  <c r="O16" i="23"/>
  <c r="O22" i="23" s="1"/>
  <c r="O26" i="23" s="1"/>
  <c r="O30" i="23" s="1"/>
  <c r="O33" i="23" s="1"/>
  <c r="O18" i="23"/>
  <c r="O17" i="23"/>
  <c r="O23" i="23" s="1"/>
  <c r="O27" i="23" s="1"/>
  <c r="O31" i="23" s="1"/>
  <c r="O13" i="23"/>
  <c r="F23" i="17" l="1"/>
  <c r="F22" i="17" s="1"/>
  <c r="F21" i="17" s="1"/>
  <c r="F20" i="17" s="1"/>
  <c r="I43" i="16"/>
  <c r="I41" i="16"/>
  <c r="I40" i="16"/>
  <c r="F24" i="17" l="1"/>
  <c r="F25" i="17" s="1"/>
  <c r="F26" i="17" s="1"/>
  <c r="I17" i="16"/>
  <c r="H17" i="16"/>
  <c r="G17" i="16"/>
  <c r="F17" i="16"/>
  <c r="E17" i="16"/>
  <c r="D17" i="16"/>
  <c r="I16" i="16"/>
  <c r="H16" i="16"/>
  <c r="G16" i="16"/>
  <c r="F16" i="16"/>
  <c r="E16" i="16"/>
  <c r="D16" i="16"/>
  <c r="I15" i="16"/>
  <c r="H15" i="16"/>
  <c r="G15" i="16"/>
  <c r="F15" i="16"/>
  <c r="E15" i="16"/>
  <c r="D15" i="16"/>
  <c r="N4" i="9" a="1"/>
  <c r="N4" i="9" s="1"/>
  <c r="N5" i="9"/>
  <c r="N6" i="9"/>
  <c r="N7" i="9"/>
  <c r="N8" i="9"/>
  <c r="N9" i="9"/>
  <c r="N10" i="9"/>
  <c r="N11" i="9"/>
  <c r="N12" i="9"/>
  <c r="N13" i="9"/>
  <c r="I4" i="9" a="1"/>
  <c r="I4" i="9" s="1"/>
  <c r="C77" i="6"/>
  <c r="D77" i="6"/>
  <c r="E77" i="6"/>
  <c r="F77" i="6"/>
  <c r="D4" i="9" s="1" a="1"/>
  <c r="D4" i="9" s="1"/>
  <c r="G77" i="6"/>
  <c r="H77" i="6"/>
  <c r="I77" i="6"/>
  <c r="J77" i="6"/>
  <c r="K77" i="6"/>
  <c r="B77" i="6"/>
  <c r="D11" i="16"/>
  <c r="D12" i="16"/>
  <c r="E10" i="16"/>
  <c r="F10" i="16"/>
  <c r="G10" i="16"/>
  <c r="H10" i="16"/>
  <c r="I10" i="16"/>
  <c r="D10" i="16"/>
  <c r="C79" i="6"/>
  <c r="D79" i="6"/>
  <c r="E79" i="6"/>
  <c r="F79" i="6"/>
  <c r="G79" i="6"/>
  <c r="H79" i="6"/>
  <c r="I79" i="6"/>
  <c r="J79" i="6"/>
  <c r="K79" i="6"/>
  <c r="B79" i="6"/>
  <c r="C78" i="6"/>
  <c r="D78" i="6"/>
  <c r="E78" i="6"/>
  <c r="F78" i="6"/>
  <c r="G78" i="6"/>
  <c r="H78" i="6"/>
  <c r="I78" i="6"/>
  <c r="J78" i="6"/>
  <c r="K78" i="6"/>
  <c r="B78" i="6"/>
  <c r="I8" i="9" l="1"/>
  <c r="I6" i="9"/>
  <c r="I11" i="9"/>
  <c r="I9" i="9"/>
  <c r="I5" i="9"/>
  <c r="I13" i="9"/>
  <c r="I12" i="9"/>
  <c r="I10" i="9"/>
  <c r="I7" i="9"/>
  <c r="D13" i="9"/>
  <c r="D11" i="9"/>
  <c r="D9" i="9"/>
  <c r="D8" i="9"/>
  <c r="D7" i="9"/>
  <c r="D5" i="9"/>
  <c r="D12" i="9"/>
  <c r="D10" i="9"/>
  <c r="D6" i="9"/>
  <c r="X21" i="9" l="1" a="1"/>
  <c r="X22" i="9" s="1"/>
  <c r="X21" i="9"/>
  <c r="X24" i="9"/>
  <c r="X25" i="9"/>
  <c r="X27" i="9"/>
  <c r="X28" i="9"/>
  <c r="X29" i="9"/>
  <c r="X30" i="9"/>
  <c r="S21" i="9" a="1"/>
  <c r="S24" i="9" s="1"/>
  <c r="N21" i="9" a="1"/>
  <c r="N21" i="9" s="1"/>
  <c r="W29" i="9"/>
  <c r="W28" i="9"/>
  <c r="W26" i="9"/>
  <c r="W25" i="9"/>
  <c r="W21" i="9" a="1"/>
  <c r="W24" i="9" s="1"/>
  <c r="R21" i="9" a="1"/>
  <c r="R28" i="9" s="1"/>
  <c r="M21" i="9" a="1"/>
  <c r="M28" i="9" s="1"/>
  <c r="I4" i="16"/>
  <c r="H4" i="16"/>
  <c r="G4" i="16"/>
  <c r="F4" i="16"/>
  <c r="E4" i="16"/>
  <c r="D4" i="16"/>
  <c r="I32" i="9"/>
  <c r="I33" i="9"/>
  <c r="I34" i="9"/>
  <c r="I35" i="9"/>
  <c r="I31" i="9"/>
  <c r="D32" i="9"/>
  <c r="D33" i="9"/>
  <c r="D34" i="9"/>
  <c r="D35" i="9"/>
  <c r="D31" i="9"/>
  <c r="I21" i="9" a="1"/>
  <c r="I21" i="9"/>
  <c r="I22" i="9"/>
  <c r="I23" i="9"/>
  <c r="I24" i="9"/>
  <c r="I25" i="9"/>
  <c r="I26" i="9"/>
  <c r="I27" i="9"/>
  <c r="I28" i="9"/>
  <c r="I29" i="9"/>
  <c r="I30" i="9"/>
  <c r="C34" i="6"/>
  <c r="D34" i="6"/>
  <c r="E34" i="6"/>
  <c r="F34" i="6"/>
  <c r="G34" i="6"/>
  <c r="H34" i="6"/>
  <c r="I34" i="6"/>
  <c r="J34" i="6"/>
  <c r="K34" i="6"/>
  <c r="B34" i="6"/>
  <c r="H21" i="9" a="1"/>
  <c r="H28" i="9" s="1"/>
  <c r="D23" i="16"/>
  <c r="C2" i="16"/>
  <c r="D21" i="9" a="1"/>
  <c r="D24" i="9" s="1"/>
  <c r="D3" i="16"/>
  <c r="C21" i="9" a="1"/>
  <c r="C28" i="9" s="1"/>
  <c r="D7" i="16"/>
  <c r="D5" i="16"/>
  <c r="E5" i="16" s="1"/>
  <c r="F5" i="16" s="1"/>
  <c r="G5" i="16" s="1"/>
  <c r="H5" i="16" s="1"/>
  <c r="I5" i="16" s="1"/>
  <c r="I12" i="16"/>
  <c r="H12" i="16"/>
  <c r="G12" i="16"/>
  <c r="F12" i="16"/>
  <c r="E12" i="16"/>
  <c r="I11" i="16"/>
  <c r="H11" i="16"/>
  <c r="G11" i="16"/>
  <c r="F11" i="16"/>
  <c r="E11" i="16"/>
  <c r="F31" i="16" l="1"/>
  <c r="G31" i="16"/>
  <c r="H31" i="16"/>
  <c r="I31" i="16"/>
  <c r="E31" i="16"/>
  <c r="E3" i="16"/>
  <c r="D27" i="16"/>
  <c r="X26" i="9"/>
  <c r="X23" i="9"/>
  <c r="S22" i="9"/>
  <c r="S29" i="9"/>
  <c r="S27" i="9"/>
  <c r="S21" i="9"/>
  <c r="T22" i="9" s="1"/>
  <c r="S30" i="9"/>
  <c r="S28" i="9"/>
  <c r="S26" i="9"/>
  <c r="S25" i="9"/>
  <c r="S23" i="9"/>
  <c r="T23" i="9" s="1"/>
  <c r="N23" i="9"/>
  <c r="N30" i="9"/>
  <c r="N29" i="9"/>
  <c r="N28" i="9"/>
  <c r="N27" i="9"/>
  <c r="O27" i="9" s="1"/>
  <c r="N26" i="9"/>
  <c r="N25" i="9"/>
  <c r="N24" i="9"/>
  <c r="N22" i="9"/>
  <c r="Y30" i="9"/>
  <c r="W27" i="9"/>
  <c r="Y22" i="9"/>
  <c r="Y23" i="9"/>
  <c r="Y24" i="9"/>
  <c r="W22" i="9"/>
  <c r="W30" i="9"/>
  <c r="Y25" i="9"/>
  <c r="W21" i="9"/>
  <c r="Y26" i="9"/>
  <c r="W23" i="9"/>
  <c r="Y28" i="9"/>
  <c r="R29" i="9"/>
  <c r="R30" i="9"/>
  <c r="R22" i="9"/>
  <c r="T27" i="9"/>
  <c r="R23" i="9"/>
  <c r="R24" i="9"/>
  <c r="T29" i="9"/>
  <c r="R25" i="9"/>
  <c r="T30" i="9"/>
  <c r="R26" i="9"/>
  <c r="R27" i="9"/>
  <c r="R21" i="9"/>
  <c r="O23" i="9"/>
  <c r="M29" i="9"/>
  <c r="M30" i="9"/>
  <c r="O24" i="9"/>
  <c r="O25" i="9"/>
  <c r="M21" i="9"/>
  <c r="O26" i="9"/>
  <c r="M22" i="9"/>
  <c r="M23" i="9"/>
  <c r="O28" i="9"/>
  <c r="M24" i="9"/>
  <c r="O29" i="9"/>
  <c r="M25" i="9"/>
  <c r="M26" i="9"/>
  <c r="M27" i="9"/>
  <c r="H29" i="9"/>
  <c r="H30" i="9"/>
  <c r="H21" i="9"/>
  <c r="J26" i="9"/>
  <c r="J27" i="9"/>
  <c r="H23" i="9"/>
  <c r="J28" i="9"/>
  <c r="H26" i="9"/>
  <c r="J22" i="9"/>
  <c r="J24" i="9"/>
  <c r="H22" i="9"/>
  <c r="H24" i="9"/>
  <c r="H25" i="9"/>
  <c r="H27" i="9"/>
  <c r="D23" i="9"/>
  <c r="D22" i="9"/>
  <c r="D21" i="9"/>
  <c r="D30" i="9"/>
  <c r="D29" i="9"/>
  <c r="D26" i="9"/>
  <c r="D28" i="9"/>
  <c r="D27" i="9"/>
  <c r="D25" i="9"/>
  <c r="E25" i="9" s="1"/>
  <c r="H13" i="16"/>
  <c r="I13" i="16"/>
  <c r="C29" i="9"/>
  <c r="C30" i="9"/>
  <c r="C22" i="9"/>
  <c r="C21" i="9"/>
  <c r="C23" i="9"/>
  <c r="C24" i="9"/>
  <c r="C25" i="9"/>
  <c r="C26" i="9"/>
  <c r="C27" i="9"/>
  <c r="G13" i="16"/>
  <c r="D13" i="16"/>
  <c r="E13" i="16"/>
  <c r="F13" i="16"/>
  <c r="F3" i="16" l="1"/>
  <c r="E27" i="16"/>
  <c r="T24" i="9"/>
  <c r="Y27" i="9"/>
  <c r="X35" i="9"/>
  <c r="X34" i="9"/>
  <c r="X33" i="9"/>
  <c r="X32" i="9"/>
  <c r="X31" i="9"/>
  <c r="Y31" i="9" s="1"/>
  <c r="Y29" i="9"/>
  <c r="T25" i="9"/>
  <c r="S34" i="9"/>
  <c r="S35" i="9"/>
  <c r="S33" i="9"/>
  <c r="S32" i="9"/>
  <c r="T32" i="9" s="1"/>
  <c r="S31" i="9"/>
  <c r="T31" i="9" s="1"/>
  <c r="T26" i="9"/>
  <c r="T28" i="9"/>
  <c r="N35" i="9"/>
  <c r="O35" i="9" s="1"/>
  <c r="N34" i="9"/>
  <c r="N33" i="9"/>
  <c r="N32" i="9"/>
  <c r="N31" i="9"/>
  <c r="O31" i="9" s="1"/>
  <c r="O22" i="9"/>
  <c r="O30" i="9"/>
  <c r="J23" i="9"/>
  <c r="J35" i="9"/>
  <c r="J31" i="9"/>
  <c r="J25" i="9"/>
  <c r="J29" i="9"/>
  <c r="J30" i="9"/>
  <c r="E28" i="9"/>
  <c r="E26" i="9"/>
  <c r="E23" i="9"/>
  <c r="E22" i="9"/>
  <c r="F7" i="16"/>
  <c r="G7" i="16"/>
  <c r="H7" i="16"/>
  <c r="E7" i="16"/>
  <c r="I7" i="16"/>
  <c r="E27" i="9"/>
  <c r="E24" i="9"/>
  <c r="E29" i="9"/>
  <c r="E30" i="9"/>
  <c r="G3" i="16" l="1"/>
  <c r="F27" i="16"/>
  <c r="Y33" i="9"/>
  <c r="T35" i="9"/>
  <c r="O32" i="9"/>
  <c r="Y32" i="9"/>
  <c r="Y34" i="9"/>
  <c r="Y35" i="9"/>
  <c r="T33" i="9"/>
  <c r="T34" i="9"/>
  <c r="O33" i="9"/>
  <c r="O34" i="9"/>
  <c r="J34" i="9"/>
  <c r="J32" i="9"/>
  <c r="J33" i="9"/>
  <c r="C36" i="17"/>
  <c r="C33" i="17"/>
  <c r="C31" i="17"/>
  <c r="C30" i="17"/>
  <c r="C22" i="17"/>
  <c r="C17" i="17"/>
  <c r="I19" i="17" s="1"/>
  <c r="I11" i="17"/>
  <c r="J11" i="17" s="1"/>
  <c r="K11" i="17" s="1"/>
  <c r="L11" i="17" s="1"/>
  <c r="H5" i="17"/>
  <c r="I5" i="17" s="1"/>
  <c r="J5" i="17" s="1"/>
  <c r="K5" i="17" s="1"/>
  <c r="L5" i="17" s="1"/>
  <c r="G2" i="17"/>
  <c r="H2" i="17" s="1"/>
  <c r="I2" i="17" s="1"/>
  <c r="J2" i="17" s="1"/>
  <c r="K2" i="17" s="1"/>
  <c r="L2" i="17" s="1"/>
  <c r="J19" i="17" l="1"/>
  <c r="K19" i="17" s="1"/>
  <c r="L19" i="17" s="1"/>
  <c r="H19" i="17"/>
  <c r="G19" i="17" s="1"/>
  <c r="H3" i="16"/>
  <c r="G27" i="16"/>
  <c r="L12" i="17"/>
  <c r="H12" i="17"/>
  <c r="I12" i="17"/>
  <c r="K12" i="17"/>
  <c r="C21" i="17"/>
  <c r="J12" i="17"/>
  <c r="I3" i="16" l="1"/>
  <c r="I27" i="16" s="1"/>
  <c r="H27" i="16"/>
  <c r="H43" i="12"/>
  <c r="I43" i="12"/>
  <c r="J43" i="12"/>
  <c r="K43" i="12"/>
  <c r="G43" i="12"/>
  <c r="L21" i="10" l="1"/>
  <c r="F5" i="15"/>
  <c r="F3" i="15"/>
  <c r="K13" i="10" l="1"/>
  <c r="K12" i="10"/>
  <c r="K11" i="10"/>
  <c r="K10" i="10"/>
  <c r="P115" i="14" l="1"/>
  <c r="M115" i="14"/>
  <c r="J115" i="14"/>
  <c r="G115" i="14"/>
  <c r="D115" i="14"/>
  <c r="P114" i="14"/>
  <c r="M114" i="14"/>
  <c r="J114" i="14"/>
  <c r="G114" i="14"/>
  <c r="D114" i="14"/>
  <c r="P113" i="14"/>
  <c r="M113" i="14"/>
  <c r="J113" i="14"/>
  <c r="G113" i="14"/>
  <c r="D113" i="14"/>
  <c r="P112" i="14"/>
  <c r="M112" i="14"/>
  <c r="J112" i="14"/>
  <c r="G112" i="14"/>
  <c r="D112" i="14"/>
  <c r="P111" i="14"/>
  <c r="M111" i="14"/>
  <c r="J111" i="14"/>
  <c r="G111" i="14"/>
  <c r="D111" i="14"/>
  <c r="P110" i="14"/>
  <c r="M110" i="14"/>
  <c r="J110" i="14"/>
  <c r="G110" i="14"/>
  <c r="D110" i="14"/>
  <c r="P109" i="14"/>
  <c r="M109" i="14"/>
  <c r="J109" i="14"/>
  <c r="G109" i="14"/>
  <c r="D109" i="14"/>
  <c r="P108" i="14"/>
  <c r="M108" i="14"/>
  <c r="J108" i="14"/>
  <c r="G108" i="14"/>
  <c r="D108" i="14"/>
  <c r="P107" i="14"/>
  <c r="M107" i="14"/>
  <c r="J107" i="14"/>
  <c r="G107" i="14"/>
  <c r="D107" i="14"/>
  <c r="P106" i="14"/>
  <c r="M106" i="14"/>
  <c r="J106" i="14"/>
  <c r="G106" i="14"/>
  <c r="D106" i="14"/>
  <c r="P105" i="14"/>
  <c r="M105" i="14"/>
  <c r="J105" i="14"/>
  <c r="G105" i="14"/>
  <c r="D105" i="14"/>
  <c r="P104" i="14"/>
  <c r="M104" i="14"/>
  <c r="J104" i="14"/>
  <c r="G104" i="14"/>
  <c r="D104" i="14"/>
  <c r="P103" i="14"/>
  <c r="M103" i="14"/>
  <c r="J103" i="14"/>
  <c r="G103" i="14"/>
  <c r="D103" i="14"/>
  <c r="P102" i="14"/>
  <c r="M102" i="14"/>
  <c r="J102" i="14"/>
  <c r="G102" i="14"/>
  <c r="D102" i="14"/>
  <c r="P101" i="14"/>
  <c r="M101" i="14"/>
  <c r="J101" i="14"/>
  <c r="G101" i="14"/>
  <c r="D101" i="14"/>
  <c r="P100" i="14"/>
  <c r="M100" i="14"/>
  <c r="J100" i="14"/>
  <c r="G100" i="14"/>
  <c r="D100" i="14"/>
  <c r="P99" i="14"/>
  <c r="M99" i="14"/>
  <c r="J99" i="14"/>
  <c r="G99" i="14"/>
  <c r="D99" i="14"/>
  <c r="P98" i="14"/>
  <c r="M98" i="14"/>
  <c r="J98" i="14"/>
  <c r="G98" i="14"/>
  <c r="D98" i="14"/>
  <c r="P97" i="14"/>
  <c r="M97" i="14"/>
  <c r="J97" i="14"/>
  <c r="G97" i="14"/>
  <c r="D97" i="14"/>
  <c r="P96" i="14"/>
  <c r="M96" i="14"/>
  <c r="J96" i="14"/>
  <c r="G96" i="14"/>
  <c r="D96" i="14"/>
  <c r="P95" i="14"/>
  <c r="M95" i="14"/>
  <c r="J95" i="14"/>
  <c r="G95" i="14"/>
  <c r="D95" i="14"/>
  <c r="P94" i="14"/>
  <c r="M94" i="14"/>
  <c r="J94" i="14"/>
  <c r="G94" i="14"/>
  <c r="D94" i="14"/>
  <c r="P93" i="14"/>
  <c r="M93" i="14"/>
  <c r="J93" i="14"/>
  <c r="G93" i="14"/>
  <c r="D93" i="14"/>
  <c r="P92" i="14"/>
  <c r="M92" i="14"/>
  <c r="J92" i="14"/>
  <c r="G92" i="14"/>
  <c r="D92" i="14"/>
  <c r="P91" i="14"/>
  <c r="M91" i="14"/>
  <c r="J91" i="14"/>
  <c r="G91" i="14"/>
  <c r="D91" i="14"/>
  <c r="P90" i="14"/>
  <c r="M90" i="14"/>
  <c r="J90" i="14"/>
  <c r="G90" i="14"/>
  <c r="D90" i="14"/>
  <c r="P89" i="14"/>
  <c r="M89" i="14"/>
  <c r="J89" i="14"/>
  <c r="G89" i="14"/>
  <c r="D89" i="14"/>
  <c r="P88" i="14"/>
  <c r="M88" i="14"/>
  <c r="J88" i="14"/>
  <c r="G88" i="14"/>
  <c r="D88" i="14"/>
  <c r="P87" i="14"/>
  <c r="M87" i="14"/>
  <c r="J87" i="14"/>
  <c r="G87" i="14"/>
  <c r="D87" i="14"/>
  <c r="P86" i="14"/>
  <c r="M86" i="14"/>
  <c r="J86" i="14"/>
  <c r="G86" i="14"/>
  <c r="D86" i="14"/>
  <c r="P85" i="14"/>
  <c r="M85" i="14"/>
  <c r="J85" i="14"/>
  <c r="G85" i="14"/>
  <c r="D85" i="14"/>
  <c r="P84" i="14"/>
  <c r="M84" i="14"/>
  <c r="J84" i="14"/>
  <c r="G84" i="14"/>
  <c r="D84" i="14"/>
  <c r="P83" i="14"/>
  <c r="M83" i="14"/>
  <c r="J83" i="14"/>
  <c r="G83" i="14"/>
  <c r="D83" i="14"/>
  <c r="P82" i="14"/>
  <c r="M82" i="14"/>
  <c r="J82" i="14"/>
  <c r="G82" i="14"/>
  <c r="D82" i="14"/>
  <c r="P81" i="14"/>
  <c r="M81" i="14"/>
  <c r="J81" i="14"/>
  <c r="G81" i="14"/>
  <c r="D81" i="14"/>
  <c r="P80" i="14"/>
  <c r="M80" i="14"/>
  <c r="J80" i="14"/>
  <c r="G80" i="14"/>
  <c r="D80" i="14"/>
  <c r="P79" i="14"/>
  <c r="M79" i="14"/>
  <c r="J79" i="14"/>
  <c r="G79" i="14"/>
  <c r="D79" i="14"/>
  <c r="P78" i="14"/>
  <c r="M78" i="14"/>
  <c r="J78" i="14"/>
  <c r="G78" i="14"/>
  <c r="D78" i="14"/>
  <c r="P77" i="14"/>
  <c r="M77" i="14"/>
  <c r="J77" i="14"/>
  <c r="G77" i="14"/>
  <c r="D77" i="14"/>
  <c r="P76" i="14"/>
  <c r="M76" i="14"/>
  <c r="J76" i="14"/>
  <c r="G76" i="14"/>
  <c r="D76" i="14"/>
  <c r="P75" i="14"/>
  <c r="M75" i="14"/>
  <c r="J75" i="14"/>
  <c r="G75" i="14"/>
  <c r="D75" i="14"/>
  <c r="P74" i="14"/>
  <c r="M74" i="14"/>
  <c r="J74" i="14"/>
  <c r="G74" i="14"/>
  <c r="D74" i="14"/>
  <c r="P73" i="14"/>
  <c r="M73" i="14"/>
  <c r="J73" i="14"/>
  <c r="G73" i="14"/>
  <c r="D73" i="14"/>
  <c r="P72" i="14"/>
  <c r="M72" i="14"/>
  <c r="J72" i="14"/>
  <c r="G72" i="14"/>
  <c r="D72" i="14"/>
  <c r="P71" i="14"/>
  <c r="M71" i="14"/>
  <c r="J71" i="14"/>
  <c r="G71" i="14"/>
  <c r="D71" i="14"/>
  <c r="P70" i="14"/>
  <c r="M70" i="14"/>
  <c r="J70" i="14"/>
  <c r="G70" i="14"/>
  <c r="D70" i="14"/>
  <c r="P69" i="14"/>
  <c r="M69" i="14"/>
  <c r="J69" i="14"/>
  <c r="G69" i="14"/>
  <c r="D69" i="14"/>
  <c r="P68" i="14"/>
  <c r="M68" i="14"/>
  <c r="J68" i="14"/>
  <c r="G68" i="14"/>
  <c r="D68" i="14"/>
  <c r="P67" i="14"/>
  <c r="M67" i="14"/>
  <c r="J67" i="14"/>
  <c r="G67" i="14"/>
  <c r="D67" i="14"/>
  <c r="P66" i="14"/>
  <c r="M66" i="14"/>
  <c r="J66" i="14"/>
  <c r="G66" i="14"/>
  <c r="D66" i="14"/>
  <c r="P65" i="14"/>
  <c r="M65" i="14"/>
  <c r="J65" i="14"/>
  <c r="G65" i="14"/>
  <c r="D65" i="14"/>
  <c r="P64" i="14"/>
  <c r="M64" i="14"/>
  <c r="J64" i="14"/>
  <c r="G64" i="14"/>
  <c r="D64" i="14"/>
  <c r="P63" i="14"/>
  <c r="M63" i="14"/>
  <c r="J63" i="14"/>
  <c r="G63" i="14"/>
  <c r="D63" i="14"/>
  <c r="P62" i="14"/>
  <c r="M62" i="14"/>
  <c r="J62" i="14"/>
  <c r="G62" i="14"/>
  <c r="D62" i="14"/>
  <c r="P61" i="14"/>
  <c r="M61" i="14"/>
  <c r="J61" i="14"/>
  <c r="G61" i="14"/>
  <c r="D61" i="14"/>
  <c r="P60" i="14"/>
  <c r="M60" i="14"/>
  <c r="J60" i="14"/>
  <c r="G60" i="14"/>
  <c r="D60" i="14"/>
  <c r="P59" i="14"/>
  <c r="M59" i="14"/>
  <c r="J59" i="14"/>
  <c r="G59" i="14"/>
  <c r="D59" i="14"/>
  <c r="P58" i="14"/>
  <c r="M58" i="14"/>
  <c r="J58" i="14"/>
  <c r="G58" i="14"/>
  <c r="D58" i="14"/>
  <c r="P57" i="14"/>
  <c r="M57" i="14"/>
  <c r="J57" i="14"/>
  <c r="G57" i="14"/>
  <c r="D57" i="14"/>
  <c r="P56" i="14"/>
  <c r="M56" i="14"/>
  <c r="J56" i="14"/>
  <c r="G56" i="14"/>
  <c r="D56" i="14"/>
  <c r="P55" i="14"/>
  <c r="M55" i="14"/>
  <c r="J55" i="14"/>
  <c r="G55" i="14"/>
  <c r="D55" i="14"/>
  <c r="P54" i="14"/>
  <c r="M54" i="14"/>
  <c r="J54" i="14"/>
  <c r="G54" i="14"/>
  <c r="D54" i="14"/>
  <c r="P53" i="14"/>
  <c r="M53" i="14"/>
  <c r="J53" i="14"/>
  <c r="G53" i="14"/>
  <c r="D53" i="14"/>
  <c r="P52" i="14"/>
  <c r="M52" i="14"/>
  <c r="J52" i="14"/>
  <c r="G52" i="14"/>
  <c r="D52" i="14"/>
  <c r="P51" i="14"/>
  <c r="M51" i="14"/>
  <c r="J51" i="14"/>
  <c r="G51" i="14"/>
  <c r="D51" i="14"/>
  <c r="P50" i="14"/>
  <c r="M50" i="14"/>
  <c r="J50" i="14"/>
  <c r="G50" i="14"/>
  <c r="D50" i="14"/>
  <c r="P49" i="14"/>
  <c r="M49" i="14"/>
  <c r="J49" i="14"/>
  <c r="G49" i="14"/>
  <c r="D49" i="14"/>
  <c r="P48" i="14"/>
  <c r="M48" i="14"/>
  <c r="J48" i="14"/>
  <c r="G48" i="14"/>
  <c r="D48" i="14"/>
  <c r="P47" i="14"/>
  <c r="M47" i="14"/>
  <c r="J47" i="14"/>
  <c r="G47" i="14"/>
  <c r="D47" i="14"/>
  <c r="P46" i="14"/>
  <c r="M46" i="14"/>
  <c r="J46" i="14"/>
  <c r="G46" i="14"/>
  <c r="D46" i="14"/>
  <c r="P45" i="14"/>
  <c r="M45" i="14"/>
  <c r="J45" i="14"/>
  <c r="G45" i="14"/>
  <c r="D45" i="14"/>
  <c r="P44" i="14"/>
  <c r="M44" i="14"/>
  <c r="J44" i="14"/>
  <c r="G44" i="14"/>
  <c r="D44" i="14"/>
  <c r="P43" i="14"/>
  <c r="M43" i="14"/>
  <c r="J43" i="14"/>
  <c r="G43" i="14"/>
  <c r="D43" i="14"/>
  <c r="P42" i="14"/>
  <c r="M42" i="14"/>
  <c r="J42" i="14"/>
  <c r="G42" i="14"/>
  <c r="D42" i="14"/>
  <c r="P41" i="14"/>
  <c r="M41" i="14"/>
  <c r="J41" i="14"/>
  <c r="G41" i="14"/>
  <c r="D41" i="14"/>
  <c r="P40" i="14"/>
  <c r="M40" i="14"/>
  <c r="J40" i="14"/>
  <c r="G40" i="14"/>
  <c r="D40" i="14"/>
  <c r="P39" i="14"/>
  <c r="M39" i="14"/>
  <c r="J39" i="14"/>
  <c r="G39" i="14"/>
  <c r="D39" i="14"/>
  <c r="P38" i="14"/>
  <c r="M38" i="14"/>
  <c r="J38" i="14"/>
  <c r="G38" i="14"/>
  <c r="D38" i="14"/>
  <c r="P37" i="14"/>
  <c r="M37" i="14"/>
  <c r="J37" i="14"/>
  <c r="G37" i="14"/>
  <c r="D37" i="14"/>
  <c r="P36" i="14"/>
  <c r="M36" i="14"/>
  <c r="J36" i="14"/>
  <c r="G36" i="14"/>
  <c r="D36" i="14"/>
  <c r="P35" i="14"/>
  <c r="M35" i="14"/>
  <c r="J35" i="14"/>
  <c r="G35" i="14"/>
  <c r="D35" i="14"/>
  <c r="P34" i="14"/>
  <c r="M34" i="14"/>
  <c r="J34" i="14"/>
  <c r="G34" i="14"/>
  <c r="D34" i="14"/>
  <c r="P33" i="14"/>
  <c r="M33" i="14"/>
  <c r="J33" i="14"/>
  <c r="G33" i="14"/>
  <c r="D33" i="14"/>
  <c r="P32" i="14"/>
  <c r="M32" i="14"/>
  <c r="J32" i="14"/>
  <c r="G32" i="14"/>
  <c r="D32" i="14"/>
  <c r="P31" i="14"/>
  <c r="M31" i="14"/>
  <c r="J31" i="14"/>
  <c r="G31" i="14"/>
  <c r="D31" i="14"/>
  <c r="P30" i="14"/>
  <c r="M30" i="14"/>
  <c r="J30" i="14"/>
  <c r="G30" i="14"/>
  <c r="D30" i="14"/>
  <c r="P29" i="14"/>
  <c r="M29" i="14"/>
  <c r="J29" i="14"/>
  <c r="G29" i="14"/>
  <c r="D29" i="14"/>
  <c r="P28" i="14"/>
  <c r="M28" i="14"/>
  <c r="J28" i="14"/>
  <c r="G28" i="14"/>
  <c r="D28" i="14"/>
  <c r="P27" i="14"/>
  <c r="M27" i="14"/>
  <c r="J27" i="14"/>
  <c r="G27" i="14"/>
  <c r="D27" i="14"/>
  <c r="P26" i="14"/>
  <c r="M26" i="14"/>
  <c r="J26" i="14"/>
  <c r="G26" i="14"/>
  <c r="D26" i="14"/>
  <c r="P25" i="14"/>
  <c r="M25" i="14"/>
  <c r="J25" i="14"/>
  <c r="G25" i="14"/>
  <c r="D25" i="14"/>
  <c r="P24" i="14"/>
  <c r="M24" i="14"/>
  <c r="J24" i="14"/>
  <c r="G24" i="14"/>
  <c r="D24" i="14"/>
  <c r="P23" i="14"/>
  <c r="M23" i="14"/>
  <c r="J23" i="14"/>
  <c r="G23" i="14"/>
  <c r="D23" i="14"/>
  <c r="P22" i="14"/>
  <c r="M22" i="14"/>
  <c r="J22" i="14"/>
  <c r="G22" i="14"/>
  <c r="D22" i="14"/>
  <c r="P21" i="14"/>
  <c r="M21" i="14"/>
  <c r="J21" i="14"/>
  <c r="G21" i="14"/>
  <c r="D21" i="14"/>
  <c r="P20" i="14"/>
  <c r="M20" i="14"/>
  <c r="J20" i="14"/>
  <c r="G20" i="14"/>
  <c r="D20" i="14"/>
  <c r="P19" i="14"/>
  <c r="M19" i="14"/>
  <c r="J19" i="14"/>
  <c r="G19" i="14"/>
  <c r="D19" i="14"/>
  <c r="P18" i="14"/>
  <c r="M18" i="14"/>
  <c r="J18" i="14"/>
  <c r="G18" i="14"/>
  <c r="D18" i="14"/>
  <c r="P17" i="14"/>
  <c r="M17" i="14"/>
  <c r="J17" i="14"/>
  <c r="G17" i="14"/>
  <c r="D17" i="14"/>
  <c r="P16" i="14"/>
  <c r="M16" i="14"/>
  <c r="J16" i="14"/>
  <c r="G16" i="14"/>
  <c r="D16" i="14"/>
  <c r="P15" i="14"/>
  <c r="M15" i="14"/>
  <c r="J15" i="14"/>
  <c r="G15" i="14"/>
  <c r="D15" i="14"/>
  <c r="P14" i="14"/>
  <c r="M14" i="14"/>
  <c r="J14" i="14"/>
  <c r="G14" i="14"/>
  <c r="D14" i="14"/>
  <c r="P13" i="14"/>
  <c r="M13" i="14"/>
  <c r="J13" i="14"/>
  <c r="G13" i="14"/>
  <c r="D13" i="14"/>
  <c r="P12" i="14"/>
  <c r="M12" i="14"/>
  <c r="J12" i="14"/>
  <c r="G12" i="14"/>
  <c r="D12" i="14"/>
  <c r="P5" i="14"/>
  <c r="P6" i="14" s="1"/>
  <c r="M5" i="14"/>
  <c r="M6" i="14" s="1"/>
  <c r="J5" i="14"/>
  <c r="J6" i="14" s="1"/>
  <c r="G5" i="14"/>
  <c r="G6" i="14" s="1"/>
  <c r="G3" i="14" l="1"/>
  <c r="G4" i="14"/>
  <c r="J3" i="14"/>
  <c r="M3" i="14"/>
  <c r="P3" i="14"/>
  <c r="J4" i="14"/>
  <c r="P4" i="14"/>
  <c r="M4" i="14"/>
  <c r="G11" i="10" l="1"/>
  <c r="G12" i="10"/>
  <c r="G13" i="10"/>
  <c r="G10" i="10"/>
  <c r="F11" i="10"/>
  <c r="J11" i="10" s="1"/>
  <c r="F12" i="10"/>
  <c r="I12" i="10" s="1"/>
  <c r="L12" i="10" s="1"/>
  <c r="F13" i="10"/>
  <c r="F10" i="10"/>
  <c r="B11" i="10"/>
  <c r="B12" i="10"/>
  <c r="B13" i="10"/>
  <c r="B10" i="10"/>
  <c r="E20" i="10"/>
  <c r="H16" i="10"/>
  <c r="E21" i="10" s="1"/>
  <c r="L29" i="10" s="1"/>
  <c r="H15" i="10"/>
  <c r="C28" i="10"/>
  <c r="K15" i="10" l="1"/>
  <c r="I10" i="10"/>
  <c r="C29" i="10"/>
  <c r="J13" i="10"/>
  <c r="D28" i="10"/>
  <c r="E22" i="10"/>
  <c r="K36" i="10" s="1"/>
  <c r="L10" i="10"/>
  <c r="D29" i="10"/>
  <c r="D32" i="10" s="1"/>
  <c r="I13" i="10"/>
  <c r="L13" i="10" s="1"/>
  <c r="K16" i="10"/>
  <c r="J10" i="10"/>
  <c r="I11" i="10"/>
  <c r="I16" i="10" s="1"/>
  <c r="J12" i="10"/>
  <c r="J15" i="10" l="1"/>
  <c r="J16" i="10"/>
  <c r="E28" i="10" s="1"/>
  <c r="L11" i="10"/>
  <c r="L15" i="10" s="1"/>
  <c r="D30" i="10"/>
  <c r="L16" i="10"/>
  <c r="L27" i="10" s="1"/>
  <c r="I15" i="10"/>
  <c r="L36" i="10" l="1"/>
  <c r="E29" i="10"/>
  <c r="L37" i="10" s="1"/>
  <c r="E30" i="10" l="1"/>
  <c r="E32" i="10"/>
  <c r="L28" i="10" s="1"/>
  <c r="L30" i="10" s="1"/>
  <c r="L22" i="10" s="1"/>
  <c r="L23" i="10" s="1"/>
  <c r="K37" i="10" s="1"/>
  <c r="L38" i="10" s="1"/>
  <c r="H31" i="12" l="1"/>
  <c r="I31" i="12"/>
  <c r="J31" i="12"/>
  <c r="K31" i="12"/>
  <c r="G31" i="12"/>
  <c r="B31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G22" i="12"/>
  <c r="G23" i="12"/>
  <c r="G24" i="12"/>
  <c r="G25" i="12"/>
  <c r="G26" i="12"/>
  <c r="G27" i="12"/>
  <c r="G28" i="12"/>
  <c r="G29" i="12"/>
  <c r="G21" i="12"/>
  <c r="B22" i="12"/>
  <c r="B23" i="12"/>
  <c r="B24" i="12"/>
  <c r="B25" i="12"/>
  <c r="B26" i="12"/>
  <c r="B27" i="12"/>
  <c r="B28" i="12"/>
  <c r="B29" i="12"/>
  <c r="B2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G14" i="12"/>
  <c r="G13" i="12"/>
  <c r="G12" i="12"/>
  <c r="B13" i="12"/>
  <c r="B14" i="12"/>
  <c r="B12" i="12"/>
  <c r="H7" i="12"/>
  <c r="I7" i="12"/>
  <c r="J7" i="12"/>
  <c r="K7" i="12"/>
  <c r="H8" i="12"/>
  <c r="I8" i="12"/>
  <c r="J8" i="12"/>
  <c r="K8" i="12"/>
  <c r="G8" i="12"/>
  <c r="G7" i="12"/>
  <c r="H5" i="12"/>
  <c r="I5" i="12"/>
  <c r="J5" i="12"/>
  <c r="K5" i="12"/>
  <c r="H6" i="12"/>
  <c r="I6" i="12"/>
  <c r="J6" i="12"/>
  <c r="K6" i="12"/>
  <c r="G6" i="12"/>
  <c r="G5" i="12"/>
  <c r="B6" i="12"/>
  <c r="B7" i="12"/>
  <c r="B8" i="12"/>
  <c r="B5" i="12"/>
  <c r="H2" i="12"/>
  <c r="H41" i="12" s="1"/>
  <c r="H56" i="12" s="1"/>
  <c r="I2" i="12"/>
  <c r="I41" i="12" s="1"/>
  <c r="I56" i="12" s="1"/>
  <c r="J2" i="12"/>
  <c r="J41" i="12" s="1"/>
  <c r="J56" i="12" s="1"/>
  <c r="K2" i="12"/>
  <c r="K41" i="12" s="1"/>
  <c r="K56" i="12" s="1"/>
  <c r="G2" i="12"/>
  <c r="G41" i="12" s="1"/>
  <c r="G56" i="12" s="1"/>
  <c r="E145" i="7"/>
  <c r="F145" i="7"/>
  <c r="I145" i="7"/>
  <c r="J145" i="7"/>
  <c r="C143" i="7"/>
  <c r="D143" i="7"/>
  <c r="E143" i="7"/>
  <c r="F143" i="7"/>
  <c r="G143" i="7"/>
  <c r="H143" i="7"/>
  <c r="I143" i="7"/>
  <c r="J143" i="7"/>
  <c r="K143" i="7"/>
  <c r="L143" i="7"/>
  <c r="C144" i="7"/>
  <c r="D144" i="7"/>
  <c r="E144" i="7"/>
  <c r="F144" i="7"/>
  <c r="G144" i="7"/>
  <c r="H144" i="7"/>
  <c r="I144" i="7"/>
  <c r="J144" i="7"/>
  <c r="K144" i="7"/>
  <c r="L144" i="7"/>
  <c r="D142" i="7"/>
  <c r="E142" i="7"/>
  <c r="F142" i="7"/>
  <c r="G142" i="7"/>
  <c r="H142" i="7"/>
  <c r="I142" i="7"/>
  <c r="J142" i="7"/>
  <c r="K142" i="7"/>
  <c r="L142" i="7"/>
  <c r="C142" i="7"/>
  <c r="D140" i="7"/>
  <c r="F140" i="7"/>
  <c r="G140" i="7"/>
  <c r="H140" i="7"/>
  <c r="C138" i="7"/>
  <c r="D138" i="7"/>
  <c r="E138" i="7"/>
  <c r="F138" i="7"/>
  <c r="G138" i="7"/>
  <c r="H138" i="7"/>
  <c r="I138" i="7"/>
  <c r="J138" i="7"/>
  <c r="K138" i="7"/>
  <c r="L138" i="7"/>
  <c r="C139" i="7"/>
  <c r="D139" i="7"/>
  <c r="E139" i="7"/>
  <c r="F139" i="7"/>
  <c r="G139" i="7"/>
  <c r="H139" i="7"/>
  <c r="I139" i="7"/>
  <c r="J139" i="7"/>
  <c r="K139" i="7"/>
  <c r="L139" i="7"/>
  <c r="D137" i="7"/>
  <c r="E137" i="7"/>
  <c r="F137" i="7"/>
  <c r="G137" i="7"/>
  <c r="H137" i="7"/>
  <c r="I137" i="7"/>
  <c r="J137" i="7"/>
  <c r="K137" i="7"/>
  <c r="L137" i="7"/>
  <c r="C137" i="7"/>
  <c r="D136" i="7"/>
  <c r="E136" i="7"/>
  <c r="F136" i="7"/>
  <c r="G136" i="7"/>
  <c r="H136" i="7"/>
  <c r="I136" i="7"/>
  <c r="J136" i="7"/>
  <c r="K136" i="7"/>
  <c r="L136" i="7"/>
  <c r="C136" i="7"/>
  <c r="C76" i="6"/>
  <c r="D141" i="7" s="1"/>
  <c r="D76" i="6"/>
  <c r="E141" i="7" s="1"/>
  <c r="E76" i="6"/>
  <c r="F141" i="7" s="1"/>
  <c r="C75" i="6"/>
  <c r="D145" i="7" s="1"/>
  <c r="D75" i="6"/>
  <c r="E75" i="6"/>
  <c r="F75" i="6"/>
  <c r="G145" i="7" s="1"/>
  <c r="G75" i="6"/>
  <c r="H145" i="7" s="1"/>
  <c r="H75" i="6"/>
  <c r="I75" i="6"/>
  <c r="J75" i="6"/>
  <c r="K145" i="7" s="1"/>
  <c r="K75" i="6"/>
  <c r="L145" i="7" s="1"/>
  <c r="B75" i="6"/>
  <c r="C145" i="7" s="1"/>
  <c r="C132" i="7"/>
  <c r="D132" i="7"/>
  <c r="E132" i="7"/>
  <c r="F132" i="7"/>
  <c r="G132" i="7"/>
  <c r="H132" i="7"/>
  <c r="I132" i="7"/>
  <c r="J132" i="7"/>
  <c r="K132" i="7"/>
  <c r="L132" i="7"/>
  <c r="C133" i="7"/>
  <c r="D133" i="7"/>
  <c r="E133" i="7"/>
  <c r="F133" i="7"/>
  <c r="G133" i="7"/>
  <c r="H133" i="7"/>
  <c r="I133" i="7"/>
  <c r="J133" i="7"/>
  <c r="K133" i="7"/>
  <c r="L133" i="7"/>
  <c r="C134" i="7"/>
  <c r="D134" i="7"/>
  <c r="E134" i="7"/>
  <c r="F134" i="7"/>
  <c r="G134" i="7"/>
  <c r="H134" i="7"/>
  <c r="I134" i="7"/>
  <c r="J134" i="7"/>
  <c r="K134" i="7"/>
  <c r="L134" i="7"/>
  <c r="D131" i="7"/>
  <c r="E131" i="7"/>
  <c r="F131" i="7"/>
  <c r="G131" i="7"/>
  <c r="H131" i="7"/>
  <c r="I131" i="7"/>
  <c r="J131" i="7"/>
  <c r="K131" i="7"/>
  <c r="L131" i="7"/>
  <c r="C131" i="7"/>
  <c r="D130" i="7"/>
  <c r="E130" i="7"/>
  <c r="F130" i="7"/>
  <c r="G130" i="7"/>
  <c r="H130" i="7"/>
  <c r="I130" i="7"/>
  <c r="J130" i="7"/>
  <c r="K130" i="7"/>
  <c r="L130" i="7"/>
  <c r="C130" i="7"/>
  <c r="C125" i="7"/>
  <c r="D125" i="7"/>
  <c r="E125" i="7"/>
  <c r="F125" i="7"/>
  <c r="G125" i="7"/>
  <c r="H125" i="7"/>
  <c r="I125" i="7"/>
  <c r="J125" i="7"/>
  <c r="K125" i="7"/>
  <c r="L125" i="7"/>
  <c r="C112" i="7"/>
  <c r="D112" i="7"/>
  <c r="E112" i="7"/>
  <c r="F112" i="7"/>
  <c r="G112" i="7"/>
  <c r="H112" i="7"/>
  <c r="I112" i="7"/>
  <c r="J112" i="7"/>
  <c r="K112" i="7"/>
  <c r="L112" i="7"/>
  <c r="C113" i="7"/>
  <c r="D113" i="7"/>
  <c r="E113" i="7"/>
  <c r="F113" i="7"/>
  <c r="G113" i="7"/>
  <c r="H113" i="7"/>
  <c r="I113" i="7"/>
  <c r="J113" i="7"/>
  <c r="K113" i="7"/>
  <c r="L113" i="7"/>
  <c r="C114" i="7"/>
  <c r="D114" i="7"/>
  <c r="E114" i="7"/>
  <c r="F114" i="7"/>
  <c r="G114" i="7"/>
  <c r="H114" i="7"/>
  <c r="I114" i="7"/>
  <c r="J114" i="7"/>
  <c r="K114" i="7"/>
  <c r="L114" i="7"/>
  <c r="C115" i="7"/>
  <c r="D115" i="7"/>
  <c r="E115" i="7"/>
  <c r="F115" i="7"/>
  <c r="G115" i="7"/>
  <c r="H115" i="7"/>
  <c r="I115" i="7"/>
  <c r="J115" i="7"/>
  <c r="K115" i="7"/>
  <c r="L115" i="7"/>
  <c r="C116" i="7"/>
  <c r="D116" i="7"/>
  <c r="E116" i="7"/>
  <c r="F116" i="7"/>
  <c r="G116" i="7"/>
  <c r="H116" i="7"/>
  <c r="I116" i="7"/>
  <c r="J116" i="7"/>
  <c r="K116" i="7"/>
  <c r="L116" i="7"/>
  <c r="C117" i="7"/>
  <c r="D117" i="7"/>
  <c r="E117" i="7"/>
  <c r="F117" i="7"/>
  <c r="G117" i="7"/>
  <c r="H117" i="7"/>
  <c r="I117" i="7"/>
  <c r="J117" i="7"/>
  <c r="K117" i="7"/>
  <c r="L117" i="7"/>
  <c r="C118" i="7"/>
  <c r="D118" i="7"/>
  <c r="E118" i="7"/>
  <c r="F118" i="7"/>
  <c r="G118" i="7"/>
  <c r="H118" i="7"/>
  <c r="I118" i="7"/>
  <c r="J118" i="7"/>
  <c r="K118" i="7"/>
  <c r="L118" i="7"/>
  <c r="C119" i="7"/>
  <c r="D119" i="7"/>
  <c r="E119" i="7"/>
  <c r="F119" i="7"/>
  <c r="G119" i="7"/>
  <c r="H119" i="7"/>
  <c r="I119" i="7"/>
  <c r="J119" i="7"/>
  <c r="K119" i="7"/>
  <c r="L119" i="7"/>
  <c r="C120" i="7"/>
  <c r="D120" i="7"/>
  <c r="E120" i="7"/>
  <c r="F120" i="7"/>
  <c r="G120" i="7"/>
  <c r="H120" i="7"/>
  <c r="I120" i="7"/>
  <c r="J120" i="7"/>
  <c r="K120" i="7"/>
  <c r="L120" i="7"/>
  <c r="C121" i="7"/>
  <c r="D121" i="7"/>
  <c r="E121" i="7"/>
  <c r="F121" i="7"/>
  <c r="G121" i="7"/>
  <c r="H121" i="7"/>
  <c r="I121" i="7"/>
  <c r="J121" i="7"/>
  <c r="K121" i="7"/>
  <c r="L121" i="7"/>
  <c r="C122" i="7"/>
  <c r="D122" i="7"/>
  <c r="E122" i="7"/>
  <c r="F122" i="7"/>
  <c r="G122" i="7"/>
  <c r="H122" i="7"/>
  <c r="I122" i="7"/>
  <c r="J122" i="7"/>
  <c r="K122" i="7"/>
  <c r="L122" i="7"/>
  <c r="C123" i="7"/>
  <c r="D123" i="7"/>
  <c r="E123" i="7"/>
  <c r="F123" i="7"/>
  <c r="G123" i="7"/>
  <c r="H123" i="7"/>
  <c r="I123" i="7"/>
  <c r="J123" i="7"/>
  <c r="K123" i="7"/>
  <c r="L123" i="7"/>
  <c r="C124" i="7"/>
  <c r="D124" i="7"/>
  <c r="E124" i="7"/>
  <c r="F124" i="7"/>
  <c r="G124" i="7"/>
  <c r="H124" i="7"/>
  <c r="I124" i="7"/>
  <c r="J124" i="7"/>
  <c r="K124" i="7"/>
  <c r="L124" i="7"/>
  <c r="D111" i="7"/>
  <c r="E111" i="7"/>
  <c r="F111" i="7"/>
  <c r="G111" i="7"/>
  <c r="H111" i="7"/>
  <c r="I111" i="7"/>
  <c r="J111" i="7"/>
  <c r="K111" i="7"/>
  <c r="L111" i="7"/>
  <c r="C111" i="7"/>
  <c r="C74" i="6"/>
  <c r="D74" i="6"/>
  <c r="E140" i="7" s="1"/>
  <c r="E74" i="6"/>
  <c r="F74" i="6"/>
  <c r="F76" i="6" s="1"/>
  <c r="G141" i="7" s="1"/>
  <c r="G74" i="6"/>
  <c r="G76" i="6" s="1"/>
  <c r="H141" i="7" s="1"/>
  <c r="H74" i="6"/>
  <c r="I140" i="7" s="1"/>
  <c r="I74" i="6"/>
  <c r="J140" i="7" s="1"/>
  <c r="J74" i="6"/>
  <c r="K140" i="7" s="1"/>
  <c r="K74" i="6"/>
  <c r="L140" i="7" s="1"/>
  <c r="B74" i="6"/>
  <c r="C140" i="7" s="1"/>
  <c r="C33" i="6"/>
  <c r="D126" i="7" s="1"/>
  <c r="D33" i="6"/>
  <c r="E126" i="7" s="1"/>
  <c r="E33" i="6"/>
  <c r="F126" i="7" s="1"/>
  <c r="F33" i="6"/>
  <c r="G126" i="7" s="1"/>
  <c r="G33" i="6"/>
  <c r="H126" i="7" s="1"/>
  <c r="H33" i="6"/>
  <c r="I126" i="7" s="1"/>
  <c r="I33" i="6"/>
  <c r="J126" i="7" s="1"/>
  <c r="J33" i="6"/>
  <c r="K126" i="7" s="1"/>
  <c r="K33" i="6"/>
  <c r="L126" i="7" s="1"/>
  <c r="B33" i="6"/>
  <c r="C126" i="7" s="1"/>
  <c r="C100" i="7"/>
  <c r="D100" i="7"/>
  <c r="E100" i="7"/>
  <c r="F100" i="7"/>
  <c r="G100" i="7"/>
  <c r="H100" i="7"/>
  <c r="I100" i="7"/>
  <c r="J100" i="7"/>
  <c r="K100" i="7"/>
  <c r="L100" i="7"/>
  <c r="C101" i="7"/>
  <c r="D101" i="7"/>
  <c r="E101" i="7"/>
  <c r="F101" i="7"/>
  <c r="G101" i="7"/>
  <c r="H101" i="7"/>
  <c r="I101" i="7"/>
  <c r="J101" i="7"/>
  <c r="K101" i="7"/>
  <c r="L101" i="7"/>
  <c r="C102" i="7"/>
  <c r="D102" i="7"/>
  <c r="E102" i="7"/>
  <c r="F102" i="7"/>
  <c r="G102" i="7"/>
  <c r="H102" i="7"/>
  <c r="I102" i="7"/>
  <c r="J102" i="7"/>
  <c r="K102" i="7"/>
  <c r="L102" i="7"/>
  <c r="C103" i="7"/>
  <c r="D103" i="7"/>
  <c r="E103" i="7"/>
  <c r="F103" i="7"/>
  <c r="G103" i="7"/>
  <c r="H103" i="7"/>
  <c r="I103" i="7"/>
  <c r="J103" i="7"/>
  <c r="K103" i="7"/>
  <c r="L103" i="7"/>
  <c r="D99" i="7"/>
  <c r="E99" i="7"/>
  <c r="F99" i="7"/>
  <c r="G99" i="7"/>
  <c r="H99" i="7"/>
  <c r="I99" i="7"/>
  <c r="J99" i="7"/>
  <c r="K99" i="7"/>
  <c r="L99" i="7"/>
  <c r="C99" i="7"/>
  <c r="D97" i="7"/>
  <c r="E97" i="7"/>
  <c r="F97" i="7"/>
  <c r="G97" i="7"/>
  <c r="H97" i="7"/>
  <c r="I97" i="7"/>
  <c r="J97" i="7"/>
  <c r="K97" i="7"/>
  <c r="L97" i="7"/>
  <c r="C97" i="7"/>
  <c r="D95" i="7"/>
  <c r="E95" i="7"/>
  <c r="F95" i="7"/>
  <c r="G95" i="7"/>
  <c r="H95" i="7"/>
  <c r="I95" i="7"/>
  <c r="J95" i="7"/>
  <c r="K95" i="7"/>
  <c r="L95" i="7"/>
  <c r="C95" i="7"/>
  <c r="D80" i="7"/>
  <c r="E80" i="7"/>
  <c r="F80" i="7"/>
  <c r="G80" i="7"/>
  <c r="H80" i="7"/>
  <c r="I80" i="7"/>
  <c r="J80" i="7"/>
  <c r="K80" i="7"/>
  <c r="L80" i="7"/>
  <c r="D81" i="7"/>
  <c r="E81" i="7"/>
  <c r="F81" i="7"/>
  <c r="G81" i="7"/>
  <c r="H81" i="7"/>
  <c r="I81" i="7"/>
  <c r="J81" i="7"/>
  <c r="K81" i="7"/>
  <c r="L81" i="7"/>
  <c r="D82" i="7"/>
  <c r="E82" i="7"/>
  <c r="F82" i="7"/>
  <c r="G82" i="7"/>
  <c r="H82" i="7"/>
  <c r="I82" i="7"/>
  <c r="J82" i="7"/>
  <c r="K82" i="7"/>
  <c r="L82" i="7"/>
  <c r="D83" i="7"/>
  <c r="E83" i="7"/>
  <c r="F83" i="7"/>
  <c r="G83" i="7"/>
  <c r="H83" i="7"/>
  <c r="I83" i="7"/>
  <c r="J83" i="7"/>
  <c r="K83" i="7"/>
  <c r="L83" i="7"/>
  <c r="D84" i="7"/>
  <c r="E84" i="7"/>
  <c r="F84" i="7"/>
  <c r="G84" i="7"/>
  <c r="H84" i="7"/>
  <c r="I84" i="7"/>
  <c r="J84" i="7"/>
  <c r="K84" i="7"/>
  <c r="L84" i="7"/>
  <c r="D85" i="7"/>
  <c r="E85" i="7"/>
  <c r="F85" i="7"/>
  <c r="G85" i="7"/>
  <c r="H85" i="7"/>
  <c r="I85" i="7"/>
  <c r="J85" i="7"/>
  <c r="K85" i="7"/>
  <c r="L85" i="7"/>
  <c r="D86" i="7"/>
  <c r="E86" i="7"/>
  <c r="F86" i="7"/>
  <c r="G86" i="7"/>
  <c r="H86" i="7"/>
  <c r="I86" i="7"/>
  <c r="J86" i="7"/>
  <c r="K86" i="7"/>
  <c r="L86" i="7"/>
  <c r="D87" i="7"/>
  <c r="E87" i="7"/>
  <c r="F87" i="7"/>
  <c r="G87" i="7"/>
  <c r="H87" i="7"/>
  <c r="I87" i="7"/>
  <c r="J87" i="7"/>
  <c r="K87" i="7"/>
  <c r="L87" i="7"/>
  <c r="D88" i="7"/>
  <c r="E88" i="7"/>
  <c r="F88" i="7"/>
  <c r="G88" i="7"/>
  <c r="H88" i="7"/>
  <c r="I88" i="7"/>
  <c r="J88" i="7"/>
  <c r="K88" i="7"/>
  <c r="L88" i="7"/>
  <c r="D91" i="7"/>
  <c r="E91" i="7"/>
  <c r="F91" i="7"/>
  <c r="G91" i="7"/>
  <c r="H91" i="7"/>
  <c r="I91" i="7"/>
  <c r="J91" i="7"/>
  <c r="K91" i="7"/>
  <c r="L91" i="7"/>
  <c r="C81" i="7"/>
  <c r="C82" i="7"/>
  <c r="C83" i="7"/>
  <c r="C84" i="7"/>
  <c r="C85" i="7"/>
  <c r="C86" i="7"/>
  <c r="C87" i="7"/>
  <c r="C88" i="7"/>
  <c r="C91" i="7"/>
  <c r="C80" i="7"/>
  <c r="D70" i="7"/>
  <c r="E70" i="7"/>
  <c r="F70" i="7"/>
  <c r="G70" i="7"/>
  <c r="H70" i="7"/>
  <c r="I70" i="7"/>
  <c r="J70" i="7"/>
  <c r="K70" i="7"/>
  <c r="L70" i="7"/>
  <c r="D71" i="7"/>
  <c r="E71" i="7"/>
  <c r="F71" i="7"/>
  <c r="G71" i="7"/>
  <c r="H71" i="7"/>
  <c r="I71" i="7"/>
  <c r="J71" i="7"/>
  <c r="K71" i="7"/>
  <c r="L71" i="7"/>
  <c r="D72" i="7"/>
  <c r="E72" i="7"/>
  <c r="F72" i="7"/>
  <c r="G72" i="7"/>
  <c r="H72" i="7"/>
  <c r="I72" i="7"/>
  <c r="J72" i="7"/>
  <c r="K72" i="7"/>
  <c r="L72" i="7"/>
  <c r="D73" i="7"/>
  <c r="E73" i="7"/>
  <c r="F73" i="7"/>
  <c r="G73" i="7"/>
  <c r="H73" i="7"/>
  <c r="I73" i="7"/>
  <c r="J73" i="7"/>
  <c r="K73" i="7"/>
  <c r="L73" i="7"/>
  <c r="D74" i="7"/>
  <c r="E74" i="7"/>
  <c r="F74" i="7"/>
  <c r="G74" i="7"/>
  <c r="H74" i="7"/>
  <c r="I74" i="7"/>
  <c r="J74" i="7"/>
  <c r="K74" i="7"/>
  <c r="L74" i="7"/>
  <c r="D75" i="7"/>
  <c r="E75" i="7"/>
  <c r="F75" i="7"/>
  <c r="G75" i="7"/>
  <c r="H75" i="7"/>
  <c r="I75" i="7"/>
  <c r="J75" i="7"/>
  <c r="K75" i="7"/>
  <c r="L75" i="7"/>
  <c r="D76" i="7"/>
  <c r="E76" i="7"/>
  <c r="F76" i="7"/>
  <c r="G76" i="7"/>
  <c r="H76" i="7"/>
  <c r="I76" i="7"/>
  <c r="J76" i="7"/>
  <c r="K76" i="7"/>
  <c r="L76" i="7"/>
  <c r="C71" i="7"/>
  <c r="C72" i="7"/>
  <c r="C73" i="7"/>
  <c r="C74" i="7"/>
  <c r="C75" i="7"/>
  <c r="C76" i="7"/>
  <c r="C70" i="7"/>
  <c r="D56" i="7"/>
  <c r="E56" i="7"/>
  <c r="F56" i="7"/>
  <c r="G56" i="7"/>
  <c r="H56" i="7"/>
  <c r="I56" i="7"/>
  <c r="J56" i="7"/>
  <c r="K56" i="7"/>
  <c r="L56" i="7"/>
  <c r="C56" i="7"/>
  <c r="D53" i="7"/>
  <c r="E53" i="7"/>
  <c r="F53" i="7"/>
  <c r="G53" i="7"/>
  <c r="H53" i="7"/>
  <c r="I53" i="7"/>
  <c r="J53" i="7"/>
  <c r="K53" i="7"/>
  <c r="L53" i="7"/>
  <c r="C53" i="7"/>
  <c r="C48" i="7"/>
  <c r="D48" i="7"/>
  <c r="E48" i="7"/>
  <c r="F48" i="7"/>
  <c r="G48" i="7"/>
  <c r="H48" i="7"/>
  <c r="I48" i="7"/>
  <c r="J48" i="7"/>
  <c r="K48" i="7"/>
  <c r="L48" i="7"/>
  <c r="C49" i="7"/>
  <c r="D49" i="7"/>
  <c r="E49" i="7"/>
  <c r="F49" i="7"/>
  <c r="G49" i="7"/>
  <c r="H49" i="7"/>
  <c r="I49" i="7"/>
  <c r="J49" i="7"/>
  <c r="K49" i="7"/>
  <c r="L49" i="7"/>
  <c r="C50" i="7"/>
  <c r="D50" i="7"/>
  <c r="E50" i="7"/>
  <c r="F50" i="7"/>
  <c r="G50" i="7"/>
  <c r="H50" i="7"/>
  <c r="I50" i="7"/>
  <c r="J50" i="7"/>
  <c r="K50" i="7"/>
  <c r="L50" i="7"/>
  <c r="L47" i="7"/>
  <c r="K47" i="7"/>
  <c r="J47" i="7"/>
  <c r="I47" i="7"/>
  <c r="H47" i="7"/>
  <c r="G47" i="7"/>
  <c r="F47" i="7"/>
  <c r="E47" i="7"/>
  <c r="D47" i="7"/>
  <c r="C47" i="7"/>
  <c r="D36" i="7"/>
  <c r="E36" i="7"/>
  <c r="F36" i="7"/>
  <c r="G36" i="7"/>
  <c r="H36" i="7"/>
  <c r="I36" i="7"/>
  <c r="J36" i="7"/>
  <c r="K36" i="7"/>
  <c r="L36" i="7"/>
  <c r="C36" i="7"/>
  <c r="M33" i="7"/>
  <c r="M30" i="7"/>
  <c r="M27" i="7"/>
  <c r="M24" i="7"/>
  <c r="M21" i="7"/>
  <c r="M9" i="7"/>
  <c r="M6" i="7"/>
  <c r="D15" i="7"/>
  <c r="E15" i="7"/>
  <c r="F15" i="7"/>
  <c r="G15" i="7"/>
  <c r="H15" i="7"/>
  <c r="I15" i="7"/>
  <c r="J15" i="7"/>
  <c r="K15" i="7"/>
  <c r="L15" i="7"/>
  <c r="C15" i="7"/>
  <c r="D6" i="7"/>
  <c r="E6" i="7"/>
  <c r="F6" i="7"/>
  <c r="G6" i="7"/>
  <c r="H6" i="7"/>
  <c r="I6" i="7"/>
  <c r="J6" i="7"/>
  <c r="K6" i="7"/>
  <c r="L6" i="7"/>
  <c r="D9" i="7"/>
  <c r="E9" i="7"/>
  <c r="F9" i="7"/>
  <c r="G9" i="7"/>
  <c r="H9" i="7"/>
  <c r="I9" i="7"/>
  <c r="J9" i="7"/>
  <c r="K9" i="7"/>
  <c r="L9" i="7"/>
  <c r="D21" i="7"/>
  <c r="E21" i="7"/>
  <c r="F21" i="7"/>
  <c r="G21" i="7"/>
  <c r="H21" i="7"/>
  <c r="I21" i="7"/>
  <c r="J21" i="7"/>
  <c r="K21" i="7"/>
  <c r="L21" i="7"/>
  <c r="D24" i="7"/>
  <c r="E24" i="7"/>
  <c r="F24" i="7"/>
  <c r="G24" i="7"/>
  <c r="H24" i="7"/>
  <c r="I24" i="7"/>
  <c r="J24" i="7"/>
  <c r="K24" i="7"/>
  <c r="L24" i="7"/>
  <c r="D30" i="7"/>
  <c r="E30" i="7"/>
  <c r="F30" i="7"/>
  <c r="G30" i="7"/>
  <c r="H30" i="7"/>
  <c r="I30" i="7"/>
  <c r="J30" i="7"/>
  <c r="K30" i="7"/>
  <c r="L30" i="7"/>
  <c r="C30" i="7"/>
  <c r="C24" i="7"/>
  <c r="C21" i="7"/>
  <c r="C9" i="7"/>
  <c r="C6" i="7"/>
  <c r="D3" i="7"/>
  <c r="D59" i="7" s="1"/>
  <c r="E3" i="7"/>
  <c r="E59" i="7" s="1"/>
  <c r="F3" i="7"/>
  <c r="F54" i="7" s="1"/>
  <c r="G3" i="7"/>
  <c r="G54" i="7" s="1"/>
  <c r="H3" i="7"/>
  <c r="H54" i="7" s="1"/>
  <c r="I3" i="7"/>
  <c r="I54" i="7" s="1"/>
  <c r="J3" i="7"/>
  <c r="J54" i="7" s="1"/>
  <c r="K3" i="7"/>
  <c r="K60" i="7" s="1"/>
  <c r="L3" i="7"/>
  <c r="L60" i="7" s="1"/>
  <c r="C3" i="7"/>
  <c r="C55" i="7" s="1"/>
  <c r="B2" i="7"/>
  <c r="B6" i="6"/>
  <c r="E1" i="6"/>
  <c r="B76" i="6" l="1"/>
  <c r="C141" i="7" s="1"/>
  <c r="K76" i="6"/>
  <c r="L141" i="7" s="1"/>
  <c r="J76" i="6"/>
  <c r="K141" i="7" s="1"/>
  <c r="I76" i="6"/>
  <c r="J141" i="7" s="1"/>
  <c r="H76" i="6"/>
  <c r="I141" i="7" s="1"/>
  <c r="G30" i="12"/>
  <c r="G32" i="12" s="1"/>
  <c r="K30" i="12"/>
  <c r="K32" i="12" s="1"/>
  <c r="J30" i="12"/>
  <c r="J32" i="12" s="1"/>
  <c r="I30" i="12"/>
  <c r="I32" i="12" s="1"/>
  <c r="H30" i="12"/>
  <c r="H32" i="12" s="1"/>
  <c r="G9" i="12"/>
  <c r="K9" i="12"/>
  <c r="J9" i="12"/>
  <c r="I9" i="12"/>
  <c r="H9" i="12"/>
  <c r="G15" i="12"/>
  <c r="J15" i="12"/>
  <c r="K15" i="12"/>
  <c r="H15" i="12"/>
  <c r="I15" i="12"/>
  <c r="C4" i="9" a="1"/>
  <c r="C12" i="9" s="1"/>
  <c r="H4" i="9" a="1"/>
  <c r="H8" i="9" s="1"/>
  <c r="M4" i="9" a="1"/>
  <c r="M8" i="9" s="1"/>
  <c r="R4" i="9" a="1"/>
  <c r="R8" i="9" s="1"/>
  <c r="W4" i="9" a="1"/>
  <c r="W8" i="9" s="1"/>
  <c r="K55" i="7"/>
  <c r="H55" i="7"/>
  <c r="H57" i="7" s="1"/>
  <c r="D16" i="7"/>
  <c r="J55" i="7"/>
  <c r="J57" i="7" s="1"/>
  <c r="F55" i="7"/>
  <c r="F57" i="7" s="1"/>
  <c r="D55" i="7"/>
  <c r="H10" i="7"/>
  <c r="K61" i="7"/>
  <c r="F61" i="7"/>
  <c r="J60" i="7"/>
  <c r="H60" i="7"/>
  <c r="D60" i="7"/>
  <c r="I7" i="7"/>
  <c r="I55" i="7"/>
  <c r="I57" i="7" s="1"/>
  <c r="I60" i="7"/>
  <c r="G60" i="7"/>
  <c r="E55" i="7"/>
  <c r="F60" i="7"/>
  <c r="E54" i="7"/>
  <c r="I59" i="7"/>
  <c r="D54" i="7"/>
  <c r="C59" i="7"/>
  <c r="C61" i="7"/>
  <c r="H22" i="7"/>
  <c r="J7" i="7"/>
  <c r="C60" i="7"/>
  <c r="J61" i="7"/>
  <c r="E22" i="7"/>
  <c r="I61" i="7"/>
  <c r="L55" i="7"/>
  <c r="G61" i="7"/>
  <c r="G77" i="7"/>
  <c r="F77" i="7"/>
  <c r="C92" i="7"/>
  <c r="K92" i="7"/>
  <c r="H92" i="7"/>
  <c r="H104" i="7"/>
  <c r="E77" i="7"/>
  <c r="K104" i="7"/>
  <c r="J92" i="7"/>
  <c r="G92" i="7"/>
  <c r="F92" i="7"/>
  <c r="F104" i="7"/>
  <c r="D77" i="7"/>
  <c r="E92" i="7"/>
  <c r="L104" i="7"/>
  <c r="E104" i="7"/>
  <c r="C77" i="7"/>
  <c r="H77" i="7"/>
  <c r="L77" i="7"/>
  <c r="L92" i="7"/>
  <c r="D92" i="7"/>
  <c r="G104" i="7"/>
  <c r="I104" i="7"/>
  <c r="D104" i="7"/>
  <c r="I77" i="7"/>
  <c r="C104" i="7"/>
  <c r="J104" i="7"/>
  <c r="J77" i="7"/>
  <c r="I92" i="7"/>
  <c r="K77" i="7"/>
  <c r="G55" i="7"/>
  <c r="G57" i="7" s="1"/>
  <c r="L61" i="7"/>
  <c r="E60" i="7"/>
  <c r="K59" i="7"/>
  <c r="I22" i="7"/>
  <c r="L54" i="7"/>
  <c r="H61" i="7"/>
  <c r="J59" i="7"/>
  <c r="L59" i="7"/>
  <c r="H59" i="7"/>
  <c r="M10" i="7"/>
  <c r="C51" i="7"/>
  <c r="E61" i="7"/>
  <c r="G59" i="7"/>
  <c r="L25" i="7"/>
  <c r="G7" i="7"/>
  <c r="M22" i="7"/>
  <c r="D51" i="7"/>
  <c r="E51" i="7"/>
  <c r="D61" i="7"/>
  <c r="F59" i="7"/>
  <c r="F16" i="7"/>
  <c r="M25" i="7"/>
  <c r="C54" i="7"/>
  <c r="C57" i="7" s="1"/>
  <c r="K54" i="7"/>
  <c r="D22" i="7"/>
  <c r="E7" i="7"/>
  <c r="M28" i="7"/>
  <c r="K51" i="7"/>
  <c r="G51" i="7"/>
  <c r="I51" i="7"/>
  <c r="F51" i="7"/>
  <c r="L51" i="7"/>
  <c r="J51" i="7"/>
  <c r="H51" i="7"/>
  <c r="E25" i="7"/>
  <c r="G10" i="7"/>
  <c r="F25" i="7"/>
  <c r="C25" i="7"/>
  <c r="D25" i="7"/>
  <c r="F12" i="7"/>
  <c r="F18" i="7" s="1"/>
  <c r="F27" i="7" s="1"/>
  <c r="F33" i="7" s="1"/>
  <c r="J22" i="7"/>
  <c r="L12" i="7"/>
  <c r="L13" i="7" s="1"/>
  <c r="G16" i="7"/>
  <c r="K12" i="7"/>
  <c r="K13" i="7" s="1"/>
  <c r="G22" i="7"/>
  <c r="F22" i="7"/>
  <c r="H7" i="7"/>
  <c r="C16" i="7"/>
  <c r="M34" i="7"/>
  <c r="J25" i="7"/>
  <c r="L16" i="7"/>
  <c r="C10" i="7"/>
  <c r="I25" i="7"/>
  <c r="K16" i="7"/>
  <c r="J16" i="7"/>
  <c r="L7" i="7"/>
  <c r="I12" i="7"/>
  <c r="I18" i="7" s="1"/>
  <c r="K7" i="7"/>
  <c r="H16" i="7"/>
  <c r="L22" i="7"/>
  <c r="E12" i="7"/>
  <c r="E18" i="7" s="1"/>
  <c r="E19" i="7" s="1"/>
  <c r="K22" i="7"/>
  <c r="D12" i="7"/>
  <c r="D18" i="7" s="1"/>
  <c r="D27" i="7" s="1"/>
  <c r="D33" i="7" s="1"/>
  <c r="F7" i="7"/>
  <c r="J10" i="7"/>
  <c r="E10" i="7"/>
  <c r="I16" i="7"/>
  <c r="M31" i="7"/>
  <c r="D10" i="7"/>
  <c r="H25" i="7"/>
  <c r="K25" i="7"/>
  <c r="E16" i="7"/>
  <c r="C22" i="7"/>
  <c r="D7" i="7"/>
  <c r="M12" i="7"/>
  <c r="M13" i="7" s="1"/>
  <c r="M7" i="7"/>
  <c r="L10" i="7"/>
  <c r="K10" i="7"/>
  <c r="G12" i="7"/>
  <c r="G18" i="7" s="1"/>
  <c r="G27" i="7" s="1"/>
  <c r="G33" i="7" s="1"/>
  <c r="G34" i="7" s="1"/>
  <c r="I10" i="7"/>
  <c r="H12" i="7"/>
  <c r="H18" i="7" s="1"/>
  <c r="G25" i="7"/>
  <c r="C12" i="7"/>
  <c r="C13" i="7" s="1"/>
  <c r="J12" i="7"/>
  <c r="J18" i="7" s="1"/>
  <c r="F10" i="7"/>
  <c r="E31" i="9" l="1"/>
  <c r="E32" i="9"/>
  <c r="E33" i="9"/>
  <c r="E34" i="9"/>
  <c r="I27" i="7"/>
  <c r="I33" i="7" s="1"/>
  <c r="I34" i="7" s="1"/>
  <c r="H35" i="12"/>
  <c r="H45" i="12" s="1"/>
  <c r="H47" i="12" s="1"/>
  <c r="H27" i="7"/>
  <c r="H33" i="7" s="1"/>
  <c r="H34" i="7" s="1"/>
  <c r="G35" i="12"/>
  <c r="G45" i="12" s="1"/>
  <c r="G47" i="12" s="1"/>
  <c r="J27" i="7"/>
  <c r="J33" i="7" s="1"/>
  <c r="J34" i="7" s="1"/>
  <c r="I35" i="12"/>
  <c r="I45" i="12" s="1"/>
  <c r="I47" i="12" s="1"/>
  <c r="J17" i="12"/>
  <c r="I17" i="12"/>
  <c r="H17" i="12"/>
  <c r="K17" i="12"/>
  <c r="G17" i="12"/>
  <c r="G34" i="12" s="1"/>
  <c r="G37" i="12" s="1"/>
  <c r="J5" i="9"/>
  <c r="M7" i="9"/>
  <c r="J8" i="9"/>
  <c r="M5" i="9"/>
  <c r="C7" i="9"/>
  <c r="W7" i="9"/>
  <c r="W12" i="9"/>
  <c r="W9" i="9"/>
  <c r="E11" i="9"/>
  <c r="E10" i="9"/>
  <c r="J13" i="9"/>
  <c r="C8" i="9"/>
  <c r="H6" i="9"/>
  <c r="M6" i="9"/>
  <c r="C9" i="9"/>
  <c r="H7" i="9"/>
  <c r="C4" i="9"/>
  <c r="H13" i="9"/>
  <c r="H11" i="9"/>
  <c r="M4" i="9"/>
  <c r="R4" i="9"/>
  <c r="R6" i="9"/>
  <c r="R12" i="9"/>
  <c r="C6" i="9"/>
  <c r="W6" i="9"/>
  <c r="C5" i="9"/>
  <c r="W5" i="9"/>
  <c r="M13" i="9"/>
  <c r="C10" i="9"/>
  <c r="M10" i="9"/>
  <c r="C13" i="9"/>
  <c r="M9" i="9"/>
  <c r="C62" i="7"/>
  <c r="C64" i="7" s="1"/>
  <c r="C66" i="7" s="1"/>
  <c r="C11" i="9"/>
  <c r="H5" i="9"/>
  <c r="H12" i="9"/>
  <c r="W13" i="9"/>
  <c r="H9" i="9"/>
  <c r="W11" i="9"/>
  <c r="H10" i="9"/>
  <c r="W4" i="9"/>
  <c r="R9" i="9"/>
  <c r="R13" i="9"/>
  <c r="R11" i="9"/>
  <c r="R10" i="9"/>
  <c r="M12" i="9"/>
  <c r="M11" i="9"/>
  <c r="R5" i="9"/>
  <c r="H4" i="9"/>
  <c r="R7" i="9"/>
  <c r="W10" i="9"/>
  <c r="K57" i="7"/>
  <c r="J106" i="7"/>
  <c r="E57" i="7"/>
  <c r="M18" i="7"/>
  <c r="M19" i="7" s="1"/>
  <c r="L57" i="7"/>
  <c r="F62" i="7"/>
  <c r="F64" i="7" s="1"/>
  <c r="F66" i="7" s="1"/>
  <c r="D57" i="7"/>
  <c r="K106" i="7"/>
  <c r="C106" i="7"/>
  <c r="D62" i="7"/>
  <c r="K62" i="7"/>
  <c r="I62" i="7"/>
  <c r="I64" i="7" s="1"/>
  <c r="I66" i="7" s="1"/>
  <c r="F106" i="7"/>
  <c r="I106" i="7"/>
  <c r="E62" i="7"/>
  <c r="J62" i="7"/>
  <c r="J64" i="7" s="1"/>
  <c r="J66" i="7" s="1"/>
  <c r="H62" i="7"/>
  <c r="H64" i="7" s="1"/>
  <c r="H66" i="7" s="1"/>
  <c r="G62" i="7"/>
  <c r="G64" i="7" s="1"/>
  <c r="G66" i="7" s="1"/>
  <c r="G106" i="7"/>
  <c r="H106" i="7"/>
  <c r="L106" i="7"/>
  <c r="D106" i="7"/>
  <c r="E106" i="7"/>
  <c r="L62" i="7"/>
  <c r="L64" i="7" s="1"/>
  <c r="L66" i="7" s="1"/>
  <c r="K18" i="7"/>
  <c r="F13" i="7"/>
  <c r="I31" i="7"/>
  <c r="I13" i="7"/>
  <c r="L18" i="7"/>
  <c r="F19" i="7"/>
  <c r="D13" i="7"/>
  <c r="I19" i="7"/>
  <c r="E27" i="7"/>
  <c r="E33" i="7" s="1"/>
  <c r="E38" i="7" s="1"/>
  <c r="D19" i="7"/>
  <c r="E13" i="7"/>
  <c r="F28" i="7"/>
  <c r="D31" i="7"/>
  <c r="G31" i="7"/>
  <c r="H31" i="7"/>
  <c r="H28" i="7"/>
  <c r="J28" i="7"/>
  <c r="F31" i="7"/>
  <c r="H19" i="7"/>
  <c r="C18" i="7"/>
  <c r="J13" i="7"/>
  <c r="G38" i="7"/>
  <c r="D34" i="7"/>
  <c r="D38" i="7"/>
  <c r="H13" i="7"/>
  <c r="G13" i="7"/>
  <c r="G19" i="7"/>
  <c r="G28" i="7"/>
  <c r="D28" i="7"/>
  <c r="F34" i="7"/>
  <c r="F38" i="7"/>
  <c r="J31" i="7"/>
  <c r="J19" i="7"/>
  <c r="I38" i="7" l="1"/>
  <c r="I41" i="7" s="1"/>
  <c r="I42" i="7" s="1"/>
  <c r="I28" i="7"/>
  <c r="J38" i="7"/>
  <c r="H38" i="7"/>
  <c r="E35" i="9"/>
  <c r="L27" i="7"/>
  <c r="L31" i="7" s="1"/>
  <c r="K35" i="12"/>
  <c r="K27" i="7"/>
  <c r="K33" i="7" s="1"/>
  <c r="K34" i="7" s="1"/>
  <c r="J35" i="12"/>
  <c r="J45" i="12" s="1"/>
  <c r="J47" i="12" s="1"/>
  <c r="H34" i="12"/>
  <c r="H37" i="12" s="1"/>
  <c r="H59" i="12" s="1"/>
  <c r="H44" i="12"/>
  <c r="H49" i="12" s="1"/>
  <c r="H50" i="12" s="1"/>
  <c r="H58" i="12" s="1"/>
  <c r="H60" i="12" s="1"/>
  <c r="I34" i="12"/>
  <c r="I37" i="12" s="1"/>
  <c r="I59" i="12" s="1"/>
  <c r="I44" i="12"/>
  <c r="I49" i="12" s="1"/>
  <c r="I50" i="12" s="1"/>
  <c r="I58" i="12" s="1"/>
  <c r="K34" i="12"/>
  <c r="K37" i="12" s="1"/>
  <c r="K59" i="12" s="1"/>
  <c r="K44" i="12"/>
  <c r="K49" i="12" s="1"/>
  <c r="J34" i="12"/>
  <c r="J44" i="12"/>
  <c r="J49" i="12" s="1"/>
  <c r="J11" i="9"/>
  <c r="J7" i="9"/>
  <c r="J6" i="9"/>
  <c r="E5" i="9"/>
  <c r="E6" i="9"/>
  <c r="I18" i="9"/>
  <c r="J12" i="9"/>
  <c r="E12" i="9"/>
  <c r="E9" i="9"/>
  <c r="J9" i="9"/>
  <c r="I14" i="9"/>
  <c r="J14" i="9" s="1"/>
  <c r="J10" i="9"/>
  <c r="I15" i="9"/>
  <c r="I16" i="9"/>
  <c r="E13" i="9"/>
  <c r="I17" i="9"/>
  <c r="D15" i="9"/>
  <c r="D17" i="9"/>
  <c r="D18" i="9"/>
  <c r="D16" i="9"/>
  <c r="E7" i="9"/>
  <c r="E8" i="9"/>
  <c r="D14" i="9"/>
  <c r="E14" i="9" s="1"/>
  <c r="K64" i="7"/>
  <c r="K66" i="7" s="1"/>
  <c r="E64" i="7"/>
  <c r="E66" i="7" s="1"/>
  <c r="D64" i="7"/>
  <c r="D66" i="7" s="1"/>
  <c r="K38" i="7"/>
  <c r="K41" i="7" s="1"/>
  <c r="K42" i="7" s="1"/>
  <c r="K31" i="7"/>
  <c r="K28" i="7"/>
  <c r="K19" i="7"/>
  <c r="L19" i="7"/>
  <c r="E34" i="7"/>
  <c r="H39" i="7"/>
  <c r="I44" i="7"/>
  <c r="E31" i="7"/>
  <c r="E28" i="7"/>
  <c r="G39" i="7"/>
  <c r="G41" i="7"/>
  <c r="G42" i="7" s="1"/>
  <c r="G44" i="7" s="1"/>
  <c r="H41" i="7"/>
  <c r="H42" i="7" s="1"/>
  <c r="H44" i="7" s="1"/>
  <c r="I39" i="7"/>
  <c r="D41" i="7"/>
  <c r="D42" i="7" s="1"/>
  <c r="D44" i="7" s="1"/>
  <c r="C19" i="7"/>
  <c r="C27" i="7"/>
  <c r="F41" i="7"/>
  <c r="F42" i="7" s="1"/>
  <c r="F44" i="7" s="1"/>
  <c r="F39" i="7"/>
  <c r="J41" i="7"/>
  <c r="J42" i="7" s="1"/>
  <c r="J44" i="7" s="1"/>
  <c r="J39" i="7"/>
  <c r="E41" i="7"/>
  <c r="E42" i="7" s="1"/>
  <c r="E44" i="7" s="1"/>
  <c r="E39" i="7"/>
  <c r="J37" i="12" l="1"/>
  <c r="J59" i="12" s="1"/>
  <c r="L28" i="7"/>
  <c r="L33" i="7"/>
  <c r="L38" i="7" s="1"/>
  <c r="J50" i="12"/>
  <c r="J58" i="12" s="1"/>
  <c r="K45" i="12"/>
  <c r="K47" i="12" s="1"/>
  <c r="G4" i="17"/>
  <c r="K50" i="12"/>
  <c r="K53" i="12" s="1"/>
  <c r="E15" i="9"/>
  <c r="I60" i="12"/>
  <c r="J60" i="12"/>
  <c r="K52" i="12"/>
  <c r="J17" i="9"/>
  <c r="E18" i="9"/>
  <c r="J16" i="9"/>
  <c r="E16" i="9"/>
  <c r="J15" i="9"/>
  <c r="J18" i="9"/>
  <c r="E17" i="9"/>
  <c r="K39" i="7"/>
  <c r="L34" i="7"/>
  <c r="K44" i="7"/>
  <c r="C33" i="7"/>
  <c r="C31" i="7"/>
  <c r="C28" i="7"/>
  <c r="L41" i="7"/>
  <c r="L42" i="7" s="1"/>
  <c r="L44" i="7" s="1"/>
  <c r="L39" i="7"/>
  <c r="D6" i="16" l="1"/>
  <c r="D8" i="16" s="1"/>
  <c r="D19" i="16" s="1"/>
  <c r="X4" i="9" a="1"/>
  <c r="X5" i="9" s="1"/>
  <c r="Y5" i="9" s="1"/>
  <c r="K58" i="12"/>
  <c r="K60" i="12" s="1"/>
  <c r="K63" i="12" s="1"/>
  <c r="G8" i="17"/>
  <c r="H4" i="17"/>
  <c r="G6" i="17"/>
  <c r="G9" i="17" s="1"/>
  <c r="X4" i="9"/>
  <c r="X8" i="9"/>
  <c r="X9" i="9"/>
  <c r="X10" i="9"/>
  <c r="X11" i="9"/>
  <c r="X12" i="9"/>
  <c r="X13" i="9"/>
  <c r="X7" i="9"/>
  <c r="X6" i="9"/>
  <c r="O6" i="9"/>
  <c r="O11" i="9"/>
  <c r="O5" i="9"/>
  <c r="O12" i="9"/>
  <c r="O10" i="9"/>
  <c r="O7" i="9"/>
  <c r="O8" i="9"/>
  <c r="O9" i="9"/>
  <c r="O13" i="9"/>
  <c r="N18" i="9"/>
  <c r="N17" i="9"/>
  <c r="N16" i="9"/>
  <c r="N15" i="9"/>
  <c r="N14" i="9"/>
  <c r="O14" i="9" s="1"/>
  <c r="C34" i="7"/>
  <c r="C38" i="7"/>
  <c r="S4" i="9" s="1" a="1"/>
  <c r="E6" i="16" l="1"/>
  <c r="E8" i="16" s="1"/>
  <c r="E19" i="16" s="1"/>
  <c r="E28" i="16" s="1"/>
  <c r="E32" i="16" s="1"/>
  <c r="H6" i="17"/>
  <c r="I4" i="17"/>
  <c r="L8" i="17"/>
  <c r="H8" i="17" s="1"/>
  <c r="I8" i="17" s="1"/>
  <c r="J8" i="17" s="1"/>
  <c r="K8" i="17" s="1"/>
  <c r="K62" i="12"/>
  <c r="S4" i="9"/>
  <c r="S6" i="9"/>
  <c r="S8" i="9"/>
  <c r="S9" i="9"/>
  <c r="T9" i="9" s="1"/>
  <c r="S10" i="9"/>
  <c r="S11" i="9"/>
  <c r="T11" i="9" s="1"/>
  <c r="S12" i="9"/>
  <c r="T12" i="9" s="1"/>
  <c r="S13" i="9"/>
  <c r="T13" i="9" s="1"/>
  <c r="S5" i="9"/>
  <c r="T5" i="9" s="1"/>
  <c r="S7" i="9"/>
  <c r="Y8" i="9"/>
  <c r="Y11" i="9"/>
  <c r="Y7" i="9"/>
  <c r="O17" i="9"/>
  <c r="Y12" i="9"/>
  <c r="O16" i="9"/>
  <c r="Y13" i="9"/>
  <c r="Y6" i="9"/>
  <c r="O15" i="9"/>
  <c r="Y9" i="9"/>
  <c r="O18" i="9"/>
  <c r="X16" i="9"/>
  <c r="X18" i="9"/>
  <c r="X15" i="9"/>
  <c r="X14" i="9"/>
  <c r="Y14" i="9" s="1"/>
  <c r="X17" i="9"/>
  <c r="Y10" i="9"/>
  <c r="C41" i="7"/>
  <c r="C42" i="7" s="1"/>
  <c r="C44" i="7" s="1"/>
  <c r="D39" i="7"/>
  <c r="T7" i="9" l="1"/>
  <c r="F6" i="16"/>
  <c r="F8" i="16" s="1"/>
  <c r="F19" i="16" s="1"/>
  <c r="F28" i="16" s="1"/>
  <c r="F32" i="16" s="1"/>
  <c r="T6" i="9"/>
  <c r="J4" i="17"/>
  <c r="I6" i="17"/>
  <c r="I9" i="17" s="1"/>
  <c r="I13" i="17" s="1"/>
  <c r="H9" i="17"/>
  <c r="H13" i="17" s="1"/>
  <c r="T10" i="9"/>
  <c r="T8" i="9"/>
  <c r="S15" i="9"/>
  <c r="S14" i="9"/>
  <c r="T14" i="9" s="1"/>
  <c r="S18" i="9"/>
  <c r="S17" i="9"/>
  <c r="S16" i="9"/>
  <c r="T16" i="9" s="1"/>
  <c r="Y16" i="9"/>
  <c r="Y17" i="9"/>
  <c r="Y15" i="9"/>
  <c r="Y18" i="9"/>
  <c r="G6" i="16" l="1"/>
  <c r="G8" i="16" s="1"/>
  <c r="G19" i="16" s="1"/>
  <c r="G28" i="16" s="1"/>
  <c r="G32" i="16" s="1"/>
  <c r="K4" i="17"/>
  <c r="J6" i="17"/>
  <c r="J9" i="17" s="1"/>
  <c r="J13" i="17" s="1"/>
  <c r="T18" i="9"/>
  <c r="T17" i="9"/>
  <c r="T15" i="9"/>
  <c r="I6" i="16" l="1"/>
  <c r="I8" i="16" s="1"/>
  <c r="I19" i="16" s="1"/>
  <c r="I28" i="16" s="1"/>
  <c r="H6" i="16"/>
  <c r="H8" i="16" s="1"/>
  <c r="H19" i="16" s="1"/>
  <c r="H28" i="16" s="1"/>
  <c r="H32" i="16" s="1"/>
  <c r="L4" i="17"/>
  <c r="L6" i="17" s="1"/>
  <c r="L9" i="17" s="1"/>
  <c r="K6" i="17"/>
  <c r="K9" i="17" s="1"/>
  <c r="K13" i="17" s="1"/>
  <c r="I32" i="16" l="1"/>
  <c r="I29" i="16"/>
  <c r="C20" i="17"/>
  <c r="L13" i="17"/>
  <c r="C26" i="17" s="1"/>
  <c r="C23" i="17" l="1"/>
  <c r="C27" i="17" s="1"/>
  <c r="C28" i="17" s="1"/>
  <c r="I37" i="16"/>
  <c r="I33" i="16"/>
  <c r="I38" i="16" s="1"/>
  <c r="I36" i="16"/>
  <c r="I39" i="16" l="1"/>
  <c r="I42" i="16" s="1"/>
  <c r="I44" i="16" s="1"/>
  <c r="C32" i="17"/>
  <c r="C34" i="17" s="1"/>
  <c r="C48" i="16" l="1"/>
  <c r="C37" i="17"/>
  <c r="F19" i="17"/>
</calcChain>
</file>

<file path=xl/sharedStrings.xml><?xml version="1.0" encoding="utf-8"?>
<sst xmlns="http://schemas.openxmlformats.org/spreadsheetml/2006/main" count="814" uniqueCount="393">
  <si>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</si>
  <si>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</si>
  <si>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</si>
  <si>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</si>
  <si>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</si>
  <si>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</si>
  <si>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</si>
  <si>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</si>
  <si>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</si>
  <si>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</si>
  <si>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</si>
  <si>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</si>
  <si>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</si>
  <si>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</si>
  <si>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</si>
  <si>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</si>
  <si>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</si>
  <si>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</si>
  <si>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</si>
  <si>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</si>
  <si>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</si>
  <si>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</si>
  <si>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</si>
  <si>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</si>
  <si>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</si>
  <si>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</si>
  <si>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</si>
  <si>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</si>
  <si>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</si>
  <si>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</si>
  <si>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</si>
  <si>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</si>
  <si>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ASIAN PAINTS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</si>
  <si>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</si>
  <si>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</si>
  <si>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</si>
  <si>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</si>
  <si>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</si>
  <si>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</si>
  <si>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</si>
  <si>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</si>
  <si>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</si>
  <si>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</si>
  <si>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</si>
  <si>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</si>
  <si>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</si>
  <si>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</si>
  <si>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</si>
  <si>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</si>
  <si>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</si>
  <si>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</si>
  <si>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</si>
  <si>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</si>
  <si>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</si>
  <si>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</si>
  <si>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</si>
  <si>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</si>
  <si>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Revenue/Sales</t>
  </si>
  <si>
    <t>COGS</t>
  </si>
  <si>
    <t>Gross Profit</t>
  </si>
  <si>
    <t>S&amp;G Expenses</t>
  </si>
  <si>
    <t>EBITDA</t>
  </si>
  <si>
    <t>Interests</t>
  </si>
  <si>
    <t>D&amp;A</t>
  </si>
  <si>
    <t>EBT</t>
  </si>
  <si>
    <t>Taxes</t>
  </si>
  <si>
    <t>Net Income</t>
  </si>
  <si>
    <t>Y-O-Y growth</t>
  </si>
  <si>
    <t>% of revenues</t>
  </si>
  <si>
    <t>Effective tax rate</t>
  </si>
  <si>
    <t>Net margins</t>
  </si>
  <si>
    <t>No. of equity shares</t>
  </si>
  <si>
    <t>Earnigs per Share</t>
  </si>
  <si>
    <t>Y-O-Y Growth</t>
  </si>
  <si>
    <t>Dividends per share</t>
  </si>
  <si>
    <t>Dividend payout ratio</t>
  </si>
  <si>
    <t>Retained Earnings</t>
  </si>
  <si>
    <t>Balance Sheet</t>
  </si>
  <si>
    <t>Total Liabilities</t>
  </si>
  <si>
    <t>Fixed assets Net Block</t>
  </si>
  <si>
    <t>Total Non-current assets</t>
  </si>
  <si>
    <t>Total current assets</t>
  </si>
  <si>
    <t>Total assets</t>
  </si>
  <si>
    <t>Profit from operations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</si>
  <si>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</si>
  <si>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</si>
  <si>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</si>
  <si>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</si>
  <si>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</si>
  <si>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</si>
  <si>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</si>
  <si>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</si>
  <si>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</si>
  <si>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</si>
  <si>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</si>
  <si>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</si>
  <si>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</si>
  <si>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</si>
  <si>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</si>
  <si>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</si>
  <si>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</si>
  <si>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</si>
  <si>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</si>
  <si>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</si>
  <si>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</si>
  <si>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</si>
  <si>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</si>
  <si>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</si>
  <si>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</si>
  <si>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</si>
  <si>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</si>
  <si>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Check</t>
  </si>
  <si>
    <t>Operating Activities</t>
  </si>
  <si>
    <t>Cash from operating activities</t>
  </si>
  <si>
    <t>Investing Activities</t>
  </si>
  <si>
    <t>Cash from investing activities</t>
  </si>
  <si>
    <t>Financing Activities</t>
  </si>
  <si>
    <t>Cash from financial activities</t>
  </si>
  <si>
    <t>Proceeds from deposits</t>
  </si>
  <si>
    <t>Year Weight</t>
  </si>
  <si>
    <t>Year</t>
  </si>
  <si>
    <t>2024E</t>
  </si>
  <si>
    <t>2025E</t>
  </si>
  <si>
    <t>2026E</t>
  </si>
  <si>
    <t>2027E</t>
  </si>
  <si>
    <t>2028E</t>
  </si>
  <si>
    <t>%growth</t>
  </si>
  <si>
    <t>FORECAST</t>
  </si>
  <si>
    <t>Cash Flow</t>
  </si>
  <si>
    <t>EPS</t>
  </si>
  <si>
    <t>Peer comps</t>
  </si>
  <si>
    <t>Name of Company</t>
  </si>
  <si>
    <t>Country</t>
  </si>
  <si>
    <t>Total Debt</t>
  </si>
  <si>
    <t xml:space="preserve">Total Equity </t>
  </si>
  <si>
    <t>Debt / Equity</t>
  </si>
  <si>
    <t>Debt / Capital</t>
  </si>
  <si>
    <r>
      <t>Tax Rate</t>
    </r>
    <r>
      <rPr>
        <b/>
        <vertAlign val="superscript"/>
        <sz val="11"/>
        <color theme="1"/>
        <rFont val="Calibri"/>
        <family val="2"/>
      </rPr>
      <t xml:space="preserve"> 1</t>
    </r>
  </si>
  <si>
    <r>
      <t>Levered Beta</t>
    </r>
    <r>
      <rPr>
        <b/>
        <vertAlign val="superscript"/>
        <sz val="11"/>
        <color theme="1"/>
        <rFont val="Calibri"/>
        <family val="2"/>
      </rPr>
      <t xml:space="preserve"> 2</t>
    </r>
  </si>
  <si>
    <r>
      <t>Unlevered Beta</t>
    </r>
    <r>
      <rPr>
        <b/>
        <vertAlign val="superscript"/>
        <sz val="11"/>
        <color theme="1"/>
        <rFont val="Calibri"/>
        <family val="2"/>
      </rPr>
      <t xml:space="preserve"> 3</t>
    </r>
  </si>
  <si>
    <t>Weighted Average Cost of Capital (WACC)</t>
  </si>
  <si>
    <t>All figures are in INR unless stated otherwise.</t>
  </si>
  <si>
    <t>Average</t>
  </si>
  <si>
    <t>Median</t>
  </si>
  <si>
    <t>Cost of Debt</t>
  </si>
  <si>
    <t>Pre Tax cost of Debt</t>
  </si>
  <si>
    <t>Tax rate</t>
  </si>
  <si>
    <t>Risk Free rate</t>
  </si>
  <si>
    <t>Market/Equity Risk Premium</t>
  </si>
  <si>
    <t>Levered Beta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</si>
  <si>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</si>
  <si>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Cost of Equity</t>
  </si>
  <si>
    <t>Post Tax Cost of Debt</t>
  </si>
  <si>
    <t>Capital Structure</t>
  </si>
  <si>
    <t>Current</t>
  </si>
  <si>
    <t>Target</t>
  </si>
  <si>
    <t>Debt</t>
  </si>
  <si>
    <t>Market cap</t>
  </si>
  <si>
    <t>Total capital</t>
  </si>
  <si>
    <t>Comps median unlevered Beta</t>
  </si>
  <si>
    <t>Target Debt / Equity</t>
  </si>
  <si>
    <t>Tax Rate</t>
  </si>
  <si>
    <t>Weighted Average Cost of Capital</t>
  </si>
  <si>
    <t>Debt capital</t>
  </si>
  <si>
    <t>Equity Capital</t>
  </si>
  <si>
    <t>Cost</t>
  </si>
  <si>
    <t>Weight</t>
  </si>
  <si>
    <t>WACC</t>
  </si>
  <si>
    <t>India</t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</si>
  <si>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</si>
  <si>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</si>
  <si>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</si>
  <si>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Beta*(1+(1-Tax Rate) x Debt/Equity)</t>
  </si>
  <si>
    <t>Other Assets Adj.</t>
  </si>
  <si>
    <t>Common Size Income Statement</t>
  </si>
  <si>
    <t>Common Size Balance Sheet</t>
  </si>
  <si>
    <t>Particulars</t>
  </si>
  <si>
    <t>Total Liabilities and Equity</t>
  </si>
  <si>
    <t>Total Assets</t>
  </si>
  <si>
    <t>Total non-current assets</t>
  </si>
  <si>
    <t>Current Assets</t>
  </si>
  <si>
    <t>Non-Current Assets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</si>
  <si>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</si>
  <si>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</si>
  <si>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</si>
  <si>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</si>
  <si>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</si>
  <si>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</si>
  <si>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</si>
  <si>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</si>
  <si>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</si>
  <si>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</si>
  <si>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</si>
  <si>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</si>
  <si>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</si>
  <si>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</si>
  <si>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</si>
  <si>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</si>
  <si>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</si>
  <si>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</si>
  <si>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</si>
  <si>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</si>
  <si>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</si>
  <si>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</si>
  <si>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</si>
  <si>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 -</t>
  </si>
  <si>
    <t>Inventories</t>
  </si>
  <si>
    <t>Trade receivables</t>
  </si>
  <si>
    <t>Cash Equivalents</t>
  </si>
  <si>
    <t>Short term loans</t>
  </si>
  <si>
    <t>Other asset items</t>
  </si>
  <si>
    <t>Total Current Assets</t>
  </si>
  <si>
    <t>Current Liabilities</t>
  </si>
  <si>
    <t>Total Current Liabilities</t>
  </si>
  <si>
    <t>Net Working Capital</t>
  </si>
  <si>
    <t>Total Non-Current Assets</t>
  </si>
  <si>
    <t>Invested Capital</t>
  </si>
  <si>
    <t>EBIT</t>
  </si>
  <si>
    <t>ROIC</t>
  </si>
  <si>
    <t>Calculation of Reinvestment Rate</t>
  </si>
  <si>
    <t>CASH FLOW STATEMENT</t>
  </si>
  <si>
    <t>Cash from Operating Activity -</t>
  </si>
  <si>
    <t>Loans Advances</t>
  </si>
  <si>
    <t>Cash from Investing Activity -</t>
  </si>
  <si>
    <t>Cash from Financing Activity -</t>
  </si>
  <si>
    <t>Net Capex</t>
  </si>
  <si>
    <t>Change in working capital</t>
  </si>
  <si>
    <t>Marginal Tax Rate</t>
  </si>
  <si>
    <t>EBIT(1-T)</t>
  </si>
  <si>
    <t>Reinvestment Amount</t>
  </si>
  <si>
    <t>Reinvestment Rate</t>
  </si>
  <si>
    <t>4 year average</t>
  </si>
  <si>
    <t>4 year median</t>
  </si>
  <si>
    <t>Calculation of Growth Rate</t>
  </si>
  <si>
    <t>Intrisic Growth Rate</t>
  </si>
  <si>
    <t>5. Risk Free Rate = IN 10 Yr. govt. bond yeild</t>
  </si>
  <si>
    <t>6. Pre tax cost of debt = interest incurreced/total tax (from income statement)</t>
  </si>
  <si>
    <t>S.No.</t>
  </si>
  <si>
    <t>Name</t>
  </si>
  <si>
    <t>CMP Rs.</t>
  </si>
  <si>
    <t>Debt Rs.Cr.</t>
  </si>
  <si>
    <t>Mar Cap Rs.Cr. </t>
  </si>
  <si>
    <t>Debt / Eq</t>
  </si>
  <si>
    <t>Asian Paints</t>
  </si>
  <si>
    <t>Berger Paints</t>
  </si>
  <si>
    <t>Kansai Nerolac</t>
  </si>
  <si>
    <t>Akzo Nobel</t>
  </si>
  <si>
    <t>Regression Beta - 2 years weekly</t>
  </si>
  <si>
    <t>Beta 1 -</t>
  </si>
  <si>
    <t>Avenue SuperMart</t>
  </si>
  <si>
    <t>Levered Raw Beta =</t>
  </si>
  <si>
    <t>X</t>
  </si>
  <si>
    <t>Beta 2 -</t>
  </si>
  <si>
    <t>Raw Beta weight =</t>
  </si>
  <si>
    <t>Beta 3 -</t>
  </si>
  <si>
    <t>SUMMARY OUTPUT</t>
  </si>
  <si>
    <t>Adj. Beta -</t>
  </si>
  <si>
    <t>Regression Statistics</t>
  </si>
  <si>
    <t>NIFTY</t>
  </si>
  <si>
    <t>Multiple R</t>
  </si>
  <si>
    <t>R Square</t>
  </si>
  <si>
    <t>Date</t>
  </si>
  <si>
    <t>Closing Price</t>
  </si>
  <si>
    <t>Returns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</si>
  <si>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</si>
  <si>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</si>
  <si>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</si>
  <si>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</si>
  <si>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</si>
  <si>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</si>
  <si>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</si>
  <si>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</si>
  <si>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</si>
  <si>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</si>
  <si>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</si>
  <si>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</si>
  <si>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</si>
  <si>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</si>
  <si>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</si>
  <si>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</si>
  <si>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</si>
  <si>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</si>
  <si>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</si>
  <si>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</si>
  <si>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Nerolac</t>
  </si>
  <si>
    <t>Akzo India</t>
  </si>
  <si>
    <t xml:space="preserve">Market Beta = </t>
  </si>
  <si>
    <t>Market weight =</t>
  </si>
  <si>
    <t xml:space="preserve">Adj. Beta = </t>
  </si>
  <si>
    <t>x*0.75+1*0.25</t>
  </si>
  <si>
    <t>Nifty</t>
  </si>
  <si>
    <t>Annual</t>
  </si>
  <si>
    <t>Average Returns</t>
  </si>
  <si>
    <t>Dividend Yeild</t>
  </si>
  <si>
    <t>Net Returns</t>
  </si>
  <si>
    <r>
      <t xml:space="preserve">1.2% </t>
    </r>
    <r>
      <rPr>
        <vertAlign val="superscript"/>
        <sz val="11"/>
        <color theme="1"/>
        <rFont val="Calibri"/>
        <family val="2"/>
      </rPr>
      <t>1</t>
    </r>
  </si>
  <si>
    <t>Exceptional CF items</t>
  </si>
  <si>
    <t>NOPAT</t>
  </si>
  <si>
    <t>Less: Reinvestment rate</t>
  </si>
  <si>
    <t>Free Cash Flow to Firm</t>
  </si>
  <si>
    <t>Mid Year convention</t>
  </si>
  <si>
    <t>Discounting factor</t>
  </si>
  <si>
    <t>PV of FCFF</t>
  </si>
  <si>
    <t>Expected Growth Rate</t>
  </si>
  <si>
    <t>Terminal Growth Rate</t>
  </si>
  <si>
    <t>Calculation of Terminal Value</t>
  </si>
  <si>
    <t>FCFF terminal / (WACC - Terminal growth rate)</t>
  </si>
  <si>
    <t xml:space="preserve">Gordon's Growth eqn. for terminal value     = </t>
  </si>
  <si>
    <t>FCFF (n+1)</t>
  </si>
  <si>
    <t>Terminal Value</t>
  </si>
  <si>
    <t>Calculation of Equity Value</t>
  </si>
  <si>
    <t>PV of Terminal Value</t>
  </si>
  <si>
    <t>Value of Operating Assets</t>
  </si>
  <si>
    <t>Add: Cash</t>
  </si>
  <si>
    <t>Less: Debt</t>
  </si>
  <si>
    <t>Value of Equity</t>
  </si>
  <si>
    <t>No. of Shares</t>
  </si>
  <si>
    <t>Equity Value per Share</t>
  </si>
  <si>
    <t>Current Stock Price</t>
  </si>
  <si>
    <t>Discount/Premium</t>
  </si>
  <si>
    <t>Unlevered Free Cash Flow</t>
  </si>
  <si>
    <t>Add back D&amp;A</t>
  </si>
  <si>
    <t>Gross Cash Flow</t>
  </si>
  <si>
    <t>Accounts payable</t>
  </si>
  <si>
    <t>Investments in Working Capital</t>
  </si>
  <si>
    <t>Capex</t>
  </si>
  <si>
    <t>Other assets</t>
  </si>
  <si>
    <t>Other liabilities</t>
  </si>
  <si>
    <t>Unlevered Free Cash Flow (UFCF)</t>
  </si>
  <si>
    <t>Operating Tax Rate</t>
  </si>
  <si>
    <t>g (Perpetuity growth)</t>
  </si>
  <si>
    <t xml:space="preserve"> </t>
  </si>
  <si>
    <t>Continuing value</t>
  </si>
  <si>
    <t>Discount factor (WACC)</t>
  </si>
  <si>
    <t>Present value of UFCF</t>
  </si>
  <si>
    <t>Present value of CV</t>
  </si>
  <si>
    <t>Perpetuity Growth Rate-Based Valuation</t>
  </si>
  <si>
    <t>Total PV of Cash Flows</t>
  </si>
  <si>
    <t>Continuing Value</t>
  </si>
  <si>
    <t>PV of Continuing Value</t>
  </si>
  <si>
    <t>Enterprise Value</t>
  </si>
  <si>
    <t>+Cash</t>
  </si>
  <si>
    <t>-Financial liabilities</t>
  </si>
  <si>
    <t>Equity Value</t>
  </si>
  <si>
    <t>Number of shares outstanding (as of Mar 2024)</t>
  </si>
  <si>
    <t>Price per share</t>
  </si>
  <si>
    <t>Sensitivity Analysis for Terminal Value</t>
  </si>
  <si>
    <t>Raw Market Yeild</t>
  </si>
  <si>
    <t>No. Eq. Shares Cr.</t>
  </si>
  <si>
    <t>Cash End Rs.Cr.</t>
  </si>
  <si>
    <t>Sales Rs.Cr.</t>
  </si>
  <si>
    <t>EBIT 12M Rs.Cr.</t>
  </si>
  <si>
    <t>Dep 12M Rs.Cr.</t>
  </si>
  <si>
    <t>NP 12M Rs.Cr.</t>
  </si>
  <si>
    <t>Amount in rupee crores</t>
  </si>
  <si>
    <t>Market Data</t>
  </si>
  <si>
    <t>Financials</t>
  </si>
  <si>
    <t>Valuation</t>
  </si>
  <si>
    <t xml:space="preserve">Company </t>
  </si>
  <si>
    <t>Ticker</t>
  </si>
  <si>
    <t>Share Price</t>
  </si>
  <si>
    <t>Share Outstanding</t>
  </si>
  <si>
    <t>Net Debt</t>
  </si>
  <si>
    <t xml:space="preserve">Revenue </t>
  </si>
  <si>
    <t>EV / EBITDA</t>
  </si>
  <si>
    <t>EV / Revenue</t>
  </si>
  <si>
    <t>P / E</t>
  </si>
  <si>
    <t>High</t>
  </si>
  <si>
    <t>75 Percentile</t>
  </si>
  <si>
    <t>25 Percentile</t>
  </si>
  <si>
    <t>Low</t>
  </si>
  <si>
    <t>P/E</t>
  </si>
  <si>
    <t>Implied Entreprise Value</t>
  </si>
  <si>
    <t>Implied Market Value</t>
  </si>
  <si>
    <t>Shares Outstanding</t>
  </si>
  <si>
    <t>Implied Value per Share</t>
  </si>
  <si>
    <t>Source: The Valuation School, Screener.in</t>
  </si>
  <si>
    <t>ASIANPAINT</t>
  </si>
  <si>
    <t>BERGEPAINT</t>
  </si>
  <si>
    <t>KANSAINER</t>
  </si>
  <si>
    <t>AKZOINDIA</t>
  </si>
  <si>
    <t>OpenLow</t>
  </si>
  <si>
    <t>OpenHigh</t>
  </si>
  <si>
    <t>Comps</t>
  </si>
  <si>
    <t>52W H/L</t>
  </si>
  <si>
    <t>Sensitivity Analysis</t>
  </si>
  <si>
    <t>Terminal growth Rate</t>
  </si>
  <si>
    <t>FCFF Bear</t>
  </si>
  <si>
    <t>FCFF Base</t>
  </si>
  <si>
    <t>FCFF Bull</t>
  </si>
  <si>
    <t>UFCF Bear</t>
  </si>
  <si>
    <t>UFCF Base</t>
  </si>
  <si>
    <t>UFCF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</si>
</sst>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0;\(#,##0.00\);\-"/>
    <numFmt numFmtId="167" formatCode="mmmm\-yy"/>
    <numFmt numFmtId="168" formatCode="[$₹-448]\ #,##0.00;[$₹-448]\ \(#,##0.00\);\-"/>
    <numFmt numFmtId="169" formatCode="yyyy\A"/>
    <numFmt numFmtId="170" formatCode="0.0"/>
    <numFmt numFmtId="171" formatCode="0.0_);[Red]\(0.0\)"/>
    <numFmt numFmtId="172" formatCode="0.0_);\(0.0\)"/>
    <numFmt numFmtId="173" formatCode="0.00_);[Red]\(0.00\)"/>
    <numFmt numFmtId="174" formatCode="#,##0.0;\(#,##0.0\);\-"/>
    <numFmt numFmtId="175" formatCode="0.000"/>
    <numFmt numFmtId="176" formatCode="mmm\-yy\-\A"/>
    <numFmt numFmtId="177" formatCode="mmm\-yy\-\F"/>
    <numFmt numFmtId="178" formatCode="0.00\x"/>
    <numFmt numFmtId="179" formatCode="_(* #,##0_);_(* \(#,##0\);_(* &quot;-&quot;?_);@_)"/>
    <numFmt numFmtId="180" formatCode="###0\-\A"/>
    <numFmt numFmtId="181" formatCode="###0\-\F"/>
    <numFmt numFmtId="182" formatCode="_(* #,##0.0_);_(* \(#,##0.0\);_(* &quot;-&quot;?_);@_)"/>
    <numFmt numFmtId="183" formatCode="0.0%"/>
    <numFmt numFmtId="184" formatCode="#,##0.0"/>
    <numFmt numFmtId="189" formatCode="[$₹-448]\ #,##0.00"/>
    <numFmt numFmtId="190" formatCode="#,##0;\(#,##0\);\-"/>
    <numFmt numFmtId="191" formatCode="[$₹-448]\ #,##0.0"/>
    <numFmt numFmtId="192" formatCode="#,##0.0;\(#,##0.0\)"/>
    <numFmt numFmtId="193" formatCode="#,##0.0_);\(#,##0.0\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b/>
      <sz val="14"/>
      <color rgb="FF00206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rgb="FF3333FF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rgb="FF00206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0"/>
      </patternFill>
    </fill>
    <fill>
      <patternFill patternType="lightGray">
        <bgColor theme="0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267">
    <xf numFmtId="0" fontId="0" fillId="0" borderId="0" xfId="0"/>
    <xf numFmtId="164" fontId="1" fillId="0" borderId="0" xfId="1" applyFont="1" applyBorder="1"/>
    <xf numFmtId="0" fontId="1" fillId="0" borderId="0" xfId="0" applyFont="1"/>
    <xf numFmtId="164" fontId="0" fillId="0" borderId="0" xfId="1" applyFont="1" applyBorder="1"/>
    <xf numFmtId="164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43" fontId="0" fillId="0" borderId="0" xfId="1" applyNumberFormat="1" applyFont="1" applyBorder="1"/>
    <xf numFmtId="166" fontId="0" fillId="0" borderId="0" xfId="0" applyNumberFormat="1"/>
    <xf numFmtId="167" fontId="0" fillId="0" borderId="0" xfId="0" applyNumberFormat="1"/>
    <xf numFmtId="166" fontId="1" fillId="0" borderId="0" xfId="0" applyNumberFormat="1" applyFont="1"/>
    <xf numFmtId="166" fontId="1" fillId="4" borderId="0" xfId="0" applyNumberFormat="1" applyFont="1" applyFill="1"/>
    <xf numFmtId="166" fontId="7" fillId="0" borderId="0" xfId="0" applyNumberFormat="1" applyFont="1"/>
    <xf numFmtId="166" fontId="8" fillId="0" borderId="0" xfId="0" applyNumberFormat="1" applyFont="1"/>
    <xf numFmtId="10" fontId="8" fillId="0" borderId="0" xfId="0" applyNumberFormat="1" applyFont="1"/>
    <xf numFmtId="168" fontId="0" fillId="0" borderId="0" xfId="0" applyNumberFormat="1"/>
    <xf numFmtId="168" fontId="8" fillId="0" borderId="0" xfId="0" applyNumberFormat="1" applyFont="1"/>
    <xf numFmtId="10" fontId="0" fillId="0" borderId="0" xfId="4" applyNumberFormat="1" applyFont="1"/>
    <xf numFmtId="168" fontId="1" fillId="0" borderId="0" xfId="0" applyNumberFormat="1" applyFont="1"/>
    <xf numFmtId="0" fontId="7" fillId="0" borderId="0" xfId="0" applyFont="1"/>
    <xf numFmtId="17" fontId="0" fillId="0" borderId="0" xfId="0" applyNumberFormat="1"/>
    <xf numFmtId="3" fontId="0" fillId="0" borderId="0" xfId="0" applyNumberFormat="1"/>
    <xf numFmtId="166" fontId="2" fillId="5" borderId="0" xfId="0" applyNumberFormat="1" applyFont="1" applyFill="1"/>
    <xf numFmtId="17" fontId="2" fillId="5" borderId="0" xfId="0" applyNumberFormat="1" applyFont="1" applyFill="1" applyAlignment="1">
      <alignment horizontal="right"/>
    </xf>
    <xf numFmtId="167" fontId="2" fillId="5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170" fontId="0" fillId="6" borderId="0" xfId="0" applyNumberFormat="1" applyFill="1" applyAlignment="1">
      <alignment horizontal="right"/>
    </xf>
    <xf numFmtId="170" fontId="0" fillId="0" borderId="0" xfId="0" applyNumberFormat="1" applyAlignment="1">
      <alignment horizontal="right"/>
    </xf>
    <xf numFmtId="10" fontId="8" fillId="0" borderId="0" xfId="0" applyNumberFormat="1" applyFont="1" applyAlignment="1">
      <alignment horizontal="right"/>
    </xf>
    <xf numFmtId="10" fontId="8" fillId="6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1" fillId="0" borderId="2" xfId="0" applyFont="1" applyBorder="1"/>
    <xf numFmtId="0" fontId="14" fillId="0" borderId="0" xfId="0" applyFont="1"/>
    <xf numFmtId="10" fontId="0" fillId="0" borderId="0" xfId="0" applyNumberFormat="1"/>
    <xf numFmtId="0" fontId="15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10" fontId="0" fillId="0" borderId="4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171" fontId="0" fillId="0" borderId="0" xfId="0" applyNumberFormat="1"/>
    <xf numFmtId="171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4" xfId="0" applyNumberFormat="1" applyBorder="1" applyAlignment="1">
      <alignment horizontal="right"/>
    </xf>
    <xf numFmtId="10" fontId="0" fillId="7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4" fillId="0" borderId="0" xfId="0" applyFont="1" applyAlignment="1">
      <alignment horizontal="right"/>
    </xf>
    <xf numFmtId="10" fontId="14" fillId="0" borderId="0" xfId="0" applyNumberFormat="1" applyFont="1" applyAlignment="1">
      <alignment horizontal="right"/>
    </xf>
    <xf numFmtId="4" fontId="14" fillId="0" borderId="0" xfId="0" applyNumberFormat="1" applyFont="1" applyAlignment="1">
      <alignment horizontal="right" wrapText="1"/>
    </xf>
    <xf numFmtId="4" fontId="14" fillId="0" borderId="5" xfId="0" applyNumberFormat="1" applyFont="1" applyBorder="1" applyAlignment="1">
      <alignment horizontal="right" wrapText="1"/>
    </xf>
    <xf numFmtId="173" fontId="0" fillId="0" borderId="4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10" fontId="1" fillId="7" borderId="0" xfId="0" applyNumberFormat="1" applyFont="1" applyFill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166" fontId="1" fillId="0" borderId="1" xfId="0" applyNumberFormat="1" applyFont="1" applyBorder="1"/>
    <xf numFmtId="166" fontId="0" fillId="0" borderId="1" xfId="0" applyNumberFormat="1" applyBorder="1"/>
    <xf numFmtId="10" fontId="1" fillId="0" borderId="0" xfId="0" applyNumberFormat="1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3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/>
    </xf>
    <xf numFmtId="3" fontId="17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left" vertical="center"/>
    </xf>
    <xf numFmtId="17" fontId="18" fillId="0" borderId="0" xfId="0" applyNumberFormat="1" applyFont="1" applyAlignment="1">
      <alignment horizontal="right" vertical="center" wrapText="1"/>
    </xf>
    <xf numFmtId="174" fontId="16" fillId="0" borderId="0" xfId="0" applyNumberFormat="1" applyFont="1" applyAlignment="1">
      <alignment horizontal="right" vertical="center" wrapText="1"/>
    </xf>
    <xf numFmtId="174" fontId="0" fillId="0" borderId="0" xfId="0" applyNumberFormat="1"/>
    <xf numFmtId="174" fontId="17" fillId="0" borderId="0" xfId="0" applyNumberFormat="1" applyFont="1" applyAlignment="1">
      <alignment horizontal="right" vertical="center" wrapText="1"/>
    </xf>
    <xf numFmtId="174" fontId="18" fillId="0" borderId="0" xfId="0" applyNumberFormat="1" applyFont="1" applyAlignment="1">
      <alignment horizontal="right" vertical="center" wrapText="1"/>
    </xf>
    <xf numFmtId="0" fontId="2" fillId="9" borderId="0" xfId="0" applyFont="1" applyFill="1"/>
    <xf numFmtId="0" fontId="1" fillId="0" borderId="3" xfId="0" applyFont="1" applyBorder="1"/>
    <xf numFmtId="0" fontId="1" fillId="10" borderId="0" xfId="0" applyFont="1" applyFill="1"/>
    <xf numFmtId="0" fontId="1" fillId="0" borderId="6" xfId="0" applyFont="1" applyBorder="1"/>
    <xf numFmtId="17" fontId="2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174" fontId="0" fillId="0" borderId="0" xfId="0" applyNumberFormat="1" applyAlignment="1">
      <alignment horizontal="right"/>
    </xf>
    <xf numFmtId="174" fontId="1" fillId="0" borderId="3" xfId="0" applyNumberFormat="1" applyFont="1" applyBorder="1" applyAlignment="1">
      <alignment horizontal="right"/>
    </xf>
    <xf numFmtId="174" fontId="1" fillId="10" borderId="0" xfId="0" applyNumberFormat="1" applyFont="1" applyFill="1" applyAlignment="1">
      <alignment horizontal="right"/>
    </xf>
    <xf numFmtId="174" fontId="1" fillId="0" borderId="6" xfId="0" applyNumberFormat="1" applyFont="1" applyBorder="1" applyAlignment="1">
      <alignment horizontal="right"/>
    </xf>
    <xf numFmtId="174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0" fillId="0" borderId="6" xfId="0" applyBorder="1"/>
    <xf numFmtId="10" fontId="1" fillId="0" borderId="6" xfId="0" applyNumberFormat="1" applyFont="1" applyBorder="1" applyAlignment="1">
      <alignment horizontal="right"/>
    </xf>
    <xf numFmtId="0" fontId="17" fillId="0" borderId="0" xfId="0" applyFont="1" applyAlignment="1">
      <alignment horizontal="right" vertical="center" wrapText="1"/>
    </xf>
    <xf numFmtId="0" fontId="2" fillId="11" borderId="0" xfId="0" applyFont="1" applyFill="1"/>
    <xf numFmtId="10" fontId="1" fillId="0" borderId="6" xfId="0" applyNumberFormat="1" applyFont="1" applyBorder="1"/>
    <xf numFmtId="0" fontId="2" fillId="9" borderId="0" xfId="0" applyFont="1" applyFill="1" applyAlignment="1">
      <alignment horizontal="center"/>
    </xf>
    <xf numFmtId="172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8" borderId="0" xfId="0" applyNumberFormat="1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20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10" fontId="0" fillId="0" borderId="0" xfId="4" applyNumberFormat="1" applyFont="1" applyAlignment="1">
      <alignment horizontal="right"/>
    </xf>
    <xf numFmtId="2" fontId="0" fillId="6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2" fillId="14" borderId="0" xfId="0" applyNumberFormat="1" applyFont="1" applyFill="1"/>
    <xf numFmtId="0" fontId="19" fillId="0" borderId="0" xfId="0" applyFont="1"/>
    <xf numFmtId="0" fontId="0" fillId="0" borderId="8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Continuous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74" fontId="1" fillId="7" borderId="0" xfId="0" applyNumberFormat="1" applyFont="1" applyFill="1" applyAlignment="1">
      <alignment horizontal="right"/>
    </xf>
    <xf numFmtId="0" fontId="0" fillId="15" borderId="0" xfId="0" applyFill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 wrapText="1"/>
    </xf>
    <xf numFmtId="3" fontId="22" fillId="0" borderId="0" xfId="0" applyNumberFormat="1" applyFont="1" applyAlignment="1">
      <alignment horizontal="right" vertical="center" wrapText="1"/>
    </xf>
    <xf numFmtId="17" fontId="21" fillId="0" borderId="0" xfId="0" applyNumberFormat="1" applyFont="1" applyAlignment="1">
      <alignment horizontal="right" vertical="center" wrapText="1"/>
    </xf>
    <xf numFmtId="176" fontId="2" fillId="9" borderId="0" xfId="0" applyNumberFormat="1" applyFont="1" applyFill="1"/>
    <xf numFmtId="177" fontId="2" fillId="9" borderId="0" xfId="0" applyNumberFormat="1" applyFont="1" applyFill="1"/>
    <xf numFmtId="175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0" fontId="0" fillId="16" borderId="0" xfId="0" applyFill="1"/>
    <xf numFmtId="10" fontId="14" fillId="16" borderId="0" xfId="0" applyNumberFormat="1" applyFont="1" applyFill="1"/>
    <xf numFmtId="10" fontId="0" fillId="16" borderId="0" xfId="0" applyNumberFormat="1" applyFill="1"/>
    <xf numFmtId="170" fontId="1" fillId="0" borderId="6" xfId="0" applyNumberFormat="1" applyFont="1" applyBorder="1"/>
    <xf numFmtId="9" fontId="0" fillId="0" borderId="0" xfId="0" applyNumberFormat="1"/>
    <xf numFmtId="170" fontId="0" fillId="7" borderId="0" xfId="0" applyNumberFormat="1" applyFill="1"/>
    <xf numFmtId="9" fontId="14" fillId="7" borderId="0" xfId="0" applyNumberFormat="1" applyFont="1" applyFill="1"/>
    <xf numFmtId="170" fontId="1" fillId="7" borderId="0" xfId="0" applyNumberFormat="1" applyFont="1" applyFill="1"/>
    <xf numFmtId="0" fontId="0" fillId="7" borderId="0" xfId="0" applyFill="1"/>
    <xf numFmtId="10" fontId="0" fillId="7" borderId="0" xfId="0" applyNumberFormat="1" applyFill="1"/>
    <xf numFmtId="0" fontId="1" fillId="7" borderId="6" xfId="0" applyFont="1" applyFill="1" applyBorder="1"/>
    <xf numFmtId="178" fontId="1" fillId="0" borderId="0" xfId="0" applyNumberFormat="1" applyFont="1"/>
    <xf numFmtId="0" fontId="23" fillId="8" borderId="0" xfId="0" applyFont="1" applyFill="1" applyAlignment="1">
      <alignment vertical="top"/>
    </xf>
    <xf numFmtId="0" fontId="24" fillId="8" borderId="0" xfId="0" applyFont="1" applyFill="1" applyAlignment="1">
      <alignment vertical="top"/>
    </xf>
    <xf numFmtId="0" fontId="25" fillId="8" borderId="1" xfId="0" applyFont="1" applyFill="1" applyBorder="1" applyAlignment="1">
      <alignment horizontal="left" wrapText="1"/>
    </xf>
    <xf numFmtId="0" fontId="25" fillId="8" borderId="3" xfId="0" applyFont="1" applyFill="1" applyBorder="1"/>
    <xf numFmtId="0" fontId="24" fillId="8" borderId="1" xfId="0" applyFont="1" applyFill="1" applyBorder="1" applyAlignment="1">
      <alignment vertical="top"/>
    </xf>
    <xf numFmtId="0" fontId="25" fillId="8" borderId="0" xfId="0" applyFont="1" applyFill="1"/>
    <xf numFmtId="10" fontId="24" fillId="0" borderId="0" xfId="0" applyNumberFormat="1" applyFont="1" applyAlignment="1">
      <alignment horizontal="right" vertical="top"/>
    </xf>
    <xf numFmtId="10" fontId="26" fillId="8" borderId="0" xfId="0" applyNumberFormat="1" applyFont="1" applyFill="1" applyAlignment="1">
      <alignment horizontal="right" vertical="top"/>
    </xf>
    <xf numFmtId="180" fontId="25" fillId="8" borderId="1" xfId="0" applyNumberFormat="1" applyFont="1" applyFill="1" applyBorder="1" applyAlignment="1">
      <alignment horizontal="right" vertical="top" wrapText="1"/>
    </xf>
    <xf numFmtId="180" fontId="1" fillId="0" borderId="1" xfId="0" applyNumberFormat="1" applyFont="1" applyBorder="1"/>
    <xf numFmtId="181" fontId="1" fillId="0" borderId="1" xfId="0" applyNumberFormat="1" applyFont="1" applyBorder="1"/>
    <xf numFmtId="182" fontId="24" fillId="8" borderId="0" xfId="0" applyNumberFormat="1" applyFont="1" applyFill="1" applyAlignment="1">
      <alignment horizontal="right" vertical="top"/>
    </xf>
    <xf numFmtId="182" fontId="24" fillId="0" borderId="0" xfId="0" applyNumberFormat="1" applyFont="1" applyAlignment="1">
      <alignment horizontal="right" vertical="top"/>
    </xf>
    <xf numFmtId="182" fontId="25" fillId="8" borderId="3" xfId="0" applyNumberFormat="1" applyFont="1" applyFill="1" applyBorder="1"/>
    <xf numFmtId="182" fontId="24" fillId="8" borderId="1" xfId="0" applyNumberFormat="1" applyFont="1" applyFill="1" applyBorder="1" applyAlignment="1">
      <alignment horizontal="right" vertical="top"/>
    </xf>
    <xf numFmtId="182" fontId="24" fillId="0" borderId="1" xfId="0" applyNumberFormat="1" applyFont="1" applyBorder="1" applyAlignment="1">
      <alignment horizontal="right" vertical="top"/>
    </xf>
    <xf numFmtId="182" fontId="25" fillId="8" borderId="0" xfId="0" applyNumberFormat="1" applyFont="1" applyFill="1"/>
    <xf numFmtId="182" fontId="25" fillId="0" borderId="0" xfId="0" applyNumberFormat="1" applyFont="1"/>
    <xf numFmtId="182" fontId="28" fillId="8" borderId="0" xfId="0" applyNumberFormat="1" applyFont="1" applyFill="1"/>
    <xf numFmtId="182" fontId="30" fillId="8" borderId="0" xfId="0" applyNumberFormat="1" applyFont="1" applyFill="1"/>
    <xf numFmtId="0" fontId="31" fillId="8" borderId="1" xfId="0" applyFont="1" applyFill="1" applyBorder="1"/>
    <xf numFmtId="179" fontId="30" fillId="19" borderId="0" xfId="0" applyNumberFormat="1" applyFont="1" applyFill="1"/>
    <xf numFmtId="182" fontId="28" fillId="8" borderId="3" xfId="0" applyNumberFormat="1" applyFont="1" applyFill="1" applyBorder="1"/>
    <xf numFmtId="179" fontId="30" fillId="19" borderId="3" xfId="0" applyNumberFormat="1" applyFont="1" applyFill="1" applyBorder="1"/>
    <xf numFmtId="179" fontId="30" fillId="8" borderId="0" xfId="0" applyNumberFormat="1" applyFont="1" applyFill="1"/>
    <xf numFmtId="183" fontId="30" fillId="8" borderId="0" xfId="4" applyNumberFormat="1" applyFont="1" applyFill="1" applyAlignment="1"/>
    <xf numFmtId="182" fontId="28" fillId="8" borderId="10" xfId="0" applyNumberFormat="1" applyFont="1" applyFill="1" applyBorder="1"/>
    <xf numFmtId="179" fontId="28" fillId="8" borderId="10" xfId="0" applyNumberFormat="1" applyFont="1" applyFill="1" applyBorder="1"/>
    <xf numFmtId="182" fontId="30" fillId="8" borderId="0" xfId="0" quotePrefix="1" applyNumberFormat="1" applyFont="1" applyFill="1"/>
    <xf numFmtId="182" fontId="29" fillId="17" borderId="0" xfId="0" applyNumberFormat="1" applyFont="1" applyFill="1"/>
    <xf numFmtId="181" fontId="25" fillId="0" borderId="1" xfId="0" applyNumberFormat="1" applyFont="1" applyBorder="1" applyAlignment="1">
      <alignment horizontal="right" vertical="top" wrapText="1"/>
    </xf>
    <xf numFmtId="179" fontId="30" fillId="0" borderId="0" xfId="0" applyNumberFormat="1" applyFont="1"/>
    <xf numFmtId="182" fontId="30" fillId="0" borderId="0" xfId="0" applyNumberFormat="1" applyFont="1"/>
    <xf numFmtId="183" fontId="30" fillId="0" borderId="0" xfId="1" applyNumberFormat="1" applyFont="1" applyFill="1" applyAlignment="1"/>
    <xf numFmtId="179" fontId="31" fillId="0" borderId="3" xfId="0" applyNumberFormat="1" applyFont="1" applyBorder="1"/>
    <xf numFmtId="183" fontId="29" fillId="18" borderId="9" xfId="0" applyNumberFormat="1" applyFont="1" applyFill="1" applyBorder="1" applyAlignment="1">
      <alignment horizontal="center"/>
    </xf>
    <xf numFmtId="182" fontId="34" fillId="8" borderId="0" xfId="0" applyNumberFormat="1" applyFont="1" applyFill="1"/>
    <xf numFmtId="179" fontId="34" fillId="19" borderId="0" xfId="0" applyNumberFormat="1" applyFont="1" applyFill="1"/>
    <xf numFmtId="183" fontId="34" fillId="0" borderId="0" xfId="1" applyNumberFormat="1" applyFont="1" applyFill="1" applyAlignment="1"/>
    <xf numFmtId="170" fontId="34" fillId="0" borderId="0" xfId="1" applyNumberFormat="1" applyFont="1" applyFill="1" applyAlignment="1"/>
    <xf numFmtId="0" fontId="2" fillId="9" borderId="0" xfId="0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170" fontId="2" fillId="0" borderId="0" xfId="0" applyNumberFormat="1" applyFont="1" applyFill="1" applyBorder="1" applyAlignment="1">
      <alignment horizontal="left" vertical="center" wrapText="1"/>
    </xf>
    <xf numFmtId="10" fontId="1" fillId="0" borderId="0" xfId="0" applyNumberFormat="1" applyFont="1" applyBorder="1" applyAlignment="1">
      <alignment horizontal="right"/>
    </xf>
    <xf numFmtId="10" fontId="1" fillId="0" borderId="0" xfId="0" applyNumberFormat="1" applyFont="1" applyFill="1" applyBorder="1" applyAlignment="1">
      <alignment horizontal="left" vertical="center" wrapText="1"/>
    </xf>
    <xf numFmtId="10" fontId="1" fillId="0" borderId="1" xfId="0" applyNumberFormat="1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184" fontId="0" fillId="0" borderId="0" xfId="0" applyNumberFormat="1" applyBorder="1" applyAlignment="1">
      <alignment horizontal="right"/>
    </xf>
    <xf numFmtId="184" fontId="1" fillId="16" borderId="0" xfId="0" applyNumberFormat="1" applyFont="1" applyFill="1" applyBorder="1" applyAlignment="1">
      <alignment horizontal="right"/>
    </xf>
    <xf numFmtId="184" fontId="0" fillId="0" borderId="0" xfId="0" applyNumberFormat="1" applyFont="1" applyBorder="1" applyAlignment="1">
      <alignment horizontal="right"/>
    </xf>
    <xf numFmtId="184" fontId="0" fillId="0" borderId="1" xfId="0" applyNumberFormat="1" applyBorder="1" applyAlignment="1">
      <alignment horizontal="right"/>
    </xf>
    <xf numFmtId="189" fontId="0" fillId="0" borderId="0" xfId="0" applyNumberFormat="1"/>
    <xf numFmtId="0" fontId="35" fillId="0" borderId="1" xfId="0" applyFont="1" applyBorder="1"/>
    <xf numFmtId="0" fontId="0" fillId="0" borderId="1" xfId="0" applyBorder="1"/>
    <xf numFmtId="0" fontId="2" fillId="11" borderId="11" xfId="0" applyFont="1" applyFill="1" applyBorder="1" applyAlignment="1">
      <alignment horizontal="center"/>
    </xf>
    <xf numFmtId="0" fontId="2" fillId="11" borderId="0" xfId="0" applyFont="1" applyFill="1" applyAlignment="1">
      <alignment horizontal="right" wrapText="1"/>
    </xf>
    <xf numFmtId="0" fontId="2" fillId="11" borderId="0" xfId="0" applyFont="1" applyFill="1" applyAlignment="1">
      <alignment horizontal="left" wrapText="1"/>
    </xf>
    <xf numFmtId="0" fontId="2" fillId="11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190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78" fontId="1" fillId="0" borderId="3" xfId="0" applyNumberFormat="1" applyFont="1" applyBorder="1" applyAlignment="1">
      <alignment horizontal="right"/>
    </xf>
    <xf numFmtId="19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90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right"/>
    </xf>
    <xf numFmtId="178" fontId="0" fillId="20" borderId="0" xfId="0" applyNumberFormat="1" applyFill="1" applyAlignment="1">
      <alignment horizontal="right"/>
    </xf>
    <xf numFmtId="0" fontId="1" fillId="20" borderId="0" xfId="0" applyFont="1" applyFill="1" applyAlignment="1">
      <alignment horizontal="left"/>
    </xf>
    <xf numFmtId="0" fontId="1" fillId="20" borderId="0" xfId="0" applyFont="1" applyFill="1" applyAlignment="1">
      <alignment horizontal="right"/>
    </xf>
    <xf numFmtId="178" fontId="1" fillId="20" borderId="0" xfId="0" applyNumberFormat="1" applyFont="1" applyFill="1" applyAlignment="1">
      <alignment horizontal="right"/>
    </xf>
    <xf numFmtId="0" fontId="36" fillId="11" borderId="0" xfId="0" applyFont="1" applyFill="1" applyAlignment="1">
      <alignment horizontal="center" vertical="center"/>
    </xf>
    <xf numFmtId="190" fontId="0" fillId="0" borderId="3" xfId="0" applyNumberFormat="1" applyBorder="1" applyAlignment="1">
      <alignment horizontal="right"/>
    </xf>
    <xf numFmtId="0" fontId="5" fillId="0" borderId="0" xfId="0" applyFont="1" applyAlignment="1">
      <alignment horizontal="right" wrapText="1"/>
    </xf>
    <xf numFmtId="19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16" borderId="0" xfId="0" applyFont="1" applyFill="1" applyAlignment="1">
      <alignment horizontal="left"/>
    </xf>
    <xf numFmtId="0" fontId="1" fillId="16" borderId="0" xfId="0" applyFont="1" applyFill="1" applyAlignment="1">
      <alignment horizontal="right"/>
    </xf>
    <xf numFmtId="190" fontId="1" fillId="16" borderId="0" xfId="0" applyNumberFormat="1" applyFont="1" applyFill="1" applyAlignment="1">
      <alignment horizontal="right"/>
    </xf>
    <xf numFmtId="0" fontId="1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right"/>
    </xf>
    <xf numFmtId="190" fontId="1" fillId="16" borderId="1" xfId="0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5" fillId="0" borderId="0" xfId="0" applyFont="1" applyAlignment="1">
      <alignment horizontal="right" vertical="top"/>
    </xf>
    <xf numFmtId="0" fontId="0" fillId="0" borderId="0" xfId="0" applyBorder="1"/>
    <xf numFmtId="0" fontId="1" fillId="0" borderId="0" xfId="0" applyFont="1" applyBorder="1"/>
    <xf numFmtId="191" fontId="0" fillId="0" borderId="3" xfId="0" applyNumberFormat="1" applyBorder="1"/>
    <xf numFmtId="191" fontId="0" fillId="0" borderId="0" xfId="0" applyNumberFormat="1" applyBorder="1"/>
    <xf numFmtId="0" fontId="1" fillId="0" borderId="8" xfId="0" applyFont="1" applyBorder="1"/>
    <xf numFmtId="191" fontId="0" fillId="0" borderId="8" xfId="0" applyNumberFormat="1" applyBorder="1"/>
    <xf numFmtId="0" fontId="0" fillId="16" borderId="0" xfId="0" applyFill="1" applyBorder="1"/>
    <xf numFmtId="0" fontId="1" fillId="16" borderId="0" xfId="0" applyFont="1" applyFill="1" applyBorder="1" applyAlignment="1">
      <alignment horizontal="center"/>
    </xf>
    <xf numFmtId="0" fontId="27" fillId="17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vertical="center"/>
    </xf>
    <xf numFmtId="192" fontId="27" fillId="17" borderId="1" xfId="0" applyNumberFormat="1" applyFont="1" applyFill="1" applyBorder="1" applyAlignment="1">
      <alignment vertical="center"/>
    </xf>
    <xf numFmtId="192" fontId="27" fillId="17" borderId="1" xfId="0" applyNumberFormat="1" applyFont="1" applyFill="1" applyBorder="1" applyAlignment="1">
      <alignment horizontal="center" vertical="center"/>
    </xf>
    <xf numFmtId="0" fontId="33" fillId="17" borderId="0" xfId="6" applyNumberFormat="1" applyFont="1" applyFill="1" applyBorder="1" applyAlignment="1">
      <alignment horizontal="center" vertical="center"/>
    </xf>
    <xf numFmtId="193" fontId="29" fillId="17" borderId="0" xfId="5" applyNumberFormat="1" applyFont="1" applyFill="1"/>
    <xf numFmtId="10" fontId="28" fillId="8" borderId="0" xfId="4" applyNumberFormat="1" applyFont="1" applyFill="1" applyBorder="1"/>
    <xf numFmtId="182" fontId="30" fillId="8" borderId="0" xfId="0" applyNumberFormat="1" applyFont="1" applyFill="1" applyBorder="1"/>
    <xf numFmtId="182" fontId="34" fillId="16" borderId="0" xfId="0" applyNumberFormat="1" applyFont="1" applyFill="1" applyBorder="1"/>
    <xf numFmtId="182" fontId="29" fillId="17" borderId="0" xfId="0" applyNumberFormat="1" applyFont="1" applyFill="1" applyBorder="1" applyAlignment="1">
      <alignment horizontal="center" vertical="center"/>
    </xf>
    <xf numFmtId="182" fontId="29" fillId="17" borderId="1" xfId="0" applyNumberFormat="1" applyFont="1" applyFill="1" applyBorder="1" applyAlignment="1">
      <alignment horizontal="center" vertical="center"/>
    </xf>
    <xf numFmtId="10" fontId="28" fillId="8" borderId="1" xfId="4" applyNumberFormat="1" applyFont="1" applyFill="1" applyBorder="1"/>
    <xf numFmtId="182" fontId="30" fillId="8" borderId="1" xfId="0" applyNumberFormat="1" applyFont="1" applyFill="1" applyBorder="1"/>
    <xf numFmtId="179" fontId="29" fillId="8" borderId="0" xfId="0" applyNumberFormat="1" applyFont="1" applyFill="1" applyBorder="1"/>
  </cellXfs>
  <cellStyles count="7">
    <cellStyle name="Accent6" xfId="3" builtinId="49"/>
    <cellStyle name="Comma" xfId="1" builtinId="3"/>
    <cellStyle name="Currency" xfId="5" builtinId="4"/>
    <cellStyle name="Hyperlink" xfId="2" builtinId="8"/>
    <cellStyle name="Normal" xfId="0" builtinId="0"/>
    <cellStyle name="Normal_Project Accel Valuation v56" xfId="6" xr:uid="{4C6D2CDD-BD86-4189-90FC-9ABD4C5F247D}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2060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Football</a:t>
            </a:r>
            <a:r>
              <a:rPr lang="en-US" b="1" baseline="0">
                <a:solidFill>
                  <a:schemeClr val="bg1"/>
                </a:solidFill>
              </a:rPr>
              <a:t> Field Analysis - Valuation Summary</a:t>
            </a:r>
            <a:endParaRPr lang="en-US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1.0817480622164909E-2"/>
          <c:y val="1.4414414414414415E-2"/>
        </c:manualLayout>
      </c:layout>
      <c:overlay val="0"/>
      <c:spPr>
        <a:solidFill>
          <a:schemeClr val="tx2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 Field Analysis'!$L$5:$L$12</c:f>
              <c:strCache>
                <c:ptCount val="8"/>
                <c:pt idx="0">
                  <c:v>Comps</c:v>
                </c:pt>
                <c:pt idx="1">
                  <c:v>FCFF Bear</c:v>
                </c:pt>
                <c:pt idx="2">
                  <c:v>FCFF Base</c:v>
                </c:pt>
                <c:pt idx="3">
                  <c:v>FCFF Bull</c:v>
                </c:pt>
                <c:pt idx="4">
                  <c:v>UFCF Bear</c:v>
                </c:pt>
                <c:pt idx="5">
                  <c:v>UFCF Base</c:v>
                </c:pt>
                <c:pt idx="6">
                  <c:v>UFCF Bull</c:v>
                </c:pt>
                <c:pt idx="7">
                  <c:v>52W H/L</c:v>
                </c:pt>
              </c:strCache>
            </c:strRef>
          </c:cat>
          <c:val>
            <c:numRef>
              <c:f>'Footbal Field Analysis'!$N$5:$N$12</c:f>
              <c:numCache>
                <c:formatCode>[$₹-448]\ #,##0.0</c:formatCode>
                <c:ptCount val="8"/>
                <c:pt idx="0">
                  <c:v>2170.053072974757</c:v>
                </c:pt>
                <c:pt idx="1">
                  <c:v>294.45535099473335</c:v>
                </c:pt>
                <c:pt idx="2">
                  <c:v>342.76083151993441</c:v>
                </c:pt>
                <c:pt idx="3">
                  <c:v>413.363002970514</c:v>
                </c:pt>
                <c:pt idx="4">
                  <c:v>877.69906302535094</c:v>
                </c:pt>
                <c:pt idx="5">
                  <c:v>1043.5208262169383</c:v>
                </c:pt>
                <c:pt idx="6">
                  <c:v>1277.9660185230166</c:v>
                </c:pt>
                <c:pt idx="7">
                  <c:v>2766.15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42-4D40-9620-E76C98082D65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 Field Analysis'!$L$5:$L$12</c:f>
              <c:strCache>
                <c:ptCount val="8"/>
                <c:pt idx="0">
                  <c:v>Comps</c:v>
                </c:pt>
                <c:pt idx="1">
                  <c:v>FCFF Bear</c:v>
                </c:pt>
                <c:pt idx="2">
                  <c:v>FCFF Base</c:v>
                </c:pt>
                <c:pt idx="3">
                  <c:v>FCFF Bull</c:v>
                </c:pt>
                <c:pt idx="4">
                  <c:v>UFCF Bear</c:v>
                </c:pt>
                <c:pt idx="5">
                  <c:v>UFCF Base</c:v>
                </c:pt>
                <c:pt idx="6">
                  <c:v>UFCF Bull</c:v>
                </c:pt>
                <c:pt idx="7">
                  <c:v>52W H/L</c:v>
                </c:pt>
              </c:strCache>
            </c:strRef>
          </c:cat>
          <c:val>
            <c:numRef>
              <c:f>'Footbal Field Analysis'!$O$5:$O$12</c:f>
              <c:numCache>
                <c:formatCode>[$₹-448]\ #,##0.0</c:formatCode>
                <c:ptCount val="8"/>
                <c:pt idx="0">
                  <c:v>2170.053072974757</c:v>
                </c:pt>
                <c:pt idx="1">
                  <c:v>294.45535099473335</c:v>
                </c:pt>
                <c:pt idx="2">
                  <c:v>342.76083151993441</c:v>
                </c:pt>
                <c:pt idx="3">
                  <c:v>413.363002970514</c:v>
                </c:pt>
                <c:pt idx="4">
                  <c:v>877.69906302535094</c:v>
                </c:pt>
                <c:pt idx="5">
                  <c:v>1043.5208262169383</c:v>
                </c:pt>
                <c:pt idx="6">
                  <c:v>1277.9660185230166</c:v>
                </c:pt>
                <c:pt idx="7">
                  <c:v>2766.15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42-4D40-9620-E76C98082D65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none"/>
          </c:marker>
          <c:cat>
            <c:strRef>
              <c:f>'Footbal Field Analysis'!$L$5:$L$12</c:f>
              <c:strCache>
                <c:ptCount val="8"/>
                <c:pt idx="0">
                  <c:v>Comps</c:v>
                </c:pt>
                <c:pt idx="1">
                  <c:v>FCFF Bear</c:v>
                </c:pt>
                <c:pt idx="2">
                  <c:v>FCFF Base</c:v>
                </c:pt>
                <c:pt idx="3">
                  <c:v>FCFF Bull</c:v>
                </c:pt>
                <c:pt idx="4">
                  <c:v>UFCF Bear</c:v>
                </c:pt>
                <c:pt idx="5">
                  <c:v>UFCF Base</c:v>
                </c:pt>
                <c:pt idx="6">
                  <c:v>UFCF Bull</c:v>
                </c:pt>
                <c:pt idx="7">
                  <c:v>52W H/L</c:v>
                </c:pt>
              </c:strCache>
            </c:strRef>
          </c:cat>
          <c:val>
            <c:numRef>
              <c:f>'Footbal Field Analysis'!$P$5:$P$12</c:f>
              <c:numCache>
                <c:formatCode>[$₹-448]\ #,##0.0</c:formatCode>
                <c:ptCount val="8"/>
                <c:pt idx="0">
                  <c:v>3326.2820791464851</c:v>
                </c:pt>
                <c:pt idx="1">
                  <c:v>422.76013800847551</c:v>
                </c:pt>
                <c:pt idx="2">
                  <c:v>562.94291569498216</c:v>
                </c:pt>
                <c:pt idx="3">
                  <c:v>852.41066772822944</c:v>
                </c:pt>
                <c:pt idx="4">
                  <c:v>1339.5395532822965</c:v>
                </c:pt>
                <c:pt idx="5">
                  <c:v>1820.8584053482455</c:v>
                </c:pt>
                <c:pt idx="6">
                  <c:v>2806.5312290818642</c:v>
                </c:pt>
                <c:pt idx="7">
                  <c:v>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42-4D40-9620-E76C98082D65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 Field Analysis'!$L$5:$L$12</c:f>
              <c:strCache>
                <c:ptCount val="8"/>
                <c:pt idx="0">
                  <c:v>Comps</c:v>
                </c:pt>
                <c:pt idx="1">
                  <c:v>FCFF Bear</c:v>
                </c:pt>
                <c:pt idx="2">
                  <c:v>FCFF Base</c:v>
                </c:pt>
                <c:pt idx="3">
                  <c:v>FCFF Bull</c:v>
                </c:pt>
                <c:pt idx="4">
                  <c:v>UFCF Bear</c:v>
                </c:pt>
                <c:pt idx="5">
                  <c:v>UFCF Base</c:v>
                </c:pt>
                <c:pt idx="6">
                  <c:v>UFCF Bull</c:v>
                </c:pt>
                <c:pt idx="7">
                  <c:v>52W H/L</c:v>
                </c:pt>
              </c:strCache>
            </c:strRef>
          </c:cat>
          <c:val>
            <c:numRef>
              <c:f>'Footbal Field Analysis'!$Q$5:$Q$12</c:f>
              <c:numCache>
                <c:formatCode>[$₹-448]\ #,##0.0</c:formatCode>
                <c:ptCount val="8"/>
                <c:pt idx="0">
                  <c:v>3326.2820791464851</c:v>
                </c:pt>
                <c:pt idx="1">
                  <c:v>422.76013800847551</c:v>
                </c:pt>
                <c:pt idx="2">
                  <c:v>562.94291569498216</c:v>
                </c:pt>
                <c:pt idx="3">
                  <c:v>852.41066772822944</c:v>
                </c:pt>
                <c:pt idx="4">
                  <c:v>1339.5395532822965</c:v>
                </c:pt>
                <c:pt idx="5">
                  <c:v>1820.8584053482455</c:v>
                </c:pt>
                <c:pt idx="6">
                  <c:v>2806.5312290818642</c:v>
                </c:pt>
                <c:pt idx="7">
                  <c:v>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42-4D40-9620-E76C98082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tx2">
                  <a:lumMod val="75000"/>
                </a:schemeClr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575857535"/>
        <c:axId val="1575866175"/>
      </c:stockChart>
      <c:catAx>
        <c:axId val="157585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66175"/>
        <c:crosses val="autoZero"/>
        <c:auto val="1"/>
        <c:lblAlgn val="ctr"/>
        <c:lblOffset val="100"/>
        <c:noMultiLvlLbl val="0"/>
      </c:catAx>
      <c:valAx>
        <c:axId val="1575866175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5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6350</xdr:rowOff>
    </xdr:from>
    <xdr:to>
      <xdr:col>10</xdr:col>
      <xdr:colOff>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AC104-335D-3B36-2109-02E63B24F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139700</xdr:colOff>
      <xdr:row>9</xdr:row>
      <xdr:rowOff>177800</xdr:rowOff>
    </xdr:from>
    <xdr:to>
      <xdr:col>9</xdr:col>
      <xdr:colOff>298450</xdr:colOff>
      <xdr:row>9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D8B2523-CADD-AAF7-2E0C-C7892F7C2154}"/>
            </a:ext>
          </a:extLst>
        </xdr:cNvPr>
        <xdr:cNvCxnSpPr/>
      </xdr:nvCxnSpPr>
      <xdr:spPr>
        <a:xfrm>
          <a:off x="876300" y="1727200"/>
          <a:ext cx="4425950" cy="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nancial%20modelling\Tesla%20valuation\tesla_new.xlsx" TargetMode="External"/><Relationship Id="rId1" Type="http://schemas.openxmlformats.org/officeDocument/2006/relationships/externalLinkPath" Target="/financial%20modelling/Tesla%20valuation/tesla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ivers"/>
      <sheetName val="RAW INPUT---&gt;"/>
      <sheetName val="P&amp;L Input"/>
      <sheetName val="Balance Sheet Input"/>
      <sheetName val="WORKINGS---&gt;"/>
      <sheetName val="Income Statement items---&gt;"/>
      <sheetName val="Automotive---&gt;"/>
      <sheetName val="Deliveries"/>
      <sheetName val="Deliveries development"/>
      <sheetName val="Deliveries comparables"/>
      <sheetName val="Average Prices"/>
      <sheetName val="Revenue automotive"/>
      <sheetName val="GP% automotive"/>
      <sheetName val="GP automotive"/>
      <sheetName val="Cost of sales automotive"/>
      <sheetName val="Revenue &amp; GP automotive"/>
      <sheetName val="Energy and Others---&gt;"/>
      <sheetName val="Revenue Energy &amp; Other"/>
      <sheetName val="Gross Profit Energy &amp; Other"/>
      <sheetName val="Cost of sales Energy &amp; Other"/>
      <sheetName val="Operating expenses---&gt;"/>
      <sheetName val="Opex comparables"/>
      <sheetName val="Opex"/>
      <sheetName val="Balance Sheet---&gt;"/>
      <sheetName val="PP&amp;E---&gt;"/>
      <sheetName val="PP&amp;E"/>
      <sheetName val="PP&amp;E Comparables"/>
      <sheetName val="Working capital---&gt;"/>
      <sheetName val="Working capital"/>
      <sheetName val="W C development"/>
      <sheetName val="Financials---&gt;"/>
      <sheetName val="Financing"/>
      <sheetName val="WACC"/>
      <sheetName val="OUTPUT---&gt;"/>
      <sheetName val="P&amp;L"/>
      <sheetName val="Balance Sheet"/>
      <sheetName val="Cash Flow"/>
      <sheetName val="DCF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7">
          <cell r="G7">
            <v>14431</v>
          </cell>
          <cell r="H7">
            <v>21825.934286093474</v>
          </cell>
          <cell r="I7">
            <v>24308.158098446911</v>
          </cell>
          <cell r="J7">
            <v>27155.360241911621</v>
          </cell>
          <cell r="K7">
            <v>29311.412241967028</v>
          </cell>
          <cell r="L7">
            <v>31521.774585370793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8">
          <cell r="G8">
            <v>13626</v>
          </cell>
          <cell r="H8">
            <v>17006.734687007891</v>
          </cell>
          <cell r="I8">
            <v>18940.879693453979</v>
          </cell>
          <cell r="J8">
            <v>21159.415258505898</v>
          </cell>
          <cell r="K8">
            <v>22839.407686582523</v>
          </cell>
          <cell r="L8">
            <v>24561.718651312782</v>
          </cell>
        </row>
        <row r="20">
          <cell r="G20">
            <v>4249</v>
          </cell>
          <cell r="H20">
            <v>5224.2515648130429</v>
          </cell>
          <cell r="I20">
            <v>5808.7833962677469</v>
          </cell>
          <cell r="J20">
            <v>6481.8583939331602</v>
          </cell>
          <cell r="K20">
            <v>6996.7295931477747</v>
          </cell>
          <cell r="L20">
            <v>7527.3966600499143</v>
          </cell>
        </row>
      </sheetData>
      <sheetData sheetId="36" refreshError="1"/>
      <sheetData sheetId="37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C8B0-C87A-4CC0-AA29-BAF19AF6969B}">
  <sheetPr>
    <tabColor rgb="FF3333FF"/>
  </sheetPr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F5DA-6DBB-4A5D-A1FB-DED4A5015C70}">
  <dimension ref="A2:Z146"/>
  <sheetViews>
    <sheetView showGridLines="0" zoomScaleNormal="100" workbookViewId="0">
      <pane xSplit="2" ySplit="5" topLeftCell="C14" activePane="bottomRight" state="frozen"/>
      <selection pane="topRight" activeCell="C1" sqref="C1"/>
      <selection pane="bottomLeft" activeCell="A6" sqref="A6"/>
      <selection pane="bottomRight" activeCell="F161" sqref="F161"/>
    </sheetView>
  </sheetViews>
  <sheetFormatPr defaultRowHeight="14.5" outlineLevelRow="1" x14ac:dyDescent="0.35"/>
  <cols>
    <col min="1" max="1" width="1.81640625" style="9" customWidth="1"/>
    <col min="2" max="2" width="26.6328125" style="9" customWidth="1"/>
    <col min="3" max="3" width="13.6328125" style="9" customWidth="1"/>
    <col min="4" max="13" width="12.6328125" style="9" customWidth="1"/>
    <col min="14" max="26" width="8.7265625" style="9"/>
  </cols>
  <sheetData>
    <row r="2" spans="1:26" x14ac:dyDescent="0.35">
      <c r="B2" s="189" t="str">
        <f>"Historical Financial Statements - "&amp;'Data Sheet'!$B$1</f>
        <v>Historical Financial Statements - ASIAN PAINTS LTD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</row>
    <row r="3" spans="1:26" x14ac:dyDescent="0.35">
      <c r="B3" s="23" t="s">
        <v>54</v>
      </c>
      <c r="C3" s="24">
        <f>'Data Sheet'!B16</f>
        <v>41729</v>
      </c>
      <c r="D3" s="24">
        <f>'Data Sheet'!C16</f>
        <v>42094</v>
      </c>
      <c r="E3" s="24">
        <f>'Data Sheet'!D16</f>
        <v>42460</v>
      </c>
      <c r="F3" s="24">
        <f>'Data Sheet'!E16</f>
        <v>42825</v>
      </c>
      <c r="G3" s="24">
        <f>'Data Sheet'!F16</f>
        <v>43190</v>
      </c>
      <c r="H3" s="24">
        <f>'Data Sheet'!G16</f>
        <v>43555</v>
      </c>
      <c r="I3" s="24">
        <f>'Data Sheet'!H16</f>
        <v>43921</v>
      </c>
      <c r="J3" s="24">
        <f>'Data Sheet'!I16</f>
        <v>44286</v>
      </c>
      <c r="K3" s="24">
        <f>'Data Sheet'!J16</f>
        <v>44651</v>
      </c>
      <c r="L3" s="24">
        <f>'Data Sheet'!K16</f>
        <v>45016</v>
      </c>
      <c r="M3" s="25" t="s">
        <v>55</v>
      </c>
      <c r="N3" s="10"/>
      <c r="O3" s="10"/>
    </row>
    <row r="5" spans="1:26" x14ac:dyDescent="0.35">
      <c r="B5" s="12" t="s">
        <v>56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6" s="2" customFormat="1" outlineLevel="1" x14ac:dyDescent="0.35">
      <c r="A6" s="11"/>
      <c r="B6" s="11" t="s">
        <v>57</v>
      </c>
      <c r="C6" s="19">
        <f>IFERROR('Data Sheet'!B17,0)</f>
        <v>12220.37</v>
      </c>
      <c r="D6" s="19">
        <f>IFERROR('Data Sheet'!C17,0)</f>
        <v>13615.26</v>
      </c>
      <c r="E6" s="19">
        <f>IFERROR('Data Sheet'!D17,0)</f>
        <v>14271.49</v>
      </c>
      <c r="F6" s="19">
        <f>IFERROR('Data Sheet'!E17,0)</f>
        <v>15061.99</v>
      </c>
      <c r="G6" s="19">
        <f>IFERROR('Data Sheet'!F17,0)</f>
        <v>16824.55</v>
      </c>
      <c r="H6" s="19">
        <f>IFERROR('Data Sheet'!G17,0)</f>
        <v>19240.13</v>
      </c>
      <c r="I6" s="19">
        <f>IFERROR('Data Sheet'!H17,0)</f>
        <v>20211.25</v>
      </c>
      <c r="J6" s="19">
        <f>IFERROR('Data Sheet'!I17,0)</f>
        <v>21712.79</v>
      </c>
      <c r="K6" s="19">
        <f>IFERROR('Data Sheet'!J17,0)</f>
        <v>29101.279999999999</v>
      </c>
      <c r="L6" s="19">
        <f>IFERROR('Data Sheet'!K17,0)</f>
        <v>34488.589999999997</v>
      </c>
      <c r="M6" s="19">
        <f>IFERROR(SUM('Data Sheet'!H42:K42),0)</f>
        <v>35551.31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outlineLevel="1" x14ac:dyDescent="0.35">
      <c r="B7" s="14" t="s">
        <v>67</v>
      </c>
      <c r="C7" s="17">
        <v>0</v>
      </c>
      <c r="D7" s="15">
        <f>D6/C6-1</f>
        <v>0.11414466174101112</v>
      </c>
      <c r="E7" s="15">
        <f t="shared" ref="E7:M7" si="0">E6/D6-1</f>
        <v>4.8198124751198224E-2</v>
      </c>
      <c r="F7" s="15">
        <f t="shared" si="0"/>
        <v>5.5390151974320734E-2</v>
      </c>
      <c r="G7" s="15">
        <f t="shared" si="0"/>
        <v>0.11702039371955486</v>
      </c>
      <c r="H7" s="15">
        <f t="shared" si="0"/>
        <v>0.14357471670861943</v>
      </c>
      <c r="I7" s="15">
        <f t="shared" si="0"/>
        <v>5.0473671435691925E-2</v>
      </c>
      <c r="J7" s="15">
        <f t="shared" si="0"/>
        <v>7.4292287711052118E-2</v>
      </c>
      <c r="K7" s="15">
        <f t="shared" si="0"/>
        <v>0.34028284711453471</v>
      </c>
      <c r="L7" s="15">
        <f t="shared" si="0"/>
        <v>0.18512278497715551</v>
      </c>
      <c r="M7" s="15">
        <f t="shared" si="0"/>
        <v>3.0813669100418384E-2</v>
      </c>
    </row>
    <row r="8" spans="1:26" outlineLevel="1" x14ac:dyDescent="0.35"/>
    <row r="9" spans="1:26" outlineLevel="1" x14ac:dyDescent="0.35">
      <c r="B9" s="9" t="s">
        <v>58</v>
      </c>
      <c r="C9" s="16">
        <f>IFERROR(SUM('Data Sheet'!B18,'Data Sheet'!B20,'Data Sheet'!B21,'Data Sheet'!B22)-1*'Data Sheet'!B19,0)</f>
        <v>8438.98</v>
      </c>
      <c r="D9" s="16">
        <f>IFERROR(SUM('Data Sheet'!C18,'Data Sheet'!C20,'Data Sheet'!C21,'Data Sheet'!C22)-1*'Data Sheet'!C19,0)</f>
        <v>9298.77</v>
      </c>
      <c r="E9" s="16">
        <f>IFERROR(SUM('Data Sheet'!D18,'Data Sheet'!D20,'Data Sheet'!D21,'Data Sheet'!D22)-1*'Data Sheet'!D19,0)</f>
        <v>9413.8399999999983</v>
      </c>
      <c r="F9" s="16">
        <f>IFERROR(SUM('Data Sheet'!E18,'Data Sheet'!E20,'Data Sheet'!E21,'Data Sheet'!E22)-1*'Data Sheet'!E19,0)</f>
        <v>9732.66</v>
      </c>
      <c r="G9" s="16">
        <f>IFERROR(SUM('Data Sheet'!F18,'Data Sheet'!F20,'Data Sheet'!F21,'Data Sheet'!F22)-1*'Data Sheet'!F19,0)</f>
        <v>11194.169999999998</v>
      </c>
      <c r="H9" s="16">
        <f>IFERROR(SUM('Data Sheet'!G18,'Data Sheet'!G20,'Data Sheet'!G21,'Data Sheet'!G22)-1*'Data Sheet'!G19,0)</f>
        <v>12905.81</v>
      </c>
      <c r="I9" s="16">
        <f>IFERROR(SUM('Data Sheet'!H18,'Data Sheet'!H20,'Data Sheet'!H21,'Data Sheet'!H22)-1*'Data Sheet'!H19,0)</f>
        <v>13158.020000000002</v>
      </c>
      <c r="J9" s="16">
        <f>IFERROR(SUM('Data Sheet'!I18,'Data Sheet'!I20,'Data Sheet'!I21,'Data Sheet'!I22)-1*'Data Sheet'!I19,0)</f>
        <v>14035.069999999998</v>
      </c>
      <c r="K9" s="16">
        <f>IFERROR(SUM('Data Sheet'!J18,'Data Sheet'!J20,'Data Sheet'!J21,'Data Sheet'!J22)-1*'Data Sheet'!J19,0)</f>
        <v>20590.57</v>
      </c>
      <c r="L9" s="16">
        <f>IFERROR(SUM('Data Sheet'!K18,'Data Sheet'!K20,'Data Sheet'!K21,'Data Sheet'!K22)-1*'Data Sheet'!K19,0)</f>
        <v>23766.7</v>
      </c>
      <c r="M9" s="16">
        <f>IFERROR(SUM('Data Sheet'!H43:K43),0)</f>
        <v>27792.940000000002</v>
      </c>
    </row>
    <row r="10" spans="1:26" outlineLevel="1" x14ac:dyDescent="0.35">
      <c r="B10" s="14" t="s">
        <v>68</v>
      </c>
      <c r="C10" s="15">
        <f>C9/C$6</f>
        <v>0.69056665223720715</v>
      </c>
      <c r="D10" s="15">
        <f t="shared" ref="D10:M10" si="1">D9/D$6</f>
        <v>0.68296675935678053</v>
      </c>
      <c r="E10" s="15">
        <f t="shared" si="1"/>
        <v>0.65962558919916547</v>
      </c>
      <c r="F10" s="15">
        <f t="shared" si="1"/>
        <v>0.64617357998511482</v>
      </c>
      <c r="G10" s="15">
        <f t="shared" si="1"/>
        <v>0.66534736441687881</v>
      </c>
      <c r="H10" s="15">
        <f t="shared" si="1"/>
        <v>0.67077561326248825</v>
      </c>
      <c r="I10" s="15">
        <f t="shared" si="1"/>
        <v>0.65102455315727636</v>
      </c>
      <c r="J10" s="15">
        <f t="shared" si="1"/>
        <v>0.64639643270164715</v>
      </c>
      <c r="K10" s="15">
        <f t="shared" si="1"/>
        <v>0.70754860267314701</v>
      </c>
      <c r="L10" s="15">
        <f t="shared" si="1"/>
        <v>0.68911776329504926</v>
      </c>
      <c r="M10" s="15">
        <f t="shared" si="1"/>
        <v>0.78176978569847366</v>
      </c>
    </row>
    <row r="11" spans="1:26" outlineLevel="1" x14ac:dyDescent="0.35"/>
    <row r="12" spans="1:26" s="2" customFormat="1" outlineLevel="1" x14ac:dyDescent="0.35">
      <c r="A12" s="11"/>
      <c r="B12" s="11" t="s">
        <v>59</v>
      </c>
      <c r="C12" s="19">
        <f>C6-C9</f>
        <v>3781.3900000000012</v>
      </c>
      <c r="D12" s="19">
        <f t="shared" ref="D12:M12" si="2">D6-D9</f>
        <v>4316.49</v>
      </c>
      <c r="E12" s="19">
        <f t="shared" si="2"/>
        <v>4857.6500000000015</v>
      </c>
      <c r="F12" s="19">
        <f t="shared" si="2"/>
        <v>5329.33</v>
      </c>
      <c r="G12" s="19">
        <f t="shared" si="2"/>
        <v>5630.380000000001</v>
      </c>
      <c r="H12" s="19">
        <f t="shared" si="2"/>
        <v>6334.3200000000015</v>
      </c>
      <c r="I12" s="19">
        <f t="shared" si="2"/>
        <v>7053.2299999999977</v>
      </c>
      <c r="J12" s="19">
        <f t="shared" si="2"/>
        <v>7677.720000000003</v>
      </c>
      <c r="K12" s="19">
        <f t="shared" si="2"/>
        <v>8510.7099999999991</v>
      </c>
      <c r="L12" s="19">
        <f t="shared" si="2"/>
        <v>10721.889999999996</v>
      </c>
      <c r="M12" s="19">
        <f t="shared" si="2"/>
        <v>7758.3699999999953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outlineLevel="1" x14ac:dyDescent="0.35">
      <c r="B13" s="14" t="s">
        <v>68</v>
      </c>
      <c r="C13" s="15">
        <f>C12/C$6</f>
        <v>0.30943334776279285</v>
      </c>
      <c r="D13" s="15">
        <f t="shared" ref="D13" si="3">D12/D$6</f>
        <v>0.31703324064321942</v>
      </c>
      <c r="E13" s="15">
        <f t="shared" ref="E13" si="4">E12/E$6</f>
        <v>0.34037441080083447</v>
      </c>
      <c r="F13" s="15">
        <f t="shared" ref="F13" si="5">F12/F$6</f>
        <v>0.35382642001488518</v>
      </c>
      <c r="G13" s="15">
        <f t="shared" ref="G13" si="6">G12/G$6</f>
        <v>0.33465263558312119</v>
      </c>
      <c r="H13" s="15">
        <f t="shared" ref="H13" si="7">H12/H$6</f>
        <v>0.3292243867375117</v>
      </c>
      <c r="I13" s="15">
        <f t="shared" ref="I13" si="8">I12/I$6</f>
        <v>0.34897544684272364</v>
      </c>
      <c r="J13" s="15">
        <f t="shared" ref="J13" si="9">J12/J$6</f>
        <v>0.35360356729835285</v>
      </c>
      <c r="K13" s="15">
        <f t="shared" ref="K13" si="10">K12/K$6</f>
        <v>0.29245139732685294</v>
      </c>
      <c r="L13" s="15">
        <f t="shared" ref="L13:M13" si="11">L12/L$6</f>
        <v>0.31088223670495074</v>
      </c>
      <c r="M13" s="15">
        <f t="shared" si="11"/>
        <v>0.21823021430152634</v>
      </c>
    </row>
    <row r="14" spans="1:26" outlineLevel="1" x14ac:dyDescent="0.35"/>
    <row r="15" spans="1:26" outlineLevel="1" x14ac:dyDescent="0.35">
      <c r="B15" s="9" t="s">
        <v>60</v>
      </c>
      <c r="C15" s="16">
        <f>IFERROR(SUM('Data Sheet'!B23,'Data Sheet'!B24),0)</f>
        <v>1777.7299999999998</v>
      </c>
      <c r="D15" s="16">
        <f>IFERROR(SUM('Data Sheet'!C23,'Data Sheet'!C24),0)</f>
        <v>2073.6</v>
      </c>
      <c r="E15" s="16">
        <f>IFERROR(SUM('Data Sheet'!D23,'Data Sheet'!D24),0)</f>
        <v>2132.61</v>
      </c>
      <c r="F15" s="16">
        <f>IFERROR(SUM('Data Sheet'!E23,'Data Sheet'!E24),0)</f>
        <v>2335.5699999999997</v>
      </c>
      <c r="G15" s="16">
        <f>IFERROR(SUM('Data Sheet'!F23,'Data Sheet'!F24),0)</f>
        <v>2426.37</v>
      </c>
      <c r="H15" s="16">
        <f>IFERROR(SUM('Data Sheet'!G23,'Data Sheet'!G24),0)</f>
        <v>2569.38</v>
      </c>
      <c r="I15" s="16">
        <f>IFERROR(SUM('Data Sheet'!H23,'Data Sheet'!H24),0)</f>
        <v>2896.4100000000003</v>
      </c>
      <c r="J15" s="16">
        <f>IFERROR(SUM('Data Sheet'!I23,'Data Sheet'!I24),0)</f>
        <v>2822.12</v>
      </c>
      <c r="K15" s="16">
        <f>IFERROR(SUM('Data Sheet'!J23,'Data Sheet'!J24),0)</f>
        <v>3707.1</v>
      </c>
      <c r="L15" s="16">
        <f>IFERROR(SUM('Data Sheet'!K23,'Data Sheet'!K24),0)</f>
        <v>4462.05</v>
      </c>
      <c r="M15" s="16"/>
    </row>
    <row r="16" spans="1:26" outlineLevel="1" x14ac:dyDescent="0.35">
      <c r="B16" s="14" t="s">
        <v>68</v>
      </c>
      <c r="C16" s="15">
        <f>C15/C$6</f>
        <v>0.14547268208736722</v>
      </c>
      <c r="D16" s="15">
        <f t="shared" ref="D16" si="12">D15/D$6</f>
        <v>0.15229969901419435</v>
      </c>
      <c r="E16" s="15">
        <f t="shared" ref="E16" si="13">E15/E$6</f>
        <v>0.14943148893353111</v>
      </c>
      <c r="F16" s="15">
        <f t="shared" ref="F16" si="14">F15/F$6</f>
        <v>0.15506383950593511</v>
      </c>
      <c r="G16" s="15">
        <f t="shared" ref="G16" si="15">G15/G$6</f>
        <v>0.14421604143944414</v>
      </c>
      <c r="H16" s="15">
        <f t="shared" ref="H16" si="16">H15/H$6</f>
        <v>0.13354275672773522</v>
      </c>
      <c r="I16" s="15">
        <f t="shared" ref="I16" si="17">I15/I$6</f>
        <v>0.14330682169583772</v>
      </c>
      <c r="J16" s="15">
        <f t="shared" ref="J16" si="18">J15/J$6</f>
        <v>0.12997500551518251</v>
      </c>
      <c r="K16" s="15">
        <f t="shared" ref="K16" si="19">K15/K$6</f>
        <v>0.1273861493377611</v>
      </c>
      <c r="L16" s="15">
        <f t="shared" ref="L16" si="20">L15/L$6</f>
        <v>0.12937757095897515</v>
      </c>
      <c r="M16" s="15"/>
    </row>
    <row r="17" spans="1:26" outlineLevel="1" x14ac:dyDescent="0.35"/>
    <row r="18" spans="1:26" s="2" customFormat="1" outlineLevel="1" x14ac:dyDescent="0.35">
      <c r="A18" s="11"/>
      <c r="B18" s="11" t="s">
        <v>61</v>
      </c>
      <c r="C18" s="19">
        <f>C12-C15</f>
        <v>2003.6600000000014</v>
      </c>
      <c r="D18" s="19">
        <f t="shared" ref="D18:L18" si="21">D12-D15</f>
        <v>2242.89</v>
      </c>
      <c r="E18" s="19">
        <f t="shared" si="21"/>
        <v>2725.0400000000013</v>
      </c>
      <c r="F18" s="19">
        <f t="shared" si="21"/>
        <v>2993.76</v>
      </c>
      <c r="G18" s="19">
        <f t="shared" si="21"/>
        <v>3204.0100000000011</v>
      </c>
      <c r="H18" s="19">
        <f t="shared" si="21"/>
        <v>3764.9400000000014</v>
      </c>
      <c r="I18" s="19">
        <f t="shared" si="21"/>
        <v>4156.8199999999979</v>
      </c>
      <c r="J18" s="19">
        <f t="shared" si="21"/>
        <v>4855.6000000000031</v>
      </c>
      <c r="K18" s="19">
        <f t="shared" si="21"/>
        <v>4803.6099999999988</v>
      </c>
      <c r="L18" s="19">
        <f t="shared" si="21"/>
        <v>6259.8399999999956</v>
      </c>
      <c r="M18" s="19">
        <f>SUM(M21:M27)</f>
        <v>8471.0991842972871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outlineLevel="1" x14ac:dyDescent="0.35">
      <c r="B19" s="14" t="s">
        <v>68</v>
      </c>
      <c r="C19" s="15">
        <f>C18/C$6</f>
        <v>0.16396066567542564</v>
      </c>
      <c r="D19" s="15">
        <f t="shared" ref="D19" si="22">D18/D$6</f>
        <v>0.16473354162902507</v>
      </c>
      <c r="E19" s="15">
        <f t="shared" ref="E19" si="23">E18/E$6</f>
        <v>0.19094292186730338</v>
      </c>
      <c r="F19" s="15">
        <f t="shared" ref="F19" si="24">F18/F$6</f>
        <v>0.19876258050895004</v>
      </c>
      <c r="G19" s="15">
        <f t="shared" ref="G19" si="25">G18/G$6</f>
        <v>0.19043659414367703</v>
      </c>
      <c r="H19" s="15">
        <f t="shared" ref="H19" si="26">H18/H$6</f>
        <v>0.19568163000977651</v>
      </c>
      <c r="I19" s="15">
        <f t="shared" ref="I19" si="27">I18/I$6</f>
        <v>0.20566862514688591</v>
      </c>
      <c r="J19" s="15">
        <f t="shared" ref="J19" si="28">J18/J$6</f>
        <v>0.22362856178317034</v>
      </c>
      <c r="K19" s="15">
        <f t="shared" ref="K19" si="29">K18/K$6</f>
        <v>0.16506524798909186</v>
      </c>
      <c r="L19" s="15">
        <f t="shared" ref="L19:M19" si="30">L18/L$6</f>
        <v>0.1815046657459756</v>
      </c>
      <c r="M19" s="15">
        <f t="shared" si="30"/>
        <v>0.23827811645470415</v>
      </c>
    </row>
    <row r="20" spans="1:26" outlineLevel="1" x14ac:dyDescent="0.35"/>
    <row r="21" spans="1:26" outlineLevel="1" x14ac:dyDescent="0.35">
      <c r="B21" s="9" t="s">
        <v>62</v>
      </c>
      <c r="C21" s="16">
        <f>IFERROR('Data Sheet'!B27,0)</f>
        <v>47.99</v>
      </c>
      <c r="D21" s="16">
        <f>IFERROR('Data Sheet'!C27,0)</f>
        <v>42.24</v>
      </c>
      <c r="E21" s="16">
        <f>IFERROR('Data Sheet'!D27,0)</f>
        <v>49</v>
      </c>
      <c r="F21" s="16">
        <f>IFERROR('Data Sheet'!E27,0)</f>
        <v>37.33</v>
      </c>
      <c r="G21" s="16">
        <f>IFERROR('Data Sheet'!F27,0)</f>
        <v>41.47</v>
      </c>
      <c r="H21" s="16">
        <f>IFERROR('Data Sheet'!G27,0)</f>
        <v>110.47</v>
      </c>
      <c r="I21" s="16">
        <f>IFERROR('Data Sheet'!H27,0)</f>
        <v>102.33</v>
      </c>
      <c r="J21" s="16">
        <f>IFERROR('Data Sheet'!I27,0)</f>
        <v>91.63</v>
      </c>
      <c r="K21" s="16">
        <f>IFERROR('Data Sheet'!J27,0)</f>
        <v>95.41</v>
      </c>
      <c r="L21" s="16">
        <f>IFERROR('Data Sheet'!K27,0)</f>
        <v>144.44999999999999</v>
      </c>
      <c r="M21" s="16">
        <f>IFERROR(SUM('Data Sheet'!H46:K46),0)</f>
        <v>189.98000000000002</v>
      </c>
    </row>
    <row r="22" spans="1:26" outlineLevel="1" x14ac:dyDescent="0.35">
      <c r="B22" s="14" t="s">
        <v>68</v>
      </c>
      <c r="C22" s="15">
        <f>C21/C$6</f>
        <v>3.9270496719821081E-3</v>
      </c>
      <c r="D22" s="15">
        <f t="shared" ref="D22" si="31">D21/D$6</f>
        <v>3.1024012762150706E-3</v>
      </c>
      <c r="E22" s="15">
        <f t="shared" ref="E22" si="32">E21/E$6</f>
        <v>3.4334186549547386E-3</v>
      </c>
      <c r="F22" s="15">
        <f t="shared" ref="F22" si="33">F21/F$6</f>
        <v>2.4784241657310885E-3</v>
      </c>
      <c r="G22" s="15">
        <f t="shared" ref="G22" si="34">G21/G$6</f>
        <v>2.4648504714836358E-3</v>
      </c>
      <c r="H22" s="15">
        <f t="shared" ref="H22" si="35">H21/H$6</f>
        <v>5.7416451967840128E-3</v>
      </c>
      <c r="I22" s="15">
        <f t="shared" ref="I22" si="36">I21/I$6</f>
        <v>5.0630218319005502E-3</v>
      </c>
      <c r="J22" s="15">
        <f t="shared" ref="J22" si="37">J21/J$6</f>
        <v>4.2200933182700148E-3</v>
      </c>
      <c r="K22" s="15">
        <f t="shared" ref="K22" si="38">K21/K$6</f>
        <v>3.2785499469439143E-3</v>
      </c>
      <c r="L22" s="15">
        <f t="shared" ref="L22:M22" si="39">L21/L$6</f>
        <v>4.1883417095335005E-3</v>
      </c>
      <c r="M22" s="15">
        <f t="shared" si="39"/>
        <v>5.3438255861739002E-3</v>
      </c>
    </row>
    <row r="23" spans="1:26" outlineLevel="1" x14ac:dyDescent="0.35"/>
    <row r="24" spans="1:26" outlineLevel="1" x14ac:dyDescent="0.35">
      <c r="B24" s="9" t="s">
        <v>63</v>
      </c>
      <c r="C24" s="16">
        <f>IFERROR('Data Sheet'!B26,0)</f>
        <v>245.66</v>
      </c>
      <c r="D24" s="16">
        <f>IFERROR('Data Sheet'!C26,0)</f>
        <v>265.92</v>
      </c>
      <c r="E24" s="16">
        <f>IFERROR('Data Sheet'!D26,0)</f>
        <v>275.58</v>
      </c>
      <c r="F24" s="16">
        <f>IFERROR('Data Sheet'!E26,0)</f>
        <v>334.79</v>
      </c>
      <c r="G24" s="16">
        <f>IFERROR('Data Sheet'!F26,0)</f>
        <v>360.47</v>
      </c>
      <c r="H24" s="16">
        <f>IFERROR('Data Sheet'!G26,0)</f>
        <v>622.14</v>
      </c>
      <c r="I24" s="16">
        <f>IFERROR('Data Sheet'!H26,0)</f>
        <v>780.5</v>
      </c>
      <c r="J24" s="16">
        <f>IFERROR('Data Sheet'!I26,0)</f>
        <v>791.27</v>
      </c>
      <c r="K24" s="16">
        <f>IFERROR('Data Sheet'!J26,0)</f>
        <v>816.36</v>
      </c>
      <c r="L24" s="16">
        <f>IFERROR('Data Sheet'!K26,0)</f>
        <v>858.02</v>
      </c>
      <c r="M24" s="16">
        <f>IFERROR(SUM('Data Sheet'!H45:K45),0)</f>
        <v>847.56000000000006</v>
      </c>
    </row>
    <row r="25" spans="1:26" outlineLevel="1" x14ac:dyDescent="0.35">
      <c r="B25" s="14" t="s">
        <v>68</v>
      </c>
      <c r="C25" s="15">
        <f>C24/C$6</f>
        <v>2.0102500988104288E-2</v>
      </c>
      <c r="D25" s="15">
        <f t="shared" ref="D25" si="40">D24/D$6</f>
        <v>1.953102621617215E-2</v>
      </c>
      <c r="E25" s="15">
        <f t="shared" ref="E25" si="41">E24/E$6</f>
        <v>1.9309826794539322E-2</v>
      </c>
      <c r="F25" s="15">
        <f t="shared" ref="F25" si="42">F24/F$6</f>
        <v>2.2227474590011016E-2</v>
      </c>
      <c r="G25" s="15">
        <f t="shared" ref="G25" si="43">G24/G$6</f>
        <v>2.1425238713665449E-2</v>
      </c>
      <c r="H25" s="15">
        <f t="shared" ref="H25" si="44">H24/H$6</f>
        <v>3.2335540352378074E-2</v>
      </c>
      <c r="I25" s="15">
        <f t="shared" ref="I25" si="45">I24/I$6</f>
        <v>3.8617106809326486E-2</v>
      </c>
      <c r="J25" s="15">
        <f t="shared" ref="J25" si="46">J24/J$6</f>
        <v>3.6442576011650275E-2</v>
      </c>
      <c r="K25" s="15">
        <f t="shared" ref="K25" si="47">K24/K$6</f>
        <v>2.8052374328551871E-2</v>
      </c>
      <c r="L25" s="15">
        <f t="shared" ref="L25:M25" si="48">L24/L$6</f>
        <v>2.4878372818372688E-2</v>
      </c>
      <c r="M25" s="15">
        <f t="shared" si="48"/>
        <v>2.3840471701324091E-2</v>
      </c>
    </row>
    <row r="26" spans="1:26" outlineLevel="1" x14ac:dyDescent="0.35"/>
    <row r="27" spans="1:26" s="2" customFormat="1" outlineLevel="1" x14ac:dyDescent="0.35">
      <c r="A27" s="11"/>
      <c r="B27" s="11" t="s">
        <v>64</v>
      </c>
      <c r="C27" s="19">
        <f>C18-C21-C24</f>
        <v>1710.0100000000014</v>
      </c>
      <c r="D27" s="19">
        <f t="shared" ref="D27:L27" si="49">D18-D21-D24</f>
        <v>1934.73</v>
      </c>
      <c r="E27" s="19">
        <f t="shared" si="49"/>
        <v>2400.4600000000014</v>
      </c>
      <c r="F27" s="19">
        <f t="shared" si="49"/>
        <v>2621.6400000000003</v>
      </c>
      <c r="G27" s="19">
        <f t="shared" si="49"/>
        <v>2802.0700000000015</v>
      </c>
      <c r="H27" s="19">
        <f t="shared" si="49"/>
        <v>3032.3300000000017</v>
      </c>
      <c r="I27" s="19">
        <f t="shared" si="49"/>
        <v>3273.989999999998</v>
      </c>
      <c r="J27" s="19">
        <f t="shared" si="49"/>
        <v>3972.700000000003</v>
      </c>
      <c r="K27" s="19">
        <f t="shared" si="49"/>
        <v>3891.8399999999988</v>
      </c>
      <c r="L27" s="19">
        <f t="shared" si="49"/>
        <v>5257.3699999999953</v>
      </c>
      <c r="M27" s="19">
        <f>IFERROR(SUM('Data Sheet'!H47:K47),0)</f>
        <v>7433.53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outlineLevel="1" x14ac:dyDescent="0.35">
      <c r="B28" s="14" t="s">
        <v>68</v>
      </c>
      <c r="C28" s="15">
        <f>C27/C$6</f>
        <v>0.13993111501533925</v>
      </c>
      <c r="D28" s="15">
        <f t="shared" ref="D28" si="50">D27/D$6</f>
        <v>0.14210011413663787</v>
      </c>
      <c r="E28" s="15">
        <f t="shared" ref="E28" si="51">E27/E$6</f>
        <v>0.16819967641780931</v>
      </c>
      <c r="F28" s="15">
        <f t="shared" ref="F28" si="52">F27/F$6</f>
        <v>0.17405668175320793</v>
      </c>
      <c r="G28" s="15">
        <f t="shared" ref="G28" si="53">G27/G$6</f>
        <v>0.16654650495852796</v>
      </c>
      <c r="H28" s="15">
        <f t="shared" ref="H28" si="54">H27/H$6</f>
        <v>0.15760444446061445</v>
      </c>
      <c r="I28" s="15">
        <f t="shared" ref="I28" si="55">I27/I$6</f>
        <v>0.16198849650565889</v>
      </c>
      <c r="J28" s="15">
        <f t="shared" ref="J28" si="56">J27/J$6</f>
        <v>0.18296589245325004</v>
      </c>
      <c r="K28" s="15">
        <f t="shared" ref="K28" si="57">K27/K$6</f>
        <v>0.13373432371359606</v>
      </c>
      <c r="L28" s="15">
        <f t="shared" ref="L28:M28" si="58">L27/L$6</f>
        <v>0.15243795121806938</v>
      </c>
      <c r="M28" s="15">
        <f t="shared" si="58"/>
        <v>0.20909299826082359</v>
      </c>
    </row>
    <row r="29" spans="1:26" outlineLevel="1" x14ac:dyDescent="0.35"/>
    <row r="30" spans="1:26" outlineLevel="1" x14ac:dyDescent="0.35">
      <c r="B30" s="9" t="s">
        <v>65</v>
      </c>
      <c r="C30" s="16">
        <f>IFERROR('Data Sheet'!B29,0)</f>
        <v>571.51</v>
      </c>
      <c r="D30" s="16">
        <f>IFERROR('Data Sheet'!C29,0)</f>
        <v>649.54</v>
      </c>
      <c r="E30" s="16">
        <f>IFERROR('Data Sheet'!D29,0)</f>
        <v>844.49</v>
      </c>
      <c r="F30" s="16">
        <f>IFERROR('Data Sheet'!E29,0)</f>
        <v>943.29</v>
      </c>
      <c r="G30" s="16">
        <f>IFERROR('Data Sheet'!F29,0)</f>
        <v>1040.96</v>
      </c>
      <c r="H30" s="16">
        <f>IFERROR('Data Sheet'!G29,0)</f>
        <v>1098.06</v>
      </c>
      <c r="I30" s="16">
        <f>IFERROR('Data Sheet'!H29,0)</f>
        <v>854.85</v>
      </c>
      <c r="J30" s="16">
        <f>IFERROR('Data Sheet'!I29,0)</f>
        <v>1097.5999999999999</v>
      </c>
      <c r="K30" s="16">
        <f>IFERROR('Data Sheet'!J29,0)</f>
        <v>1102.9100000000001</v>
      </c>
      <c r="L30" s="16">
        <f>IFERROR('Data Sheet'!K29,0)</f>
        <v>1493.5</v>
      </c>
      <c r="M30" s="16">
        <f>IFERROR(SUM('Data Sheet'!H48:K48),0)</f>
        <v>1892.73</v>
      </c>
    </row>
    <row r="31" spans="1:26" outlineLevel="1" x14ac:dyDescent="0.35">
      <c r="B31" s="14" t="s">
        <v>69</v>
      </c>
      <c r="C31" s="15">
        <f>C30/C27</f>
        <v>0.33421441979871436</v>
      </c>
      <c r="D31" s="15">
        <f t="shared" ref="D31:M31" si="59">D30/D27</f>
        <v>0.33572643211197428</v>
      </c>
      <c r="E31" s="15">
        <f t="shared" si="59"/>
        <v>0.35180340434749985</v>
      </c>
      <c r="F31" s="15">
        <f t="shared" si="59"/>
        <v>0.35980912711127377</v>
      </c>
      <c r="G31" s="15">
        <f t="shared" si="59"/>
        <v>0.37149678630441046</v>
      </c>
      <c r="H31" s="15">
        <f t="shared" si="59"/>
        <v>0.36211757955103807</v>
      </c>
      <c r="I31" s="15">
        <f t="shared" si="59"/>
        <v>0.26110342426213901</v>
      </c>
      <c r="J31" s="15">
        <f t="shared" si="59"/>
        <v>0.2762856495582347</v>
      </c>
      <c r="K31" s="15">
        <f t="shared" si="59"/>
        <v>0.2833903757605658</v>
      </c>
      <c r="L31" s="15">
        <f t="shared" si="59"/>
        <v>0.28407739991668862</v>
      </c>
      <c r="M31" s="15">
        <f t="shared" si="59"/>
        <v>0.25462061766078836</v>
      </c>
    </row>
    <row r="32" spans="1:26" outlineLevel="1" x14ac:dyDescent="0.35"/>
    <row r="33" spans="1:26" s="2" customFormat="1" outlineLevel="1" x14ac:dyDescent="0.35">
      <c r="A33" s="11"/>
      <c r="B33" s="11" t="s">
        <v>66</v>
      </c>
      <c r="C33" s="19">
        <f>C27-C30</f>
        <v>1138.5000000000014</v>
      </c>
      <c r="D33" s="19">
        <f t="shared" ref="D33:L33" si="60">D27-D30</f>
        <v>1285.19</v>
      </c>
      <c r="E33" s="19">
        <f t="shared" si="60"/>
        <v>1555.9700000000014</v>
      </c>
      <c r="F33" s="19">
        <f t="shared" si="60"/>
        <v>1678.3500000000004</v>
      </c>
      <c r="G33" s="19">
        <f t="shared" si="60"/>
        <v>1761.1100000000015</v>
      </c>
      <c r="H33" s="19">
        <f t="shared" si="60"/>
        <v>1934.2700000000018</v>
      </c>
      <c r="I33" s="19">
        <f t="shared" si="60"/>
        <v>2419.1399999999981</v>
      </c>
      <c r="J33" s="19">
        <f t="shared" si="60"/>
        <v>2875.1000000000031</v>
      </c>
      <c r="K33" s="19">
        <f t="shared" si="60"/>
        <v>2788.9299999999985</v>
      </c>
      <c r="L33" s="19">
        <f t="shared" si="60"/>
        <v>3763.8699999999953</v>
      </c>
      <c r="M33" s="19">
        <f>IFERROR(SUM('Data Sheet'!H49:K49),0)</f>
        <v>5437.6500000000005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outlineLevel="1" x14ac:dyDescent="0.35">
      <c r="B34" s="14" t="s">
        <v>70</v>
      </c>
      <c r="C34" s="15">
        <f>C33/C$6</f>
        <v>9.3164118598700468E-2</v>
      </c>
      <c r="D34" s="15">
        <f t="shared" ref="D34" si="61">D33/D$6</f>
        <v>9.4393349814840113E-2</v>
      </c>
      <c r="E34" s="15">
        <f t="shared" ref="E34" si="62">E33/E$6</f>
        <v>0.10902645764387611</v>
      </c>
      <c r="F34" s="15">
        <f t="shared" ref="F34" si="63">F33/F$6</f>
        <v>0.1114294990237014</v>
      </c>
      <c r="G34" s="15">
        <f t="shared" ref="G34" si="64">G33/G$6</f>
        <v>0.10467501359620326</v>
      </c>
      <c r="H34" s="15">
        <f t="shared" ref="H34" si="65">H33/H$6</f>
        <v>0.10053310450605073</v>
      </c>
      <c r="I34" s="15">
        <f t="shared" ref="I34" si="66">I33/I$6</f>
        <v>0.1196927453769558</v>
      </c>
      <c r="J34" s="15">
        <f t="shared" ref="J34" si="67">J33/J$6</f>
        <v>0.13241504200980173</v>
      </c>
      <c r="K34" s="15">
        <f t="shared" ref="K34" si="68">K33/K$6</f>
        <v>9.5835303464314917E-2</v>
      </c>
      <c r="L34" s="15">
        <f t="shared" ref="L34:M34" si="69">L33/L$6</f>
        <v>0.10913377438741322</v>
      </c>
      <c r="M34" s="15">
        <f t="shared" si="69"/>
        <v>0.15295216969501266</v>
      </c>
    </row>
    <row r="35" spans="1:26" outlineLevel="1" x14ac:dyDescent="0.35"/>
    <row r="36" spans="1:26" outlineLevel="1" x14ac:dyDescent="0.35">
      <c r="B36" s="9" t="s">
        <v>71</v>
      </c>
      <c r="C36" s="9">
        <f>IFERROR('Data Sheet'!B93,0)</f>
        <v>95.92</v>
      </c>
      <c r="D36" s="9">
        <f>IFERROR('Data Sheet'!C93,0)</f>
        <v>95.92</v>
      </c>
      <c r="E36" s="9">
        <f>IFERROR('Data Sheet'!D93,0)</f>
        <v>95.92</v>
      </c>
      <c r="F36" s="9">
        <f>IFERROR('Data Sheet'!E93,0)</f>
        <v>95.92</v>
      </c>
      <c r="G36" s="9">
        <f>IFERROR('Data Sheet'!F93,0)</f>
        <v>95.92</v>
      </c>
      <c r="H36" s="9">
        <f>IFERROR('Data Sheet'!G93,0)</f>
        <v>95.92</v>
      </c>
      <c r="I36" s="9">
        <f>IFERROR('Data Sheet'!H93,0)</f>
        <v>95.92</v>
      </c>
      <c r="J36" s="9">
        <f>IFERROR('Data Sheet'!I93,0)</f>
        <v>95.92</v>
      </c>
      <c r="K36" s="9">
        <f>IFERROR('Data Sheet'!J93,0)</f>
        <v>95.92</v>
      </c>
      <c r="L36" s="9">
        <f>IFERROR('Data Sheet'!K93,0)</f>
        <v>95.92</v>
      </c>
    </row>
    <row r="37" spans="1:26" outlineLevel="1" x14ac:dyDescent="0.35"/>
    <row r="38" spans="1:26" outlineLevel="1" x14ac:dyDescent="0.35">
      <c r="B38" s="9" t="s">
        <v>72</v>
      </c>
      <c r="C38" s="16">
        <f>IFERROR(C33/C36,0)</f>
        <v>11.869266055045886</v>
      </c>
      <c r="D38" s="16">
        <f t="shared" ref="D38:L38" si="70">IFERROR(D33/D36,0)</f>
        <v>13.398561301084237</v>
      </c>
      <c r="E38" s="16">
        <f t="shared" si="70"/>
        <v>16.221538782318614</v>
      </c>
      <c r="F38" s="16">
        <f t="shared" si="70"/>
        <v>17.497393661384489</v>
      </c>
      <c r="G38" s="16">
        <f t="shared" si="70"/>
        <v>18.360195996663901</v>
      </c>
      <c r="H38" s="16">
        <f t="shared" si="70"/>
        <v>20.16545037531278</v>
      </c>
      <c r="I38" s="16">
        <f t="shared" si="70"/>
        <v>25.220391993327752</v>
      </c>
      <c r="J38" s="16">
        <f t="shared" si="70"/>
        <v>29.973936613844902</v>
      </c>
      <c r="K38" s="16">
        <f t="shared" si="70"/>
        <v>29.075583819849857</v>
      </c>
      <c r="L38" s="16">
        <f t="shared" si="70"/>
        <v>39.23967889908252</v>
      </c>
    </row>
    <row r="39" spans="1:26" outlineLevel="1" x14ac:dyDescent="0.35">
      <c r="B39" s="14" t="s">
        <v>73</v>
      </c>
      <c r="C39" s="14">
        <v>0</v>
      </c>
      <c r="D39" s="15">
        <f>D38/C38-1</f>
        <v>0.12884497145366591</v>
      </c>
      <c r="E39" s="15">
        <f t="shared" ref="E39:L39" si="71">E38/D38-1</f>
        <v>0.21069258241972122</v>
      </c>
      <c r="F39" s="15">
        <f t="shared" si="71"/>
        <v>7.8651902028958443E-2</v>
      </c>
      <c r="G39" s="15">
        <f t="shared" si="71"/>
        <v>4.9310334554771851E-2</v>
      </c>
      <c r="H39" s="15">
        <f t="shared" si="71"/>
        <v>9.8324352255112046E-2</v>
      </c>
      <c r="I39" s="15">
        <f t="shared" si="71"/>
        <v>0.25067338065523193</v>
      </c>
      <c r="J39" s="15">
        <f t="shared" si="71"/>
        <v>0.18848020370875829</v>
      </c>
      <c r="K39" s="15">
        <f t="shared" si="71"/>
        <v>-2.9971131438908061E-2</v>
      </c>
      <c r="L39" s="15">
        <f t="shared" si="71"/>
        <v>0.34957492658474676</v>
      </c>
      <c r="M39" s="15"/>
    </row>
    <row r="40" spans="1:26" outlineLevel="1" x14ac:dyDescent="0.35"/>
    <row r="41" spans="1:26" outlineLevel="1" x14ac:dyDescent="0.35">
      <c r="B41" s="9" t="s">
        <v>74</v>
      </c>
      <c r="C41" s="16">
        <f>IFERROR(IF(C38&gt;=0,'Data Sheet'!B31/'Historical Financials'!C36,0),0)</f>
        <v>5.3000417014178485</v>
      </c>
      <c r="D41" s="16">
        <f>IFERROR(IF(D38&gt;=0,'Data Sheet'!C31/'Historical Financials'!D36,0),0)</f>
        <v>6.0999791492910758</v>
      </c>
      <c r="E41" s="16">
        <f>IFERROR(IF(E38&gt;=0,'Data Sheet'!D31/'Historical Financials'!E36,0),0)</f>
        <v>7.5</v>
      </c>
      <c r="F41" s="16">
        <f>IFERROR(IF(F38&gt;=0,'Data Sheet'!E31/'Historical Financials'!F36,0),0)</f>
        <v>10.300041701417848</v>
      </c>
      <c r="G41" s="16">
        <f>IFERROR(IF(G38&gt;=0,'Data Sheet'!F31/'Historical Financials'!G36,0),0)</f>
        <v>8.6999582985821515</v>
      </c>
      <c r="H41" s="16">
        <f>IFERROR(IF(H38&gt;=0,'Data Sheet'!G31/'Historical Financials'!H36,0),0)</f>
        <v>10.5</v>
      </c>
      <c r="I41" s="16">
        <f>IFERROR(IF(I38&gt;=0,'Data Sheet'!H31/'Historical Financials'!I36,0),0)</f>
        <v>12</v>
      </c>
      <c r="J41" s="16">
        <f>IFERROR(IF(J38&gt;=0,'Data Sheet'!I31/'Historical Financials'!J36,0),0)</f>
        <v>17.849979149291077</v>
      </c>
      <c r="K41" s="16">
        <f>IFERROR(IF(K38&gt;=0,'Data Sheet'!J31/'Historical Financials'!K36,0),0)</f>
        <v>19.150020850708923</v>
      </c>
      <c r="L41" s="16">
        <f>IFERROR(IF(L38&gt;=0,'Data Sheet'!K31/'Historical Financials'!L36,0),0)</f>
        <v>25.650020850708923</v>
      </c>
    </row>
    <row r="42" spans="1:26" outlineLevel="1" x14ac:dyDescent="0.35">
      <c r="B42" s="14" t="s">
        <v>75</v>
      </c>
      <c r="C42" s="15">
        <f>C41/C38</f>
        <v>0.44653491436100079</v>
      </c>
      <c r="D42" s="15">
        <f t="shared" ref="D42:L42" si="72">D41/D38</f>
        <v>0.45527120503583124</v>
      </c>
      <c r="E42" s="15">
        <f t="shared" si="72"/>
        <v>0.46234824578880013</v>
      </c>
      <c r="F42" s="15">
        <f t="shared" si="72"/>
        <v>0.5886614830041409</v>
      </c>
      <c r="G42" s="15">
        <f t="shared" si="72"/>
        <v>0.47384887939992354</v>
      </c>
      <c r="H42" s="15">
        <f t="shared" si="72"/>
        <v>0.52069256101785122</v>
      </c>
      <c r="I42" s="15">
        <f t="shared" si="72"/>
        <v>0.47580545152409576</v>
      </c>
      <c r="J42" s="15">
        <f t="shared" si="72"/>
        <v>0.59551667768077576</v>
      </c>
      <c r="K42" s="15">
        <f t="shared" si="72"/>
        <v>0.65862893654555732</v>
      </c>
      <c r="L42" s="15">
        <f t="shared" si="72"/>
        <v>0.65367560516170931</v>
      </c>
      <c r="M42" s="15"/>
    </row>
    <row r="43" spans="1:26" outlineLevel="1" x14ac:dyDescent="0.35"/>
    <row r="44" spans="1:26" outlineLevel="1" x14ac:dyDescent="0.35">
      <c r="B44" s="9" t="s">
        <v>76</v>
      </c>
      <c r="C44" s="18">
        <f>IFERROR(IF(C38&gt;=0,1-C42,0),0)</f>
        <v>0.55346508563899921</v>
      </c>
      <c r="D44" s="18">
        <f t="shared" ref="D44:L44" si="73">IFERROR(IF(D38&gt;=0,1-D42,0),0)</f>
        <v>0.54472879496416882</v>
      </c>
      <c r="E44" s="18">
        <f t="shared" si="73"/>
        <v>0.53765175421119982</v>
      </c>
      <c r="F44" s="18">
        <f t="shared" si="73"/>
        <v>0.4113385169958591</v>
      </c>
      <c r="G44" s="18">
        <f t="shared" si="73"/>
        <v>0.52615112060007641</v>
      </c>
      <c r="H44" s="18">
        <f t="shared" si="73"/>
        <v>0.47930743898214878</v>
      </c>
      <c r="I44" s="18">
        <f t="shared" si="73"/>
        <v>0.5241945484759043</v>
      </c>
      <c r="J44" s="18">
        <f t="shared" si="73"/>
        <v>0.40448332231922424</v>
      </c>
      <c r="K44" s="18">
        <f t="shared" si="73"/>
        <v>0.34137106345444268</v>
      </c>
      <c r="L44" s="18">
        <f t="shared" si="73"/>
        <v>0.34632439483829069</v>
      </c>
    </row>
    <row r="46" spans="1:26" x14ac:dyDescent="0.35">
      <c r="B46" s="12" t="s">
        <v>77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26" hidden="1" outlineLevel="1" x14ac:dyDescent="0.35">
      <c r="B47" s="9" t="s">
        <v>10</v>
      </c>
      <c r="C47" s="16">
        <f>IFERROR(VLOOKUP($B47,'Data Sheet'!$A$57:$K$69,2,FALSE),0)</f>
        <v>95.92</v>
      </c>
      <c r="D47" s="16">
        <f>IFERROR(VLOOKUP($B47,'Data Sheet'!$A$57:$K$69,3,FALSE),0)</f>
        <v>95.92</v>
      </c>
      <c r="E47" s="16">
        <f>IFERROR(VLOOKUP($B47,'Data Sheet'!$A$57:$K$69,4,FALSE),0)</f>
        <v>95.92</v>
      </c>
      <c r="F47" s="16">
        <f>IFERROR(VLOOKUP($B47,'Data Sheet'!$A$57:$K$69,5,FALSE),0)</f>
        <v>95.92</v>
      </c>
      <c r="G47" s="16">
        <f>IFERROR(VLOOKUP($B47,'Data Sheet'!$A$57:$K$69,6,FALSE),0)</f>
        <v>95.92</v>
      </c>
      <c r="H47" s="16">
        <f>IFERROR(VLOOKUP($B47,'Data Sheet'!$A$57:$K$69,7,FALSE),0)</f>
        <v>95.92</v>
      </c>
      <c r="I47" s="16">
        <f>IFERROR(VLOOKUP($B47,'Data Sheet'!$A$57:$K$69,8,FALSE),0)</f>
        <v>95.92</v>
      </c>
      <c r="J47" s="16">
        <f>IFERROR(VLOOKUP($B47,'Data Sheet'!$A$57:$K$69,9,FALSE),0)</f>
        <v>95.92</v>
      </c>
      <c r="K47" s="16">
        <f>IFERROR(VLOOKUP($B47,'Data Sheet'!$A$57:$K$69,10,FALSE),0)</f>
        <v>95.92</v>
      </c>
      <c r="L47" s="16">
        <f>IFERROR(VLOOKUP($B47,'Data Sheet'!$A$57:$K$69,11,FALSE),0)</f>
        <v>95.92</v>
      </c>
    </row>
    <row r="48" spans="1:26" hidden="1" outlineLevel="1" x14ac:dyDescent="0.35">
      <c r="B48" s="9" t="s">
        <v>11</v>
      </c>
      <c r="C48" s="16">
        <f>IFERROR(VLOOKUP($B48,'Data Sheet'!$A$57:$K$69,2,FALSE),0)</f>
        <v>3943.3</v>
      </c>
      <c r="D48" s="16">
        <f>IFERROR(VLOOKUP($B48,'Data Sheet'!$A$57:$K$69,3,FALSE),0)</f>
        <v>4646.4399999999996</v>
      </c>
      <c r="E48" s="16">
        <f>IFERROR(VLOOKUP($B48,'Data Sheet'!$A$57:$K$69,4,FALSE),0)</f>
        <v>6428.9</v>
      </c>
      <c r="F48" s="16">
        <f>IFERROR(VLOOKUP($B48,'Data Sheet'!$A$57:$K$69,5,FALSE),0)</f>
        <v>7507.97</v>
      </c>
      <c r="G48" s="16">
        <f>IFERROR(VLOOKUP($B48,'Data Sheet'!$A$57:$K$69,6,FALSE),0)</f>
        <v>8314.31</v>
      </c>
      <c r="H48" s="16">
        <f>IFERROR(VLOOKUP($B48,'Data Sheet'!$A$57:$K$69,7,FALSE),0)</f>
        <v>9374.6299999999992</v>
      </c>
      <c r="I48" s="16">
        <f>IFERROR(VLOOKUP($B48,'Data Sheet'!$A$57:$K$69,8,FALSE),0)</f>
        <v>10034.24</v>
      </c>
      <c r="J48" s="16">
        <f>IFERROR(VLOOKUP($B48,'Data Sheet'!$A$57:$K$69,9,FALSE),0)</f>
        <v>12710.37</v>
      </c>
      <c r="K48" s="16">
        <f>IFERROR(VLOOKUP($B48,'Data Sheet'!$A$57:$K$69,10,FALSE),0)</f>
        <v>13715.64</v>
      </c>
      <c r="L48" s="16">
        <f>IFERROR(VLOOKUP($B48,'Data Sheet'!$A$57:$K$69,11,FALSE),0)</f>
        <v>15896.31</v>
      </c>
    </row>
    <row r="49" spans="1:26" hidden="1" outlineLevel="1" x14ac:dyDescent="0.35">
      <c r="B49" s="9" t="s">
        <v>35</v>
      </c>
      <c r="C49" s="16">
        <f>IFERROR(VLOOKUP($B49,'Data Sheet'!$A$57:$K$69,2,FALSE),0)</f>
        <v>249.15</v>
      </c>
      <c r="D49" s="16">
        <f>IFERROR(VLOOKUP($B49,'Data Sheet'!$A$57:$K$69,3,FALSE),0)</f>
        <v>418.17</v>
      </c>
      <c r="E49" s="16">
        <f>IFERROR(VLOOKUP($B49,'Data Sheet'!$A$57:$K$69,4,FALSE),0)</f>
        <v>323.29000000000002</v>
      </c>
      <c r="F49" s="16">
        <f>IFERROR(VLOOKUP($B49,'Data Sheet'!$A$57:$K$69,5,FALSE),0)</f>
        <v>560.34</v>
      </c>
      <c r="G49" s="16">
        <f>IFERROR(VLOOKUP($B49,'Data Sheet'!$A$57:$K$69,6,FALSE),0)</f>
        <v>533.42999999999995</v>
      </c>
      <c r="H49" s="16">
        <f>IFERROR(VLOOKUP($B49,'Data Sheet'!$A$57:$K$69,7,FALSE),0)</f>
        <v>1319.6</v>
      </c>
      <c r="I49" s="16">
        <f>IFERROR(VLOOKUP($B49,'Data Sheet'!$A$57:$K$69,8,FALSE),0)</f>
        <v>1118.5</v>
      </c>
      <c r="J49" s="16">
        <f>IFERROR(VLOOKUP($B49,'Data Sheet'!$A$57:$K$69,9,FALSE),0)</f>
        <v>1093.1199999999999</v>
      </c>
      <c r="K49" s="16">
        <f>IFERROR(VLOOKUP($B49,'Data Sheet'!$A$57:$K$69,10,FALSE),0)</f>
        <v>1586.88</v>
      </c>
      <c r="L49" s="16">
        <f>IFERROR(VLOOKUP($B49,'Data Sheet'!$A$57:$K$69,11,FALSE),0)</f>
        <v>1932.62</v>
      </c>
    </row>
    <row r="50" spans="1:26" hidden="1" outlineLevel="1" x14ac:dyDescent="0.35">
      <c r="B50" s="9" t="s">
        <v>36</v>
      </c>
      <c r="C50" s="16">
        <f>IFERROR(VLOOKUP($B50,'Data Sheet'!$A$57:$K$69,2,FALSE),0)</f>
        <v>3787.03</v>
      </c>
      <c r="D50" s="16">
        <f>IFERROR(VLOOKUP($B50,'Data Sheet'!$A$57:$K$69,3,FALSE),0)</f>
        <v>3753.97</v>
      </c>
      <c r="E50" s="16">
        <f>IFERROR(VLOOKUP($B50,'Data Sheet'!$A$57:$K$69,4,FALSE),0)</f>
        <v>3710.92</v>
      </c>
      <c r="F50" s="16">
        <f>IFERROR(VLOOKUP($B50,'Data Sheet'!$A$57:$K$69,5,FALSE),0)</f>
        <v>4240.96</v>
      </c>
      <c r="G50" s="16">
        <f>IFERROR(VLOOKUP($B50,'Data Sheet'!$A$57:$K$69,6,FALSE),0)</f>
        <v>4819.82</v>
      </c>
      <c r="H50" s="16">
        <f>IFERROR(VLOOKUP($B50,'Data Sheet'!$A$57:$K$69,7,FALSE),0)</f>
        <v>5458.69</v>
      </c>
      <c r="I50" s="16">
        <f>IFERROR(VLOOKUP($B50,'Data Sheet'!$A$57:$K$69,8,FALSE),0)</f>
        <v>4889.3100000000004</v>
      </c>
      <c r="J50" s="16">
        <f>IFERROR(VLOOKUP($B50,'Data Sheet'!$A$57:$K$69,9,FALSE),0)</f>
        <v>6455.93</v>
      </c>
      <c r="K50" s="16">
        <f>IFERROR(VLOOKUP($B50,'Data Sheet'!$A$57:$K$69,10,FALSE),0)</f>
        <v>7559.99</v>
      </c>
      <c r="L50" s="16">
        <f>IFERROR(VLOOKUP($B50,'Data Sheet'!$A$57:$K$69,11,FALSE),0)</f>
        <v>7854.48</v>
      </c>
    </row>
    <row r="51" spans="1:26" s="2" customFormat="1" hidden="1" outlineLevel="1" x14ac:dyDescent="0.35">
      <c r="A51" s="11"/>
      <c r="B51" s="11" t="s">
        <v>78</v>
      </c>
      <c r="C51" s="19">
        <f>SUM(C47:C50)</f>
        <v>8075.4</v>
      </c>
      <c r="D51" s="19">
        <f t="shared" ref="D51:L51" si="74">SUM(D47:D50)</f>
        <v>8914.5</v>
      </c>
      <c r="E51" s="19">
        <f t="shared" si="74"/>
        <v>10559.029999999999</v>
      </c>
      <c r="F51" s="19">
        <f t="shared" si="74"/>
        <v>12405.19</v>
      </c>
      <c r="G51" s="19">
        <f t="shared" si="74"/>
        <v>13763.48</v>
      </c>
      <c r="H51" s="19">
        <f t="shared" si="74"/>
        <v>16248.84</v>
      </c>
      <c r="I51" s="19">
        <f t="shared" si="74"/>
        <v>16137.970000000001</v>
      </c>
      <c r="J51" s="19">
        <f t="shared" si="74"/>
        <v>20355.34</v>
      </c>
      <c r="K51" s="19">
        <f t="shared" si="74"/>
        <v>22958.43</v>
      </c>
      <c r="L51" s="19">
        <f t="shared" si="74"/>
        <v>25779.329999999998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idden="1" outlineLevel="1" x14ac:dyDescent="0.35"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26" hidden="1" outlineLevel="1" x14ac:dyDescent="0.35">
      <c r="B53" s="9" t="s">
        <v>79</v>
      </c>
      <c r="C53" s="16">
        <f>IFERROR('Data Sheet'!B62,0)</f>
        <v>2561.58</v>
      </c>
      <c r="D53" s="16">
        <f>IFERROR('Data Sheet'!C62,0)</f>
        <v>2660.04</v>
      </c>
      <c r="E53" s="16">
        <f>IFERROR('Data Sheet'!D62,0)</f>
        <v>3416.35</v>
      </c>
      <c r="F53" s="16">
        <f>IFERROR('Data Sheet'!E62,0)</f>
        <v>3303.74</v>
      </c>
      <c r="G53" s="16">
        <f>IFERROR('Data Sheet'!F62,0)</f>
        <v>3732.24</v>
      </c>
      <c r="H53" s="16">
        <f>IFERROR('Data Sheet'!G62,0)</f>
        <v>6496.56</v>
      </c>
      <c r="I53" s="16">
        <f>IFERROR('Data Sheet'!H62,0)</f>
        <v>6272.31</v>
      </c>
      <c r="J53" s="16">
        <f>IFERROR('Data Sheet'!I62,0)</f>
        <v>5858.52</v>
      </c>
      <c r="K53" s="16">
        <f>IFERROR('Data Sheet'!J62,0)</f>
        <v>5519.06</v>
      </c>
      <c r="L53" s="16">
        <f>IFERROR('Data Sheet'!K62,0)</f>
        <v>5770.46</v>
      </c>
    </row>
    <row r="54" spans="1:26" hidden="1" outlineLevel="1" x14ac:dyDescent="0.35">
      <c r="B54" s="9" t="s">
        <v>14</v>
      </c>
      <c r="C54" s="16">
        <f>IFERROR(INDEX('Data Sheet'!$A$57:$K$69,MATCH('Historical Financials'!$B54,'Data Sheet'!$A$57:$A$69,0),MATCH('Historical Financials'!C$3,'Data Sheet'!$A$56:$K$56,0)),0)</f>
        <v>71.599999999999994</v>
      </c>
      <c r="D54" s="16">
        <f>IFERROR(INDEX('Data Sheet'!$A$57:$K$69,MATCH('Historical Financials'!$B54,'Data Sheet'!$A$57:$A$69,0),MATCH('Historical Financials'!D$3,'Data Sheet'!$A$56:$K$56,0)),0)</f>
        <v>196</v>
      </c>
      <c r="E54" s="16">
        <f>IFERROR(INDEX('Data Sheet'!$A$57:$K$69,MATCH('Historical Financials'!$B54,'Data Sheet'!$A$57:$A$69,0),MATCH('Historical Financials'!E$3,'Data Sheet'!$A$56:$K$56,0)),0)</f>
        <v>106.59</v>
      </c>
      <c r="F54" s="16">
        <f>IFERROR(INDEX('Data Sheet'!$A$57:$K$69,MATCH('Historical Financials'!$B54,'Data Sheet'!$A$57:$A$69,0),MATCH('Historical Financials'!F$3,'Data Sheet'!$A$56:$K$56,0)),0)</f>
        <v>257.54000000000002</v>
      </c>
      <c r="G54" s="16">
        <f>IFERROR(INDEX('Data Sheet'!$A$57:$K$69,MATCH('Historical Financials'!$B54,'Data Sheet'!$A$57:$A$69,0),MATCH('Historical Financials'!G$3,'Data Sheet'!$A$56:$K$56,0)),0)</f>
        <v>1405.11</v>
      </c>
      <c r="H54" s="16">
        <f>IFERROR(INDEX('Data Sheet'!$A$57:$K$69,MATCH('Historical Financials'!$B54,'Data Sheet'!$A$57:$A$69,0),MATCH('Historical Financials'!H$3,'Data Sheet'!$A$56:$K$56,0)),0)</f>
        <v>209.67</v>
      </c>
      <c r="I54" s="16">
        <f>IFERROR(INDEX('Data Sheet'!$A$57:$K$69,MATCH('Historical Financials'!$B54,'Data Sheet'!$A$57:$A$69,0),MATCH('Historical Financials'!I$3,'Data Sheet'!$A$56:$K$56,0)),0)</f>
        <v>140.24</v>
      </c>
      <c r="J54" s="16">
        <f>IFERROR(INDEX('Data Sheet'!$A$57:$K$69,MATCH('Historical Financials'!$B54,'Data Sheet'!$A$57:$A$69,0),MATCH('Historical Financials'!J$3,'Data Sheet'!$A$56:$K$56,0)),0)</f>
        <v>182.98</v>
      </c>
      <c r="K54" s="16">
        <f>IFERROR(INDEX('Data Sheet'!$A$57:$K$69,MATCH('Historical Financials'!$B54,'Data Sheet'!$A$57:$A$69,0),MATCH('Historical Financials'!K$3,'Data Sheet'!$A$56:$K$56,0)),0)</f>
        <v>426.43</v>
      </c>
      <c r="L54" s="16">
        <f>IFERROR(INDEX('Data Sheet'!$A$57:$K$69,MATCH('Historical Financials'!$B54,'Data Sheet'!$A$57:$A$69,0),MATCH('Historical Financials'!L$3,'Data Sheet'!$A$56:$K$56,0)),0)</f>
        <v>1019.59</v>
      </c>
    </row>
    <row r="55" spans="1:26" hidden="1" outlineLevel="1" x14ac:dyDescent="0.35">
      <c r="B55" s="9" t="s">
        <v>15</v>
      </c>
      <c r="C55" s="16">
        <f>IFERROR(INDEX('Data Sheet'!$A$57:$K$69,MATCH('Historical Financials'!$B55,'Data Sheet'!$A$57:$A$69,0),MATCH('Historical Financials'!C$3,'Data Sheet'!$A$56:$K$56,0)),0)</f>
        <v>1423.55</v>
      </c>
      <c r="D55" s="16">
        <f>IFERROR(INDEX('Data Sheet'!$A$57:$K$69,MATCH('Historical Financials'!$B55,'Data Sheet'!$A$57:$A$69,0),MATCH('Historical Financials'!D$3,'Data Sheet'!$A$56:$K$56,0)),0)</f>
        <v>1587.79</v>
      </c>
      <c r="E55" s="16">
        <f>IFERROR(INDEX('Data Sheet'!$A$57:$K$69,MATCH('Historical Financials'!$B55,'Data Sheet'!$A$57:$A$69,0),MATCH('Historical Financials'!E$3,'Data Sheet'!$A$56:$K$56,0)),0)</f>
        <v>2712.13</v>
      </c>
      <c r="F55" s="16">
        <f>IFERROR(INDEX('Data Sheet'!$A$57:$K$69,MATCH('Historical Financials'!$B55,'Data Sheet'!$A$57:$A$69,0),MATCH('Historical Financials'!F$3,'Data Sheet'!$A$56:$K$56,0)),0)</f>
        <v>2651.99</v>
      </c>
      <c r="G55" s="16">
        <f>IFERROR(INDEX('Data Sheet'!$A$57:$K$69,MATCH('Historical Financials'!$B55,'Data Sheet'!$A$57:$A$69,0),MATCH('Historical Financials'!G$3,'Data Sheet'!$A$56:$K$56,0)),0)</f>
        <v>2140.6999999999998</v>
      </c>
      <c r="H55" s="16">
        <f>IFERROR(INDEX('Data Sheet'!$A$57:$K$69,MATCH('Historical Financials'!$B55,'Data Sheet'!$A$57:$A$69,0),MATCH('Historical Financials'!H$3,'Data Sheet'!$A$56:$K$56,0)),0)</f>
        <v>2568.58</v>
      </c>
      <c r="I55" s="16">
        <f>IFERROR(INDEX('Data Sheet'!$A$57:$K$69,MATCH('Historical Financials'!$B55,'Data Sheet'!$A$57:$A$69,0),MATCH('Historical Financials'!I$3,'Data Sheet'!$A$56:$K$56,0)),0)</f>
        <v>2018.85</v>
      </c>
      <c r="J55" s="16">
        <f>IFERROR(INDEX('Data Sheet'!$A$57:$K$69,MATCH('Historical Financials'!$B55,'Data Sheet'!$A$57:$A$69,0),MATCH('Historical Financials'!J$3,'Data Sheet'!$A$56:$K$56,0)),0)</f>
        <v>4736.8</v>
      </c>
      <c r="K55" s="16">
        <f>IFERROR(INDEX('Data Sheet'!$A$57:$K$69,MATCH('Historical Financials'!$B55,'Data Sheet'!$A$57:$A$69,0),MATCH('Historical Financials'!K$3,'Data Sheet'!$A$56:$K$56,0)),0)</f>
        <v>3247.53</v>
      </c>
      <c r="L55" s="16">
        <f>IFERROR(INDEX('Data Sheet'!$A$57:$K$69,MATCH('Historical Financials'!$B55,'Data Sheet'!$A$57:$A$69,0),MATCH('Historical Financials'!L$3,'Data Sheet'!$A$56:$K$56,0)),0)</f>
        <v>4261.71</v>
      </c>
    </row>
    <row r="56" spans="1:26" hidden="1" outlineLevel="1" x14ac:dyDescent="0.35">
      <c r="B56" s="9" t="s">
        <v>37</v>
      </c>
      <c r="C56" s="16">
        <f>IFERROR('Data Sheet'!B65-SUM('Data Sheet'!B67:B69),0)</f>
        <v>609.51000000000022</v>
      </c>
      <c r="D56" s="16">
        <f>IFERROR('Data Sheet'!C65-SUM('Data Sheet'!C67:C69),0)</f>
        <v>825.69</v>
      </c>
      <c r="E56" s="16">
        <f>IFERROR('Data Sheet'!D65-SUM('Data Sheet'!D67:D69),0)</f>
        <v>714.68000000000029</v>
      </c>
      <c r="F56" s="16">
        <f>IFERROR('Data Sheet'!E65-SUM('Data Sheet'!E67:E69),0)</f>
        <v>1317.17</v>
      </c>
      <c r="G56" s="16">
        <f>IFERROR('Data Sheet'!F65-SUM('Data Sheet'!F67:F69),0)</f>
        <v>1691.8400000000001</v>
      </c>
      <c r="H56" s="16">
        <f>IFERROR('Data Sheet'!G65-SUM('Data Sheet'!G67:G69),0)</f>
        <v>1471.9599999999991</v>
      </c>
      <c r="I56" s="16">
        <f>IFERROR('Data Sheet'!H65-SUM('Data Sheet'!H67:H69),0)</f>
        <v>1738.71</v>
      </c>
      <c r="J56" s="16">
        <f>IFERROR('Data Sheet'!I65-SUM('Data Sheet'!I67:I69),0)</f>
        <v>2565.5200000000004</v>
      </c>
      <c r="K56" s="16">
        <f>IFERROR('Data Sheet'!J65-SUM('Data Sheet'!J67:J69),0)</f>
        <v>2876.66</v>
      </c>
      <c r="L56" s="16">
        <f>IFERROR('Data Sheet'!K65-SUM('Data Sheet'!K67:K69),0)</f>
        <v>3036.17</v>
      </c>
    </row>
    <row r="57" spans="1:26" s="2" customFormat="1" hidden="1" outlineLevel="1" x14ac:dyDescent="0.35">
      <c r="A57" s="11"/>
      <c r="B57" s="11" t="s">
        <v>80</v>
      </c>
      <c r="C57" s="19">
        <f>SUM(C53:C56)</f>
        <v>4666.24</v>
      </c>
      <c r="D57" s="19">
        <f t="shared" ref="D57:L57" si="75">SUM(D53:D56)</f>
        <v>5269.52</v>
      </c>
      <c r="E57" s="19">
        <f t="shared" si="75"/>
        <v>6949.75</v>
      </c>
      <c r="F57" s="19">
        <f t="shared" si="75"/>
        <v>7530.44</v>
      </c>
      <c r="G57" s="19">
        <f t="shared" si="75"/>
        <v>8969.89</v>
      </c>
      <c r="H57" s="19">
        <f t="shared" si="75"/>
        <v>10746.77</v>
      </c>
      <c r="I57" s="19">
        <f t="shared" si="75"/>
        <v>10170.11</v>
      </c>
      <c r="J57" s="19">
        <f t="shared" si="75"/>
        <v>13343.82</v>
      </c>
      <c r="K57" s="19">
        <f t="shared" si="75"/>
        <v>12069.68</v>
      </c>
      <c r="L57" s="19">
        <f t="shared" si="75"/>
        <v>14087.93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idden="1" outlineLevel="1" x14ac:dyDescent="0.35"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26" hidden="1" outlineLevel="1" x14ac:dyDescent="0.35">
      <c r="B59" s="9" t="s">
        <v>42</v>
      </c>
      <c r="C59" s="16">
        <f>IFERROR(INDEX('Data Sheet'!$A$57:$K$69,MATCH('Historical Financials'!$B59,'Data Sheet'!$A$57:$A$69,0),MATCH('Historical Financials'!C$3,'Data Sheet'!$A$56:$K$56,0)),0)</f>
        <v>1110.3</v>
      </c>
      <c r="D59" s="16">
        <f>IFERROR(INDEX('Data Sheet'!$A$57:$K$69,MATCH('Historical Financials'!$B59,'Data Sheet'!$A$57:$A$69,0),MATCH('Historical Financials'!D$3,'Data Sheet'!$A$56:$K$56,0)),0)</f>
        <v>1182.07</v>
      </c>
      <c r="E59" s="16">
        <f>IFERROR(INDEX('Data Sheet'!$A$57:$K$69,MATCH('Historical Financials'!$B59,'Data Sheet'!$A$57:$A$69,0),MATCH('Historical Financials'!E$3,'Data Sheet'!$A$56:$K$56,0)),0)</f>
        <v>1186.8399999999999</v>
      </c>
      <c r="F59" s="16">
        <f>IFERROR(INDEX('Data Sheet'!$A$57:$K$69,MATCH('Historical Financials'!$B59,'Data Sheet'!$A$57:$A$69,0),MATCH('Historical Financials'!F$3,'Data Sheet'!$A$56:$K$56,0)),0)</f>
        <v>1446.6</v>
      </c>
      <c r="G59" s="16">
        <f>IFERROR(INDEX('Data Sheet'!$A$57:$K$69,MATCH('Historical Financials'!$B59,'Data Sheet'!$A$57:$A$69,0),MATCH('Historical Financials'!G$3,'Data Sheet'!$A$56:$K$56,0)),0)</f>
        <v>1730.63</v>
      </c>
      <c r="H59" s="16">
        <f>IFERROR(INDEX('Data Sheet'!$A$57:$K$69,MATCH('Historical Financials'!$B59,'Data Sheet'!$A$57:$A$69,0),MATCH('Historical Financials'!H$3,'Data Sheet'!$A$56:$K$56,0)),0)</f>
        <v>1907.33</v>
      </c>
      <c r="I59" s="16">
        <f>IFERROR(INDEX('Data Sheet'!$A$57:$K$69,MATCH('Historical Financials'!$B59,'Data Sheet'!$A$57:$A$69,0),MATCH('Historical Financials'!I$3,'Data Sheet'!$A$56:$K$56,0)),0)</f>
        <v>1795.22</v>
      </c>
      <c r="J59" s="16">
        <f>IFERROR(INDEX('Data Sheet'!$A$57:$K$69,MATCH('Historical Financials'!$B59,'Data Sheet'!$A$57:$A$69,0),MATCH('Historical Financials'!J$3,'Data Sheet'!$A$56:$K$56,0)),0)</f>
        <v>2602.17</v>
      </c>
      <c r="K59" s="16">
        <f>IFERROR(INDEX('Data Sheet'!$A$57:$K$69,MATCH('Historical Financials'!$B59,'Data Sheet'!$A$57:$A$69,0),MATCH('Historical Financials'!K$3,'Data Sheet'!$A$56:$K$56,0)),0)</f>
        <v>3871.44</v>
      </c>
      <c r="L59" s="16">
        <f>IFERROR(INDEX('Data Sheet'!$A$57:$K$69,MATCH('Historical Financials'!$B59,'Data Sheet'!$A$57:$A$69,0),MATCH('Historical Financials'!L$3,'Data Sheet'!$A$56:$K$56,0)),0)</f>
        <v>4636.9399999999996</v>
      </c>
    </row>
    <row r="60" spans="1:26" hidden="1" outlineLevel="1" x14ac:dyDescent="0.35">
      <c r="B60" s="9" t="s">
        <v>29</v>
      </c>
      <c r="C60" s="16">
        <f>IFERROR(INDEX('Data Sheet'!$A$57:$K$69,MATCH('Historical Financials'!$B60,'Data Sheet'!$A$57:$A$69,0),MATCH('Historical Financials'!C$3,'Data Sheet'!$A$56:$K$56,0)),0)</f>
        <v>2069.86</v>
      </c>
      <c r="D60" s="16">
        <f>IFERROR(INDEX('Data Sheet'!$A$57:$K$69,MATCH('Historical Financials'!$B60,'Data Sheet'!$A$57:$A$69,0),MATCH('Historical Financials'!D$3,'Data Sheet'!$A$56:$K$56,0)),0)</f>
        <v>2258.52</v>
      </c>
      <c r="E60" s="16">
        <f>IFERROR(INDEX('Data Sheet'!$A$57:$K$69,MATCH('Historical Financials'!$B60,'Data Sheet'!$A$57:$A$69,0),MATCH('Historical Financials'!E$3,'Data Sheet'!$A$56:$K$56,0)),0)</f>
        <v>1998.24</v>
      </c>
      <c r="F60" s="16">
        <f>IFERROR(INDEX('Data Sheet'!$A$57:$K$69,MATCH('Historical Financials'!$B60,'Data Sheet'!$A$57:$A$69,0),MATCH('Historical Financials'!F$3,'Data Sheet'!$A$56:$K$56,0)),0)</f>
        <v>2626.94</v>
      </c>
      <c r="G60" s="16">
        <f>IFERROR(INDEX('Data Sheet'!$A$57:$K$69,MATCH('Historical Financials'!$B60,'Data Sheet'!$A$57:$A$69,0),MATCH('Historical Financials'!G$3,'Data Sheet'!$A$56:$K$56,0)),0)</f>
        <v>2658.31</v>
      </c>
      <c r="H60" s="16">
        <f>IFERROR(INDEX('Data Sheet'!$A$57:$K$69,MATCH('Historical Financials'!$B60,'Data Sheet'!$A$57:$A$69,0),MATCH('Historical Financials'!H$3,'Data Sheet'!$A$56:$K$56,0)),0)</f>
        <v>3149.86</v>
      </c>
      <c r="I60" s="16">
        <f>IFERROR(INDEX('Data Sheet'!$A$57:$K$69,MATCH('Historical Financials'!$B60,'Data Sheet'!$A$57:$A$69,0),MATCH('Historical Financials'!I$3,'Data Sheet'!$A$56:$K$56,0)),0)</f>
        <v>3389.81</v>
      </c>
      <c r="J60" s="16">
        <f>IFERROR(INDEX('Data Sheet'!$A$57:$K$69,MATCH('Historical Financials'!$B60,'Data Sheet'!$A$57:$A$69,0),MATCH('Historical Financials'!J$3,'Data Sheet'!$A$56:$K$56,0)),0)</f>
        <v>3798.6</v>
      </c>
      <c r="K60" s="16">
        <f>IFERROR(INDEX('Data Sheet'!$A$57:$K$69,MATCH('Historical Financials'!$B60,'Data Sheet'!$A$57:$A$69,0),MATCH('Historical Financials'!K$3,'Data Sheet'!$A$56:$K$56,0)),0)</f>
        <v>6152.98</v>
      </c>
      <c r="L60" s="16">
        <f>IFERROR(INDEX('Data Sheet'!$A$57:$K$69,MATCH('Historical Financials'!$B60,'Data Sheet'!$A$57:$A$69,0),MATCH('Historical Financials'!L$3,'Data Sheet'!$A$56:$K$56,0)),0)</f>
        <v>6210.64</v>
      </c>
    </row>
    <row r="61" spans="1:26" hidden="1" outlineLevel="1" x14ac:dyDescent="0.35">
      <c r="B61" s="9" t="s">
        <v>51</v>
      </c>
      <c r="C61" s="16">
        <f>IFERROR(INDEX('Data Sheet'!$A$57:$K$69,MATCH('Historical Financials'!$B61,'Data Sheet'!$A$57:$A$69,0),MATCH('Historical Financials'!C$3,'Data Sheet'!$A$56:$K$56,0)),0)</f>
        <v>229</v>
      </c>
      <c r="D61" s="16">
        <f>IFERROR(INDEX('Data Sheet'!$A$57:$K$69,MATCH('Historical Financials'!$B61,'Data Sheet'!$A$57:$A$69,0),MATCH('Historical Financials'!D$3,'Data Sheet'!$A$56:$K$56,0)),0)</f>
        <v>204.39</v>
      </c>
      <c r="E61" s="16">
        <f>IFERROR(INDEX('Data Sheet'!$A$57:$K$69,MATCH('Historical Financials'!$B61,'Data Sheet'!$A$57:$A$69,0),MATCH('Historical Financials'!E$3,'Data Sheet'!$A$56:$K$56,0)),0)</f>
        <v>424.2</v>
      </c>
      <c r="F61" s="16">
        <f>IFERROR(INDEX('Data Sheet'!$A$57:$K$69,MATCH('Historical Financials'!$B61,'Data Sheet'!$A$57:$A$69,0),MATCH('Historical Financials'!F$3,'Data Sheet'!$A$56:$K$56,0)),0)</f>
        <v>801.21</v>
      </c>
      <c r="G61" s="16">
        <f>IFERROR(INDEX('Data Sheet'!$A$57:$K$69,MATCH('Historical Financials'!$B61,'Data Sheet'!$A$57:$A$69,0),MATCH('Historical Financials'!G$3,'Data Sheet'!$A$56:$K$56,0)),0)</f>
        <v>404.65</v>
      </c>
      <c r="H61" s="16">
        <f>IFERROR(INDEX('Data Sheet'!$A$57:$K$69,MATCH('Historical Financials'!$B61,'Data Sheet'!$A$57:$A$69,0),MATCH('Historical Financials'!H$3,'Data Sheet'!$A$56:$K$56,0)),0)</f>
        <v>444.88</v>
      </c>
      <c r="I61" s="16">
        <f>IFERROR(INDEX('Data Sheet'!$A$57:$K$69,MATCH('Historical Financials'!$B61,'Data Sheet'!$A$57:$A$69,0),MATCH('Historical Financials'!I$3,'Data Sheet'!$A$56:$K$56,0)),0)</f>
        <v>782.83</v>
      </c>
      <c r="J61" s="16">
        <f>IFERROR(INDEX('Data Sheet'!$A$57:$K$69,MATCH('Historical Financials'!$B61,'Data Sheet'!$A$57:$A$69,0),MATCH('Historical Financials'!J$3,'Data Sheet'!$A$56:$K$56,0)),0)</f>
        <v>610.75</v>
      </c>
      <c r="K61" s="16">
        <f>IFERROR(INDEX('Data Sheet'!$A$57:$K$69,MATCH('Historical Financials'!$B61,'Data Sheet'!$A$57:$A$69,0),MATCH('Historical Financials'!K$3,'Data Sheet'!$A$56:$K$56,0)),0)</f>
        <v>864.33</v>
      </c>
      <c r="L61" s="16">
        <f>IFERROR(INDEX('Data Sheet'!$A$57:$K$69,MATCH('Historical Financials'!$B61,'Data Sheet'!$A$57:$A$69,0),MATCH('Historical Financials'!L$3,'Data Sheet'!$A$56:$K$56,0)),0)</f>
        <v>843.82</v>
      </c>
    </row>
    <row r="62" spans="1:26" s="2" customFormat="1" hidden="1" outlineLevel="1" x14ac:dyDescent="0.35">
      <c r="A62" s="11"/>
      <c r="B62" s="11" t="s">
        <v>81</v>
      </c>
      <c r="C62" s="19">
        <f>SUM(C59:C61)</f>
        <v>3409.16</v>
      </c>
      <c r="D62" s="19">
        <f t="shared" ref="D62:L62" si="76">SUM(D59:D61)</f>
        <v>3644.98</v>
      </c>
      <c r="E62" s="19">
        <f t="shared" si="76"/>
        <v>3609.2799999999997</v>
      </c>
      <c r="F62" s="19">
        <f t="shared" si="76"/>
        <v>4874.75</v>
      </c>
      <c r="G62" s="19">
        <f t="shared" si="76"/>
        <v>4793.59</v>
      </c>
      <c r="H62" s="19">
        <f t="shared" si="76"/>
        <v>5502.0700000000006</v>
      </c>
      <c r="I62" s="19">
        <f t="shared" si="76"/>
        <v>5967.86</v>
      </c>
      <c r="J62" s="19">
        <f t="shared" si="76"/>
        <v>7011.52</v>
      </c>
      <c r="K62" s="19">
        <f t="shared" si="76"/>
        <v>10888.75</v>
      </c>
      <c r="L62" s="19">
        <f t="shared" si="76"/>
        <v>11691.4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idden="1" outlineLevel="1" x14ac:dyDescent="0.35"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26" s="2" customFormat="1" hidden="1" outlineLevel="1" x14ac:dyDescent="0.35">
      <c r="A64" s="11"/>
      <c r="B64" s="11" t="s">
        <v>82</v>
      </c>
      <c r="C64" s="19">
        <f>IFERROR(C57+C62,0)</f>
        <v>8075.4</v>
      </c>
      <c r="D64" s="19">
        <f t="shared" ref="D64:L64" si="77">IFERROR(D57+D62,0)</f>
        <v>8914.5</v>
      </c>
      <c r="E64" s="19">
        <f t="shared" si="77"/>
        <v>10559.029999999999</v>
      </c>
      <c r="F64" s="19">
        <f t="shared" si="77"/>
        <v>12405.189999999999</v>
      </c>
      <c r="G64" s="19">
        <f t="shared" si="77"/>
        <v>13763.48</v>
      </c>
      <c r="H64" s="19">
        <f t="shared" si="77"/>
        <v>16248.84</v>
      </c>
      <c r="I64" s="19">
        <f t="shared" si="77"/>
        <v>16137.970000000001</v>
      </c>
      <c r="J64" s="19">
        <f t="shared" si="77"/>
        <v>20355.34</v>
      </c>
      <c r="K64" s="19">
        <f t="shared" si="77"/>
        <v>22958.43</v>
      </c>
      <c r="L64" s="19">
        <f t="shared" si="77"/>
        <v>25779.33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idden="1" outlineLevel="1" x14ac:dyDescent="0.35"/>
    <row r="66" spans="1:26" s="20" customFormat="1" hidden="1" outlineLevel="1" x14ac:dyDescent="0.35">
      <c r="A66" s="13"/>
      <c r="B66" s="13" t="s">
        <v>111</v>
      </c>
      <c r="C66" s="13" t="b">
        <f>C64=C51</f>
        <v>1</v>
      </c>
      <c r="D66" s="13" t="b">
        <f t="shared" ref="D66:L66" si="78">D64=D51</f>
        <v>1</v>
      </c>
      <c r="E66" s="13" t="b">
        <f t="shared" si="78"/>
        <v>1</v>
      </c>
      <c r="F66" s="13" t="b">
        <f t="shared" si="78"/>
        <v>1</v>
      </c>
      <c r="G66" s="13" t="b">
        <f t="shared" si="78"/>
        <v>1</v>
      </c>
      <c r="H66" s="13" t="b">
        <f t="shared" si="78"/>
        <v>1</v>
      </c>
      <c r="I66" s="13" t="b">
        <f t="shared" si="78"/>
        <v>1</v>
      </c>
      <c r="J66" s="13" t="b">
        <f t="shared" si="78"/>
        <v>1</v>
      </c>
      <c r="K66" s="13" t="b">
        <f t="shared" si="78"/>
        <v>1</v>
      </c>
      <c r="L66" s="13" t="b">
        <f t="shared" si="78"/>
        <v>1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collapsed="1" x14ac:dyDescent="0.35"/>
    <row r="68" spans="1:26" x14ac:dyDescent="0.35">
      <c r="B68" s="12" t="s">
        <v>128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26" s="2" customFormat="1" hidden="1" outlineLevel="1" x14ac:dyDescent="0.35">
      <c r="A69" s="11"/>
      <c r="B69" s="11" t="s">
        <v>112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idden="1" outlineLevel="1" x14ac:dyDescent="0.35">
      <c r="B70" t="s">
        <v>83</v>
      </c>
      <c r="C70" s="16">
        <f>IFERROR('Cash flow data'!E4,0)</f>
        <v>13172</v>
      </c>
      <c r="D70" s="16">
        <f>IFERROR('Cash flow data'!F4,0)</f>
        <v>14261</v>
      </c>
      <c r="E70" s="16">
        <f>IFERROR('Cash flow data'!G4,0)</f>
        <v>15154</v>
      </c>
      <c r="F70" s="16">
        <f>IFERROR('Cash flow data'!H4,0)</f>
        <v>16075</v>
      </c>
      <c r="G70" s="16">
        <f>IFERROR('Cash flow data'!I4,0)</f>
        <v>17433</v>
      </c>
      <c r="H70" s="16">
        <f>IFERROR('Cash flow data'!J4,0)</f>
        <v>18862</v>
      </c>
      <c r="I70" s="16">
        <f>IFERROR('Cash flow data'!K4,0)</f>
        <v>19416</v>
      </c>
      <c r="J70" s="16">
        <f>IFERROR('Cash flow data'!L4,0)</f>
        <v>17326</v>
      </c>
      <c r="K70" s="16">
        <f>IFERROR('Cash flow data'!M4,0)</f>
        <v>20857</v>
      </c>
      <c r="L70" s="16">
        <f>IFERROR('Cash flow data'!N4,0)</f>
        <v>25895</v>
      </c>
      <c r="M70" s="16"/>
    </row>
    <row r="71" spans="1:26" hidden="1" outlineLevel="1" x14ac:dyDescent="0.35">
      <c r="B71" t="s">
        <v>42</v>
      </c>
      <c r="C71" s="16">
        <f>IFERROR('Cash flow data'!E5,0)</f>
        <v>-1546</v>
      </c>
      <c r="D71" s="16">
        <f>IFERROR('Cash flow data'!F5,0)</f>
        <v>558</v>
      </c>
      <c r="E71" s="16">
        <f>IFERROR('Cash flow data'!G5,0)</f>
        <v>-207</v>
      </c>
      <c r="F71" s="16">
        <f>IFERROR('Cash flow data'!H5,0)</f>
        <v>-870</v>
      </c>
      <c r="G71" s="16">
        <f>IFERROR('Cash flow data'!I5,0)</f>
        <v>-964</v>
      </c>
      <c r="H71" s="16">
        <f>IFERROR('Cash flow data'!J5,0)</f>
        <v>-755</v>
      </c>
      <c r="I71" s="16">
        <f>IFERROR('Cash flow data'!K5,0)</f>
        <v>1411</v>
      </c>
      <c r="J71" s="16">
        <f>IFERROR('Cash flow data'!L5,0)</f>
        <v>-66</v>
      </c>
      <c r="K71" s="16">
        <f>IFERROR('Cash flow data'!M5,0)</f>
        <v>-732</v>
      </c>
      <c r="L71" s="16">
        <f>IFERROR('Cash flow data'!N5,0)</f>
        <v>-884</v>
      </c>
      <c r="M71" s="16"/>
    </row>
    <row r="72" spans="1:26" hidden="1" outlineLevel="1" x14ac:dyDescent="0.35">
      <c r="B72" t="s">
        <v>29</v>
      </c>
      <c r="C72" s="16">
        <f>IFERROR('Cash flow data'!E6,0)</f>
        <v>-755</v>
      </c>
      <c r="D72" s="16">
        <f>IFERROR('Cash flow data'!F6,0)</f>
        <v>-505</v>
      </c>
      <c r="E72" s="16">
        <f>IFERROR('Cash flow data'!G6,0)</f>
        <v>-693</v>
      </c>
      <c r="F72" s="16">
        <f>IFERROR('Cash flow data'!H6,0)</f>
        <v>593</v>
      </c>
      <c r="G72" s="16">
        <f>IFERROR('Cash flow data'!I6,0)</f>
        <v>602</v>
      </c>
      <c r="H72" s="16">
        <f>IFERROR('Cash flow data'!J6,0)</f>
        <v>-359</v>
      </c>
      <c r="I72" s="16">
        <f>IFERROR('Cash flow data'!K6,0)</f>
        <v>-508</v>
      </c>
      <c r="J72" s="16">
        <f>IFERROR('Cash flow data'!L6,0)</f>
        <v>-1460</v>
      </c>
      <c r="K72" s="16">
        <f>IFERROR('Cash flow data'!M6,0)</f>
        <v>-466</v>
      </c>
      <c r="L72" s="16">
        <f>IFERROR('Cash flow data'!N6,0)</f>
        <v>-941</v>
      </c>
      <c r="M72" s="16"/>
    </row>
    <row r="73" spans="1:26" hidden="1" outlineLevel="1" x14ac:dyDescent="0.35">
      <c r="B73" t="s">
        <v>84</v>
      </c>
      <c r="C73" s="16">
        <f>IFERROR('Cash flow data'!E7,0)</f>
        <v>456</v>
      </c>
      <c r="D73" s="16">
        <f>IFERROR('Cash flow data'!F7,0)</f>
        <v>-23</v>
      </c>
      <c r="E73" s="16">
        <f>IFERROR('Cash flow data'!G7,0)</f>
        <v>622</v>
      </c>
      <c r="F73" s="16">
        <f>IFERROR('Cash flow data'!H7,0)</f>
        <v>321</v>
      </c>
      <c r="G73" s="16">
        <f>IFERROR('Cash flow data'!I7,0)</f>
        <v>2098</v>
      </c>
      <c r="H73" s="16">
        <f>IFERROR('Cash flow data'!J7,0)</f>
        <v>639</v>
      </c>
      <c r="I73" s="16">
        <f>IFERROR('Cash flow data'!K7,0)</f>
        <v>-607</v>
      </c>
      <c r="J73" s="16">
        <f>IFERROR('Cash flow data'!L7,0)</f>
        <v>1112</v>
      </c>
      <c r="K73" s="16">
        <f>IFERROR('Cash flow data'!M7,0)</f>
        <v>1099</v>
      </c>
      <c r="L73" s="16">
        <f>IFERROR('Cash flow data'!N7,0)</f>
        <v>1058</v>
      </c>
      <c r="M73" s="16"/>
    </row>
    <row r="74" spans="1:26" hidden="1" outlineLevel="1" x14ac:dyDescent="0.35">
      <c r="B74" t="s">
        <v>85</v>
      </c>
      <c r="C74" s="16">
        <f>IFERROR('Cash flow data'!E8,0)</f>
        <v>0</v>
      </c>
      <c r="D74" s="16">
        <f>IFERROR('Cash flow data'!F8,0)</f>
        <v>0</v>
      </c>
      <c r="E74" s="16">
        <f>IFERROR('Cash flow data'!G8,0)</f>
        <v>0</v>
      </c>
      <c r="F74" s="16">
        <f>IFERROR('Cash flow data'!H8,0)</f>
        <v>0</v>
      </c>
      <c r="G74" s="16">
        <f>IFERROR('Cash flow data'!I8,0)</f>
        <v>0</v>
      </c>
      <c r="H74" s="16">
        <f>IFERROR('Cash flow data'!J8,0)</f>
        <v>0</v>
      </c>
      <c r="I74" s="16">
        <f>IFERROR('Cash flow data'!K8,0)</f>
        <v>0</v>
      </c>
      <c r="J74" s="16">
        <f>IFERROR('Cash flow data'!L8,0)</f>
        <v>0</v>
      </c>
      <c r="K74" s="16">
        <f>IFERROR('Cash flow data'!M8,0)</f>
        <v>0</v>
      </c>
      <c r="L74" s="16">
        <f>IFERROR('Cash flow data'!N8,0)</f>
        <v>0</v>
      </c>
      <c r="M74" s="16"/>
    </row>
    <row r="75" spans="1:26" hidden="1" outlineLevel="1" x14ac:dyDescent="0.35">
      <c r="B75" t="s">
        <v>86</v>
      </c>
      <c r="C75" s="16">
        <f>IFERROR('Cash flow data'!E9,0)</f>
        <v>-1844</v>
      </c>
      <c r="D75" s="16">
        <f>IFERROR('Cash flow data'!F9,0)</f>
        <v>31</v>
      </c>
      <c r="E75" s="16">
        <f>IFERROR('Cash flow data'!G9,0)</f>
        <v>-277</v>
      </c>
      <c r="F75" s="16">
        <f>IFERROR('Cash flow data'!H9,0)</f>
        <v>44</v>
      </c>
      <c r="G75" s="16">
        <f>IFERROR('Cash flow data'!I9,0)</f>
        <v>1736</v>
      </c>
      <c r="H75" s="16">
        <f>IFERROR('Cash flow data'!J9,0)</f>
        <v>-476</v>
      </c>
      <c r="I75" s="16">
        <f>IFERROR('Cash flow data'!K9,0)</f>
        <v>296</v>
      </c>
      <c r="J75" s="16">
        <f>IFERROR('Cash flow data'!L9,0)</f>
        <v>-413</v>
      </c>
      <c r="K75" s="16">
        <f>IFERROR('Cash flow data'!M9,0)</f>
        <v>-100</v>
      </c>
      <c r="L75" s="16">
        <f>IFERROR('Cash flow data'!N9,0)</f>
        <v>-767</v>
      </c>
      <c r="M75" s="16"/>
    </row>
    <row r="76" spans="1:26" hidden="1" outlineLevel="1" x14ac:dyDescent="0.35">
      <c r="B76" t="s">
        <v>87</v>
      </c>
      <c r="C76" s="16">
        <f>IFERROR('Cash flow data'!E10,0)</f>
        <v>-3984</v>
      </c>
      <c r="D76" s="16">
        <f>IFERROR('Cash flow data'!F10,0)</f>
        <v>-4449</v>
      </c>
      <c r="E76" s="16">
        <f>IFERROR('Cash flow data'!G10,0)</f>
        <v>-5078</v>
      </c>
      <c r="F76" s="16">
        <f>IFERROR('Cash flow data'!H10,0)</f>
        <v>-5492</v>
      </c>
      <c r="G76" s="16">
        <f>IFERROR('Cash flow data'!I10,0)</f>
        <v>-6000</v>
      </c>
      <c r="H76" s="16">
        <f>IFERROR('Cash flow data'!J10,0)</f>
        <v>-5803</v>
      </c>
      <c r="I76" s="16">
        <f>IFERROR('Cash flow data'!K10,0)</f>
        <v>-5023</v>
      </c>
      <c r="J76" s="16">
        <f>IFERROR('Cash flow data'!L10,0)</f>
        <v>-4387</v>
      </c>
      <c r="K76" s="16">
        <f>IFERROR('Cash flow data'!M10,0)</f>
        <v>-4982</v>
      </c>
      <c r="L76" s="16">
        <f>IFERROR('Cash flow data'!N10,0)</f>
        <v>-6250</v>
      </c>
      <c r="M76" s="16"/>
    </row>
    <row r="77" spans="1:26" s="2" customFormat="1" hidden="1" outlineLevel="1" x14ac:dyDescent="0.35">
      <c r="A77" s="11"/>
      <c r="B77" s="11" t="s">
        <v>113</v>
      </c>
      <c r="C77" s="19">
        <f t="shared" ref="C77:L77" si="79">IFERROR(SUM(C70:C76),0)</f>
        <v>5499</v>
      </c>
      <c r="D77" s="19">
        <f t="shared" si="79"/>
        <v>9873</v>
      </c>
      <c r="E77" s="19">
        <f t="shared" si="79"/>
        <v>9521</v>
      </c>
      <c r="F77" s="19">
        <f t="shared" si="79"/>
        <v>10671</v>
      </c>
      <c r="G77" s="19">
        <f t="shared" si="79"/>
        <v>14905</v>
      </c>
      <c r="H77" s="19">
        <f t="shared" si="79"/>
        <v>12108</v>
      </c>
      <c r="I77" s="19">
        <f t="shared" si="79"/>
        <v>14985</v>
      </c>
      <c r="J77" s="19">
        <f t="shared" si="79"/>
        <v>12112</v>
      </c>
      <c r="K77" s="19">
        <f t="shared" si="79"/>
        <v>15676</v>
      </c>
      <c r="L77" s="19">
        <f t="shared" si="79"/>
        <v>18111</v>
      </c>
      <c r="M77" s="19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idden="1" outlineLevel="1" x14ac:dyDescent="0.3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26" s="2" customFormat="1" hidden="1" outlineLevel="1" x14ac:dyDescent="0.35">
      <c r="A79" s="11"/>
      <c r="B79" s="11" t="s">
        <v>114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idden="1" outlineLevel="1" x14ac:dyDescent="0.35">
      <c r="B80" s="9" t="s">
        <v>88</v>
      </c>
      <c r="C80" s="16">
        <f>IFERROR('Cash flow data'!E12,0)</f>
        <v>-2887</v>
      </c>
      <c r="D80" s="16">
        <f>IFERROR('Cash flow data'!F12,0)</f>
        <v>-3300</v>
      </c>
      <c r="E80" s="16">
        <f>IFERROR('Cash flow data'!G12,0)</f>
        <v>-2348</v>
      </c>
      <c r="F80" s="16">
        <f>IFERROR('Cash flow data'!H12,0)</f>
        <v>-3122</v>
      </c>
      <c r="G80" s="16">
        <f>IFERROR('Cash flow data'!I12,0)</f>
        <v>-2878</v>
      </c>
      <c r="H80" s="16">
        <f>IFERROR('Cash flow data'!J12,0)</f>
        <v>-3169</v>
      </c>
      <c r="I80" s="16">
        <f>IFERROR('Cash flow data'!K12,0)</f>
        <v>-2441</v>
      </c>
      <c r="J80" s="16">
        <f>IFERROR('Cash flow data'!L12,0)</f>
        <v>-1837</v>
      </c>
      <c r="K80" s="16">
        <f>IFERROR('Cash flow data'!M12,0)</f>
        <v>-2142</v>
      </c>
      <c r="L80" s="16">
        <f>IFERROR('Cash flow data'!N12,0)</f>
        <v>-2743</v>
      </c>
      <c r="M80" s="16"/>
    </row>
    <row r="81" spans="1:26" hidden="1" outlineLevel="1" x14ac:dyDescent="0.35">
      <c r="B81" s="9" t="s">
        <v>89</v>
      </c>
      <c r="C81" s="16">
        <f>IFERROR('Cash flow data'!E13,0)</f>
        <v>38</v>
      </c>
      <c r="D81" s="16">
        <f>IFERROR('Cash flow data'!F13,0)</f>
        <v>9</v>
      </c>
      <c r="E81" s="16">
        <f>IFERROR('Cash flow data'!G13,0)</f>
        <v>8</v>
      </c>
      <c r="F81" s="16">
        <f>IFERROR('Cash flow data'!H13,0)</f>
        <v>50</v>
      </c>
      <c r="G81" s="16">
        <f>IFERROR('Cash flow data'!I13,0)</f>
        <v>80</v>
      </c>
      <c r="H81" s="16">
        <f>IFERROR('Cash flow data'!J13,0)</f>
        <v>28</v>
      </c>
      <c r="I81" s="16">
        <f>IFERROR('Cash flow data'!K13,0)</f>
        <v>27</v>
      </c>
      <c r="J81" s="16">
        <f>IFERROR('Cash flow data'!L13,0)</f>
        <v>3</v>
      </c>
      <c r="K81" s="16">
        <f>IFERROR('Cash flow data'!M13,0)</f>
        <v>133</v>
      </c>
      <c r="L81" s="16">
        <f>IFERROR('Cash flow data'!N13,0)</f>
        <v>49</v>
      </c>
      <c r="M81" s="16"/>
    </row>
    <row r="82" spans="1:26" hidden="1" outlineLevel="1" x14ac:dyDescent="0.35">
      <c r="B82" s="9" t="s">
        <v>90</v>
      </c>
      <c r="C82" s="16">
        <f>IFERROR('Cash flow data'!E14,0)</f>
        <v>-94242</v>
      </c>
      <c r="D82" s="16">
        <f>IFERROR('Cash flow data'!F14,0)</f>
        <v>-98742</v>
      </c>
      <c r="E82" s="16">
        <f>IFERROR('Cash flow data'!G14,0)</f>
        <v>-154081</v>
      </c>
      <c r="F82" s="16">
        <f>IFERROR('Cash flow data'!H14,0)</f>
        <v>-85683</v>
      </c>
      <c r="G82" s="16">
        <f>IFERROR('Cash flow data'!I14,0)</f>
        <v>-98330</v>
      </c>
      <c r="H82" s="16">
        <f>IFERROR('Cash flow data'!J14,0)</f>
        <v>-94187</v>
      </c>
      <c r="I82" s="16">
        <f>IFERROR('Cash flow data'!K14,0)</f>
        <v>-79835</v>
      </c>
      <c r="J82" s="16">
        <f>IFERROR('Cash flow data'!L14,0)</f>
        <v>-57553</v>
      </c>
      <c r="K82" s="16">
        <f>IFERROR('Cash flow data'!M14,0)</f>
        <v>-69776</v>
      </c>
      <c r="L82" s="16">
        <f>IFERROR('Cash flow data'!N14,0)</f>
        <v>-80932</v>
      </c>
      <c r="M82" s="16"/>
    </row>
    <row r="83" spans="1:26" hidden="1" outlineLevel="1" x14ac:dyDescent="0.35">
      <c r="B83" s="9" t="s">
        <v>91</v>
      </c>
      <c r="C83" s="16">
        <f>IFERROR('Cash flow data'!E15,0)</f>
        <v>93293</v>
      </c>
      <c r="D83" s="16">
        <f>IFERROR('Cash flow data'!F15,0)</f>
        <v>99658</v>
      </c>
      <c r="E83" s="16">
        <f>IFERROR('Cash flow data'!G15,0)</f>
        <v>150651</v>
      </c>
      <c r="F83" s="16">
        <f>IFERROR('Cash flow data'!H15,0)</f>
        <v>81034</v>
      </c>
      <c r="G83" s="16">
        <f>IFERROR('Cash flow data'!I15,0)</f>
        <v>95017</v>
      </c>
      <c r="H83" s="16">
        <f>IFERROR('Cash flow data'!J15,0)</f>
        <v>92454</v>
      </c>
      <c r="I83" s="16">
        <f>IFERROR('Cash flow data'!K15,0)</f>
        <v>75835</v>
      </c>
      <c r="J83" s="16">
        <f>IFERROR('Cash flow data'!L15,0)</f>
        <v>62797</v>
      </c>
      <c r="K83" s="16">
        <f>IFERROR('Cash flow data'!M15,0)</f>
        <v>70992</v>
      </c>
      <c r="L83" s="16">
        <f>IFERROR('Cash flow data'!N15,0)</f>
        <v>77230</v>
      </c>
      <c r="M83" s="16"/>
    </row>
    <row r="84" spans="1:26" hidden="1" outlineLevel="1" x14ac:dyDescent="0.35">
      <c r="B84" s="9" t="s">
        <v>92</v>
      </c>
      <c r="C84" s="16">
        <f>IFERROR('Cash flow data'!E16,0)</f>
        <v>374</v>
      </c>
      <c r="D84" s="16">
        <f>IFERROR('Cash flow data'!F16,0)</f>
        <v>559</v>
      </c>
      <c r="E84" s="16">
        <f>IFERROR('Cash flow data'!G16,0)</f>
        <v>741</v>
      </c>
      <c r="F84" s="16">
        <f>IFERROR('Cash flow data'!H16,0)</f>
        <v>756</v>
      </c>
      <c r="G84" s="16">
        <f>IFERROR('Cash flow data'!I16,0)</f>
        <v>736</v>
      </c>
      <c r="H84" s="16">
        <f>IFERROR('Cash flow data'!J16,0)</f>
        <v>1184</v>
      </c>
      <c r="I84" s="16">
        <f>IFERROR('Cash flow data'!K16,0)</f>
        <v>1513</v>
      </c>
      <c r="J84" s="16">
        <f>IFERROR('Cash flow data'!L16,0)</f>
        <v>1275</v>
      </c>
      <c r="K84" s="16">
        <f>IFERROR('Cash flow data'!M16,0)</f>
        <v>1035</v>
      </c>
      <c r="L84" s="16">
        <f>IFERROR('Cash flow data'!N16,0)</f>
        <v>1324</v>
      </c>
      <c r="M84" s="16"/>
    </row>
    <row r="85" spans="1:26" hidden="1" outlineLevel="1" x14ac:dyDescent="0.35">
      <c r="B85" s="9" t="s">
        <v>93</v>
      </c>
      <c r="C85" s="16">
        <f>IFERROR('Cash flow data'!E17,0)</f>
        <v>192</v>
      </c>
      <c r="D85" s="16">
        <f>IFERROR('Cash flow data'!F17,0)</f>
        <v>268</v>
      </c>
      <c r="E85" s="16">
        <f>IFERROR('Cash flow data'!G17,0)</f>
        <v>64</v>
      </c>
      <c r="F85" s="16">
        <f>IFERROR('Cash flow data'!H17,0)</f>
        <v>4</v>
      </c>
      <c r="G85" s="16">
        <f>IFERROR('Cash flow data'!I17,0)</f>
        <v>13</v>
      </c>
      <c r="H85" s="16">
        <f>IFERROR('Cash flow data'!J17,0)</f>
        <v>13</v>
      </c>
      <c r="I85" s="16">
        <f>IFERROR('Cash flow data'!K17,0)</f>
        <v>17</v>
      </c>
      <c r="J85" s="16">
        <f>IFERROR('Cash flow data'!L17,0)</f>
        <v>7</v>
      </c>
      <c r="K85" s="16">
        <f>IFERROR('Cash flow data'!M17,0)</f>
        <v>16</v>
      </c>
      <c r="L85" s="16">
        <f>IFERROR('Cash flow data'!N17,0)</f>
        <v>19</v>
      </c>
      <c r="M85" s="16"/>
    </row>
    <row r="86" spans="1:26" hidden="1" outlineLevel="1" x14ac:dyDescent="0.35">
      <c r="B86" s="9" t="s">
        <v>94</v>
      </c>
      <c r="C86" s="16">
        <f>IFERROR('Cash flow data'!E18,0)</f>
        <v>0</v>
      </c>
      <c r="D86" s="16">
        <f>IFERROR('Cash flow data'!F18,0)</f>
        <v>0</v>
      </c>
      <c r="E86" s="16">
        <f>IFERROR('Cash flow data'!G18,0)</f>
        <v>-8</v>
      </c>
      <c r="F86" s="16">
        <f>IFERROR('Cash flow data'!H18,0)</f>
        <v>0</v>
      </c>
      <c r="G86" s="16">
        <f>IFERROR('Cash flow data'!I18,0)</f>
        <v>0</v>
      </c>
      <c r="H86" s="16">
        <f>IFERROR('Cash flow data'!J18,0)</f>
        <v>0</v>
      </c>
      <c r="I86" s="16">
        <f>IFERROR('Cash flow data'!K18,0)</f>
        <v>0</v>
      </c>
      <c r="J86" s="16">
        <f>IFERROR('Cash flow data'!L18,0)</f>
        <v>0</v>
      </c>
      <c r="K86" s="16">
        <f>IFERROR('Cash flow data'!M18,0)</f>
        <v>0</v>
      </c>
      <c r="L86" s="16">
        <f>IFERROR('Cash flow data'!N18,0)</f>
        <v>0</v>
      </c>
      <c r="M86" s="16"/>
    </row>
    <row r="87" spans="1:26" hidden="1" outlineLevel="1" x14ac:dyDescent="0.35">
      <c r="B87" s="9" t="s">
        <v>95</v>
      </c>
      <c r="C87" s="16">
        <f>IFERROR('Cash flow data'!E19,0)</f>
        <v>0</v>
      </c>
      <c r="D87" s="16">
        <f>IFERROR('Cash flow data'!F19,0)</f>
        <v>0</v>
      </c>
      <c r="E87" s="16">
        <f>IFERROR('Cash flow data'!G19,0)</f>
        <v>0</v>
      </c>
      <c r="F87" s="16">
        <f>IFERROR('Cash flow data'!H19,0)</f>
        <v>0</v>
      </c>
      <c r="G87" s="16">
        <f>IFERROR('Cash flow data'!I19,0)</f>
        <v>0</v>
      </c>
      <c r="H87" s="16">
        <f>IFERROR('Cash flow data'!J19,0)</f>
        <v>0</v>
      </c>
      <c r="I87" s="16">
        <f>IFERROR('Cash flow data'!K19,0)</f>
        <v>0</v>
      </c>
      <c r="J87" s="16">
        <f>IFERROR('Cash flow data'!L19,0)</f>
        <v>-2</v>
      </c>
      <c r="K87" s="16">
        <f>IFERROR('Cash flow data'!M19,0)</f>
        <v>-2</v>
      </c>
      <c r="L87" s="16">
        <f>IFERROR('Cash flow data'!N19,0)</f>
        <v>-2</v>
      </c>
      <c r="M87" s="16"/>
    </row>
    <row r="88" spans="1:26" hidden="1" outlineLevel="1" x14ac:dyDescent="0.35">
      <c r="B88" s="9" t="s">
        <v>96</v>
      </c>
      <c r="C88" s="16">
        <f>IFERROR('Cash flow data'!E20,0)</f>
        <v>0</v>
      </c>
      <c r="D88" s="16">
        <f>IFERROR('Cash flow data'!F20,0)</f>
        <v>0</v>
      </c>
      <c r="E88" s="16">
        <f>IFERROR('Cash flow data'!G20,0)</f>
        <v>0</v>
      </c>
      <c r="F88" s="16">
        <f>IFERROR('Cash flow data'!H20,0)</f>
        <v>129</v>
      </c>
      <c r="G88" s="16">
        <f>IFERROR('Cash flow data'!I20,0)</f>
        <v>18</v>
      </c>
      <c r="H88" s="16">
        <f>IFERROR('Cash flow data'!J20,0)</f>
        <v>18</v>
      </c>
      <c r="I88" s="16">
        <f>IFERROR('Cash flow data'!K20,0)</f>
        <v>0</v>
      </c>
      <c r="J88" s="16">
        <f>IFERROR('Cash flow data'!L20,0)</f>
        <v>0</v>
      </c>
      <c r="K88" s="16">
        <f>IFERROR('Cash flow data'!M20,0)</f>
        <v>0</v>
      </c>
      <c r="L88" s="16">
        <f>IFERROR('Cash flow data'!N20,0)</f>
        <v>56</v>
      </c>
      <c r="M88" s="16"/>
    </row>
    <row r="89" spans="1:26" hidden="1" outlineLevel="1" x14ac:dyDescent="0.35">
      <c r="B89" s="9" t="s">
        <v>97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/>
    </row>
    <row r="90" spans="1:26" hidden="1" outlineLevel="1" x14ac:dyDescent="0.35">
      <c r="B90" s="9" t="s">
        <v>98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/>
    </row>
    <row r="91" spans="1:26" hidden="1" outlineLevel="1" x14ac:dyDescent="0.35">
      <c r="B91" s="9" t="s">
        <v>99</v>
      </c>
      <c r="C91" s="16">
        <f>IFERROR('Cash flow data'!E21,0)</f>
        <v>-21</v>
      </c>
      <c r="D91" s="16">
        <f>IFERROR('Cash flow data'!F21,0)</f>
        <v>-3728</v>
      </c>
      <c r="E91" s="16">
        <f>IFERROR('Cash flow data'!G21,0)</f>
        <v>1052</v>
      </c>
      <c r="F91" s="16">
        <f>IFERROR('Cash flow data'!H21,0)</f>
        <v>3579</v>
      </c>
      <c r="G91" s="16">
        <f>IFERROR('Cash flow data'!I21,0)</f>
        <v>-1769</v>
      </c>
      <c r="H91" s="16">
        <f>IFERROR('Cash flow data'!J21,0)</f>
        <v>-1887</v>
      </c>
      <c r="I91" s="16">
        <f>IFERROR('Cash flow data'!K21,0)</f>
        <v>-1290</v>
      </c>
      <c r="J91" s="16">
        <f>IFERROR('Cash flow data'!L21,0)</f>
        <v>1051</v>
      </c>
      <c r="K91" s="16">
        <f>IFERROR('Cash flow data'!M21,0)</f>
        <v>-2494</v>
      </c>
      <c r="L91" s="16">
        <f>IFERROR('Cash flow data'!N21,0)</f>
        <v>-733</v>
      </c>
      <c r="M91" s="16"/>
    </row>
    <row r="92" spans="1:26" s="2" customFormat="1" hidden="1" outlineLevel="1" x14ac:dyDescent="0.35">
      <c r="A92" s="11"/>
      <c r="B92" s="11" t="s">
        <v>115</v>
      </c>
      <c r="C92" s="19">
        <f t="shared" ref="C92:L92" si="80">IFERROR(SUM(C80:C91),0)</f>
        <v>-3253</v>
      </c>
      <c r="D92" s="19">
        <f t="shared" si="80"/>
        <v>-5276</v>
      </c>
      <c r="E92" s="19">
        <f t="shared" si="80"/>
        <v>-3921</v>
      </c>
      <c r="F92" s="19">
        <f t="shared" si="80"/>
        <v>-3253</v>
      </c>
      <c r="G92" s="19">
        <f t="shared" si="80"/>
        <v>-7113</v>
      </c>
      <c r="H92" s="19">
        <f t="shared" si="80"/>
        <v>-5546</v>
      </c>
      <c r="I92" s="19">
        <f t="shared" si="80"/>
        <v>-6174</v>
      </c>
      <c r="J92" s="19">
        <f t="shared" si="80"/>
        <v>5741</v>
      </c>
      <c r="K92" s="19">
        <f t="shared" si="80"/>
        <v>-2238</v>
      </c>
      <c r="L92" s="19">
        <f t="shared" si="80"/>
        <v>-5732</v>
      </c>
      <c r="M92" s="19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idden="1" outlineLevel="1" x14ac:dyDescent="0.3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1:26" s="2" customFormat="1" hidden="1" outlineLevel="1" x14ac:dyDescent="0.35">
      <c r="A94" s="11"/>
      <c r="B94" s="11" t="s">
        <v>116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idden="1" outlineLevel="1" x14ac:dyDescent="0.35">
      <c r="B95" t="s">
        <v>100</v>
      </c>
      <c r="C95" s="16">
        <f>IFERROR('Cash flow data'!E23,0)</f>
        <v>691</v>
      </c>
      <c r="D95" s="16">
        <f>IFERROR('Cash flow data'!F23,0)</f>
        <v>979</v>
      </c>
      <c r="E95" s="16">
        <f>IFERROR('Cash flow data'!G23,0)</f>
        <v>532</v>
      </c>
      <c r="F95" s="16">
        <f>IFERROR('Cash flow data'!H23,0)</f>
        <v>1067</v>
      </c>
      <c r="G95" s="16">
        <f>IFERROR('Cash flow data'!I23,0)</f>
        <v>913</v>
      </c>
      <c r="H95" s="16">
        <f>IFERROR('Cash flow data'!J23,0)</f>
        <v>969</v>
      </c>
      <c r="I95" s="16">
        <f>IFERROR('Cash flow data'!K23,0)</f>
        <v>625</v>
      </c>
      <c r="J95" s="16">
        <f>IFERROR('Cash flow data'!L23,0)</f>
        <v>291</v>
      </c>
      <c r="K95" s="16">
        <f>IFERROR('Cash flow data'!M23,0)</f>
        <v>292</v>
      </c>
      <c r="L95" s="16">
        <f>IFERROR('Cash flow data'!N23,0)</f>
        <v>2477</v>
      </c>
      <c r="M95" s="16"/>
    </row>
    <row r="96" spans="1:26" hidden="1" outlineLevel="1" x14ac:dyDescent="0.35">
      <c r="B96" t="s">
        <v>101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/>
    </row>
    <row r="97" spans="1:26" hidden="1" outlineLevel="1" x14ac:dyDescent="0.35">
      <c r="B97" t="s">
        <v>102</v>
      </c>
      <c r="C97" s="16">
        <f>IFERROR('Cash flow data'!E24,0)</f>
        <v>156</v>
      </c>
      <c r="D97" s="16">
        <f>IFERROR('Cash flow data'!F24,0)</f>
        <v>7</v>
      </c>
      <c r="E97" s="16">
        <f>IFERROR('Cash flow data'!G24,0)</f>
        <v>0</v>
      </c>
      <c r="F97" s="16">
        <f>IFERROR('Cash flow data'!H24,0)</f>
        <v>0</v>
      </c>
      <c r="G97" s="16">
        <f>IFERROR('Cash flow data'!I24,0)</f>
        <v>11</v>
      </c>
      <c r="H97" s="16">
        <f>IFERROR('Cash flow data'!J24,0)</f>
        <v>0</v>
      </c>
      <c r="I97" s="16">
        <f>IFERROR('Cash flow data'!K24,0)</f>
        <v>0</v>
      </c>
      <c r="J97" s="16">
        <f>IFERROR('Cash flow data'!L24,0)</f>
        <v>0</v>
      </c>
      <c r="K97" s="16">
        <f>IFERROR('Cash flow data'!M24,0)</f>
        <v>0</v>
      </c>
      <c r="L97" s="16">
        <f>IFERROR('Cash flow data'!N24,0)</f>
        <v>0</v>
      </c>
      <c r="M97" s="16"/>
    </row>
    <row r="98" spans="1:26" hidden="1" outlineLevel="1" x14ac:dyDescent="0.35">
      <c r="B98" t="s">
        <v>118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/>
    </row>
    <row r="99" spans="1:26" hidden="1" outlineLevel="1" x14ac:dyDescent="0.35">
      <c r="B99" t="s">
        <v>103</v>
      </c>
      <c r="C99" s="16">
        <f>IFERROR('Cash flow data'!E25,0)</f>
        <v>-15</v>
      </c>
      <c r="D99" s="16">
        <f>IFERROR('Cash flow data'!F25,0)</f>
        <v>-20</v>
      </c>
      <c r="E99" s="16">
        <f>IFERROR('Cash flow data'!G25,0)</f>
        <v>-13</v>
      </c>
      <c r="F99" s="16">
        <f>IFERROR('Cash flow data'!H25,0)</f>
        <v>-13</v>
      </c>
      <c r="G99" s="16">
        <f>IFERROR('Cash flow data'!I25,0)</f>
        <v>-8</v>
      </c>
      <c r="H99" s="16">
        <f>IFERROR('Cash flow data'!J25,0)</f>
        <v>-18</v>
      </c>
      <c r="I99" s="16">
        <f>IFERROR('Cash flow data'!K25,0)</f>
        <v>-3</v>
      </c>
      <c r="J99" s="16">
        <f>IFERROR('Cash flow data'!L25,0)</f>
        <v>-2</v>
      </c>
      <c r="K99" s="16">
        <f>IFERROR('Cash flow data'!M25,0)</f>
        <v>-1</v>
      </c>
      <c r="L99" s="16">
        <f>IFERROR('Cash flow data'!N25,0)</f>
        <v>-1</v>
      </c>
      <c r="M99" s="16"/>
    </row>
    <row r="100" spans="1:26" hidden="1" outlineLevel="1" x14ac:dyDescent="0.35">
      <c r="B100" t="s">
        <v>104</v>
      </c>
      <c r="C100" s="16">
        <f>IFERROR('Cash flow data'!E26,0)</f>
        <v>-48</v>
      </c>
      <c r="D100" s="16">
        <f>IFERROR('Cash flow data'!F26,0)</f>
        <v>-16</v>
      </c>
      <c r="E100" s="16">
        <f>IFERROR('Cash flow data'!G26,0)</f>
        <v>-28</v>
      </c>
      <c r="F100" s="16">
        <f>IFERROR('Cash flow data'!H26,0)</f>
        <v>-25</v>
      </c>
      <c r="G100" s="16">
        <f>IFERROR('Cash flow data'!I26,0)</f>
        <v>-49</v>
      </c>
      <c r="H100" s="16">
        <f>IFERROR('Cash flow data'!J26,0)</f>
        <v>-98</v>
      </c>
      <c r="I100" s="16">
        <f>IFERROR('Cash flow data'!K26,0)</f>
        <v>-44</v>
      </c>
      <c r="J100" s="16">
        <f>IFERROR('Cash flow data'!L26,0)</f>
        <v>-41</v>
      </c>
      <c r="K100" s="16">
        <f>IFERROR('Cash flow data'!M26,0)</f>
        <v>-40</v>
      </c>
      <c r="L100" s="16">
        <f>IFERROR('Cash flow data'!N26,0)</f>
        <v>-41</v>
      </c>
      <c r="M100" s="16"/>
    </row>
    <row r="101" spans="1:26" hidden="1" outlineLevel="1" x14ac:dyDescent="0.35">
      <c r="B101" t="s">
        <v>105</v>
      </c>
      <c r="C101" s="16">
        <f>IFERROR('Cash flow data'!E27,0)</f>
        <v>-4239</v>
      </c>
      <c r="D101" s="16">
        <f>IFERROR('Cash flow data'!F27,0)</f>
        <v>-4876</v>
      </c>
      <c r="E101" s="16">
        <f>IFERROR('Cash flow data'!G27,0)</f>
        <v>-5133</v>
      </c>
      <c r="F101" s="16">
        <f>IFERROR('Cash flow data'!H27,0)</f>
        <v>-6994</v>
      </c>
      <c r="G101" s="16">
        <f>IFERROR('Cash flow data'!I27,0)</f>
        <v>-5952</v>
      </c>
      <c r="H101" s="16">
        <f>IFERROR('Cash flow data'!J27,0)</f>
        <v>-6519</v>
      </c>
      <c r="I101" s="16">
        <f>IFERROR('Cash flow data'!K27,0)</f>
        <v>-7302</v>
      </c>
      <c r="J101" s="16">
        <f>IFERROR('Cash flow data'!L27,0)</f>
        <v>-18881</v>
      </c>
      <c r="K101" s="16">
        <f>IFERROR('Cash flow data'!M27,0)</f>
        <v>-13788</v>
      </c>
      <c r="L101" s="16">
        <f>IFERROR('Cash flow data'!N27,0)</f>
        <v>-15418</v>
      </c>
      <c r="M101" s="16"/>
    </row>
    <row r="102" spans="1:26" hidden="1" outlineLevel="1" x14ac:dyDescent="0.35">
      <c r="B102" t="s">
        <v>106</v>
      </c>
      <c r="C102" s="16">
        <f>IFERROR('Cash flow data'!E28,0)</f>
        <v>0</v>
      </c>
      <c r="D102" s="16">
        <f>IFERROR('Cash flow data'!F28,0)</f>
        <v>0</v>
      </c>
      <c r="E102" s="16">
        <f>IFERROR('Cash flow data'!G28,0)</f>
        <v>0</v>
      </c>
      <c r="F102" s="16">
        <f>IFERROR('Cash flow data'!H28,0)</f>
        <v>0</v>
      </c>
      <c r="G102" s="16">
        <f>IFERROR('Cash flow data'!I28,0)</f>
        <v>0</v>
      </c>
      <c r="H102" s="16">
        <f>IFERROR('Cash flow data'!J28,0)</f>
        <v>0</v>
      </c>
      <c r="I102" s="16">
        <f>IFERROR('Cash flow data'!K28,0)</f>
        <v>-49</v>
      </c>
      <c r="J102" s="16">
        <f>IFERROR('Cash flow data'!L28,0)</f>
        <v>-55</v>
      </c>
      <c r="K102" s="16">
        <f>IFERROR('Cash flow data'!M28,0)</f>
        <v>-59</v>
      </c>
      <c r="L102" s="16">
        <f>IFERROR('Cash flow data'!N28,0)</f>
        <v>-59</v>
      </c>
      <c r="M102" s="16"/>
    </row>
    <row r="103" spans="1:26" hidden="1" outlineLevel="1" x14ac:dyDescent="0.35">
      <c r="B103" t="s">
        <v>107</v>
      </c>
      <c r="C103" s="16">
        <f>IFERROR('Cash flow data'!E29,0)</f>
        <v>-667</v>
      </c>
      <c r="D103" s="16">
        <f>IFERROR('Cash flow data'!F29,0)</f>
        <v>-734</v>
      </c>
      <c r="E103" s="16">
        <f>IFERROR('Cash flow data'!G29,0)</f>
        <v>-971</v>
      </c>
      <c r="F103" s="16">
        <f>IFERROR('Cash flow data'!H29,0)</f>
        <v>-1335</v>
      </c>
      <c r="G103" s="16">
        <f>IFERROR('Cash flow data'!I29,0)</f>
        <v>-1136</v>
      </c>
      <c r="H103" s="16">
        <f>IFERROR('Cash flow data'!J29,0)</f>
        <v>-1203</v>
      </c>
      <c r="I103" s="16">
        <f>IFERROR('Cash flow data'!K29,0)</f>
        <v>-1409</v>
      </c>
      <c r="J103" s="16">
        <f>IFERROR('Cash flow data'!L29,0)</f>
        <v>55</v>
      </c>
      <c r="K103" s="16">
        <f>IFERROR('Cash flow data'!M29,0)</f>
        <v>15</v>
      </c>
      <c r="L103" s="16">
        <f>IFERROR('Cash flow data'!N29,0)</f>
        <v>35</v>
      </c>
      <c r="M103" s="16"/>
    </row>
    <row r="104" spans="1:26" s="2" customFormat="1" hidden="1" outlineLevel="1" x14ac:dyDescent="0.35">
      <c r="A104" s="11"/>
      <c r="B104" s="11" t="s">
        <v>117</v>
      </c>
      <c r="C104" s="19">
        <f t="shared" ref="C104:L104" si="81">IFERROR(SUM(C95:C103),0)</f>
        <v>-4122</v>
      </c>
      <c r="D104" s="19">
        <f t="shared" si="81"/>
        <v>-4660</v>
      </c>
      <c r="E104" s="19">
        <f t="shared" si="81"/>
        <v>-5613</v>
      </c>
      <c r="F104" s="19">
        <f t="shared" si="81"/>
        <v>-7300</v>
      </c>
      <c r="G104" s="19">
        <f t="shared" si="81"/>
        <v>-6221</v>
      </c>
      <c r="H104" s="19">
        <f t="shared" si="81"/>
        <v>-6869</v>
      </c>
      <c r="I104" s="19">
        <f t="shared" si="81"/>
        <v>-8182</v>
      </c>
      <c r="J104" s="19">
        <f t="shared" si="81"/>
        <v>-18633</v>
      </c>
      <c r="K104" s="19">
        <f t="shared" si="81"/>
        <v>-13581</v>
      </c>
      <c r="L104" s="19">
        <f t="shared" si="81"/>
        <v>-13007</v>
      </c>
      <c r="M104" s="19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idden="1" outlineLevel="1" x14ac:dyDescent="0.35"/>
    <row r="106" spans="1:26" s="2" customFormat="1" hidden="1" outlineLevel="1" x14ac:dyDescent="0.35">
      <c r="A106" s="11"/>
      <c r="B106" s="11" t="s">
        <v>20</v>
      </c>
      <c r="C106" s="19">
        <f t="shared" ref="C106:L106" si="82">IFERROR(C77+C92+C104,0)</f>
        <v>-1876</v>
      </c>
      <c r="D106" s="19">
        <f t="shared" si="82"/>
        <v>-63</v>
      </c>
      <c r="E106" s="19">
        <f t="shared" si="82"/>
        <v>-13</v>
      </c>
      <c r="F106" s="19">
        <f t="shared" si="82"/>
        <v>118</v>
      </c>
      <c r="G106" s="19">
        <f t="shared" si="82"/>
        <v>1571</v>
      </c>
      <c r="H106" s="19">
        <f t="shared" si="82"/>
        <v>-307</v>
      </c>
      <c r="I106" s="19">
        <f t="shared" si="82"/>
        <v>629</v>
      </c>
      <c r="J106" s="19">
        <f t="shared" si="82"/>
        <v>-780</v>
      </c>
      <c r="K106" s="19">
        <f t="shared" si="82"/>
        <v>-143</v>
      </c>
      <c r="L106" s="19">
        <f t="shared" si="82"/>
        <v>-628</v>
      </c>
      <c r="M106" s="19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collapsed="1" x14ac:dyDescent="0.35"/>
    <row r="108" spans="1:26" x14ac:dyDescent="0.35">
      <c r="B108" s="12" t="s">
        <v>174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26" hidden="1" outlineLevel="1" x14ac:dyDescent="0.35"/>
    <row r="110" spans="1:26" hidden="1" outlineLevel="1" x14ac:dyDescent="0.35">
      <c r="B110" s="71" t="s">
        <v>176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</row>
    <row r="111" spans="1:26" hidden="1" outlineLevel="1" x14ac:dyDescent="0.35">
      <c r="B111" s="9" t="s">
        <v>1</v>
      </c>
      <c r="C111" s="41">
        <f>'Data Sheet'!B17/'Data Sheet'!B$17</f>
        <v>1</v>
      </c>
      <c r="D111" s="41">
        <f>'Data Sheet'!C17/'Data Sheet'!C$17</f>
        <v>1</v>
      </c>
      <c r="E111" s="41">
        <f>'Data Sheet'!D17/'Data Sheet'!D$17</f>
        <v>1</v>
      </c>
      <c r="F111" s="41">
        <f>'Data Sheet'!E17/'Data Sheet'!E$17</f>
        <v>1</v>
      </c>
      <c r="G111" s="41">
        <f>'Data Sheet'!F17/'Data Sheet'!F$17</f>
        <v>1</v>
      </c>
      <c r="H111" s="41">
        <f>'Data Sheet'!G17/'Data Sheet'!G$17</f>
        <v>1</v>
      </c>
      <c r="I111" s="41">
        <f>'Data Sheet'!H17/'Data Sheet'!H$17</f>
        <v>1</v>
      </c>
      <c r="J111" s="41">
        <f>'Data Sheet'!I17/'Data Sheet'!I$17</f>
        <v>1</v>
      </c>
      <c r="K111" s="41">
        <f>'Data Sheet'!J17/'Data Sheet'!J$17</f>
        <v>1</v>
      </c>
      <c r="L111" s="41">
        <f>'Data Sheet'!K17/'Data Sheet'!K$17</f>
        <v>1</v>
      </c>
    </row>
    <row r="112" spans="1:26" hidden="1" outlineLevel="1" x14ac:dyDescent="0.35">
      <c r="B112" s="9" t="s">
        <v>44</v>
      </c>
      <c r="C112" s="41">
        <f>'Data Sheet'!B18/'Data Sheet'!B$17</f>
        <v>0.51878543775679453</v>
      </c>
      <c r="D112" s="41">
        <f>'Data Sheet'!C18/'Data Sheet'!C$17</f>
        <v>0.50493563839397848</v>
      </c>
      <c r="E112" s="41">
        <f>'Data Sheet'!D18/'Data Sheet'!D$17</f>
        <v>0.46034646697716919</v>
      </c>
      <c r="F112" s="41">
        <f>'Data Sheet'!E18/'Data Sheet'!E$17</f>
        <v>0.4947951764673858</v>
      </c>
      <c r="G112" s="41">
        <f>'Data Sheet'!F18/'Data Sheet'!F$17</f>
        <v>0.48311366425847946</v>
      </c>
      <c r="H112" s="41">
        <f>'Data Sheet'!G18/'Data Sheet'!G$17</f>
        <v>0.51841645560606919</v>
      </c>
      <c r="I112" s="41">
        <f>'Data Sheet'!H18/'Data Sheet'!H$17</f>
        <v>0.4938828622673016</v>
      </c>
      <c r="J112" s="41">
        <f>'Data Sheet'!I18/'Data Sheet'!I$17</f>
        <v>0.48015708713619937</v>
      </c>
      <c r="K112" s="41">
        <f>'Data Sheet'!J18/'Data Sheet'!J$17</f>
        <v>0.58840195345359381</v>
      </c>
      <c r="L112" s="41">
        <f>'Data Sheet'!K18/'Data Sheet'!K$17</f>
        <v>0.55048727709657019</v>
      </c>
    </row>
    <row r="113" spans="2:13" hidden="1" outlineLevel="1" x14ac:dyDescent="0.35">
      <c r="B113" s="9" t="s">
        <v>45</v>
      </c>
      <c r="C113" s="41">
        <f>'Data Sheet'!B19/'Data Sheet'!B$17</f>
        <v>7.3876650215991824E-3</v>
      </c>
      <c r="D113" s="41">
        <f>'Data Sheet'!C19/'Data Sheet'!C$17</f>
        <v>1.0875297276732136E-2</v>
      </c>
      <c r="E113" s="41">
        <f>'Data Sheet'!D19/'Data Sheet'!D$17</f>
        <v>-1.3967006948818941E-2</v>
      </c>
      <c r="F113" s="41">
        <f>'Data Sheet'!E19/'Data Sheet'!E$17</f>
        <v>3.5094964211236368E-2</v>
      </c>
      <c r="G113" s="41">
        <f>'Data Sheet'!F19/'Data Sheet'!F$17</f>
        <v>-8.4477742346749252E-3</v>
      </c>
      <c r="H113" s="41">
        <f>'Data Sheet'!G19/'Data Sheet'!G$17</f>
        <v>1.5242100755036478E-2</v>
      </c>
      <c r="I113" s="41">
        <f>'Data Sheet'!H19/'Data Sheet'!H$17</f>
        <v>1.1832519017873709E-2</v>
      </c>
      <c r="J113" s="41">
        <f>'Data Sheet'!I19/'Data Sheet'!I$17</f>
        <v>4.2578590775298802E-3</v>
      </c>
      <c r="K113" s="41">
        <f>'Data Sheet'!J19/'Data Sheet'!J$17</f>
        <v>4.5529612443164016E-2</v>
      </c>
      <c r="L113" s="41">
        <f>'Data Sheet'!K19/'Data Sheet'!K$17</f>
        <v>8.9806512820616927E-3</v>
      </c>
    </row>
    <row r="114" spans="2:13" hidden="1" outlineLevel="1" x14ac:dyDescent="0.35">
      <c r="B114" s="9" t="s">
        <v>46</v>
      </c>
      <c r="C114" s="41">
        <f>'Data Sheet'!B20/'Data Sheet'!B$17</f>
        <v>1.0944022153175395E-2</v>
      </c>
      <c r="D114" s="41">
        <f>'Data Sheet'!C20/'Data Sheet'!C$17</f>
        <v>9.5980539482903738E-3</v>
      </c>
      <c r="E114" s="41">
        <f>'Data Sheet'!D20/'Data Sheet'!D$17</f>
        <v>8.021587094269764E-3</v>
      </c>
      <c r="F114" s="41">
        <f>'Data Sheet'!E20/'Data Sheet'!E$17</f>
        <v>7.0389105290867941E-3</v>
      </c>
      <c r="G114" s="41">
        <f>'Data Sheet'!F20/'Data Sheet'!F$17</f>
        <v>6.5558959972183504E-3</v>
      </c>
      <c r="H114" s="41">
        <f>'Data Sheet'!G20/'Data Sheet'!G$17</f>
        <v>6.2177334560629266E-3</v>
      </c>
      <c r="I114" s="41">
        <f>'Data Sheet'!H20/'Data Sheet'!H$17</f>
        <v>4.8383944585317588E-3</v>
      </c>
      <c r="J114" s="41">
        <f>'Data Sheet'!I20/'Data Sheet'!I$17</f>
        <v>3.9631019320870327E-3</v>
      </c>
      <c r="K114" s="41">
        <f>'Data Sheet'!J20/'Data Sheet'!J$17</f>
        <v>4.0283451449558234E-3</v>
      </c>
      <c r="L114" s="41">
        <f>'Data Sheet'!K20/'Data Sheet'!K$17</f>
        <v>4.0097319142359837E-3</v>
      </c>
    </row>
    <row r="115" spans="2:13" hidden="1" outlineLevel="1" x14ac:dyDescent="0.35">
      <c r="B115" s="9" t="s">
        <v>47</v>
      </c>
      <c r="C115" s="41">
        <f>'Data Sheet'!B21/'Data Sheet'!B$17</f>
        <v>0.10573984257432467</v>
      </c>
      <c r="D115" s="41">
        <f>'Data Sheet'!C21/'Data Sheet'!C$17</f>
        <v>0.11049880795519146</v>
      </c>
      <c r="E115" s="41">
        <f>'Data Sheet'!D21/'Data Sheet'!D$17</f>
        <v>0.10757250994815538</v>
      </c>
      <c r="F115" s="41">
        <f>'Data Sheet'!E21/'Data Sheet'!E$17</f>
        <v>0.11039377930804628</v>
      </c>
      <c r="G115" s="41">
        <f>'Data Sheet'!F21/'Data Sheet'!F$17</f>
        <v>0.10054830589822611</v>
      </c>
      <c r="H115" s="41">
        <f>'Data Sheet'!G21/'Data Sheet'!G$17</f>
        <v>9.679508402490003E-2</v>
      </c>
      <c r="I115" s="41">
        <f>'Data Sheet'!H21/'Data Sheet'!H$17</f>
        <v>9.6288947986888487E-2</v>
      </c>
      <c r="J115" s="41">
        <f>'Data Sheet'!I21/'Data Sheet'!I$17</f>
        <v>9.5257679920452407E-2</v>
      </c>
      <c r="K115" s="41">
        <f>'Data Sheet'!J21/'Data Sheet'!J$17</f>
        <v>9.8980182315004703E-2</v>
      </c>
      <c r="L115" s="41">
        <f>'Data Sheet'!K21/'Data Sheet'!K$17</f>
        <v>8.455550081925646E-2</v>
      </c>
    </row>
    <row r="116" spans="2:13" hidden="1" outlineLevel="1" x14ac:dyDescent="0.35">
      <c r="B116" s="9" t="s">
        <v>48</v>
      </c>
      <c r="C116" s="41">
        <f>'Data Sheet'!B22/'Data Sheet'!B$17</f>
        <v>6.2485014774511738E-2</v>
      </c>
      <c r="D116" s="41">
        <f>'Data Sheet'!C22/'Data Sheet'!C$17</f>
        <v>6.8809556336052347E-2</v>
      </c>
      <c r="E116" s="41">
        <f>'Data Sheet'!D22/'Data Sheet'!D$17</f>
        <v>6.9718018230752368E-2</v>
      </c>
      <c r="F116" s="41">
        <f>'Data Sheet'!E22/'Data Sheet'!E$17</f>
        <v>6.9040677891832367E-2</v>
      </c>
      <c r="G116" s="41">
        <f>'Data Sheet'!F22/'Data Sheet'!F$17</f>
        <v>6.6681724028280112E-2</v>
      </c>
      <c r="H116" s="41">
        <f>'Data Sheet'!G22/'Data Sheet'!G$17</f>
        <v>6.4588440930492666E-2</v>
      </c>
      <c r="I116" s="41">
        <f>'Data Sheet'!H22/'Data Sheet'!H$17</f>
        <v>6.7846867462428101E-2</v>
      </c>
      <c r="J116" s="41">
        <f>'Data Sheet'!I22/'Data Sheet'!I$17</f>
        <v>7.1276422790438249E-2</v>
      </c>
      <c r="K116" s="41">
        <f>'Data Sheet'!J22/'Data Sheet'!J$17</f>
        <v>6.1667734202756716E-2</v>
      </c>
      <c r="L116" s="41">
        <f>'Data Sheet'!K22/'Data Sheet'!K$17</f>
        <v>5.9045904747048232E-2</v>
      </c>
    </row>
    <row r="117" spans="2:13" hidden="1" outlineLevel="1" x14ac:dyDescent="0.35">
      <c r="B117" s="9" t="s">
        <v>49</v>
      </c>
      <c r="C117" s="41">
        <f>'Data Sheet'!B23/'Data Sheet'!B$17</f>
        <v>0.23128841434424652</v>
      </c>
      <c r="D117" s="41">
        <f>'Data Sheet'!C23/'Data Sheet'!C$17</f>
        <v>0.24616937171967335</v>
      </c>
      <c r="E117" s="41">
        <f>'Data Sheet'!D23/'Data Sheet'!D$17</f>
        <v>0.27413395517917194</v>
      </c>
      <c r="F117" s="41">
        <f>'Data Sheet'!E23/'Data Sheet'!E$17</f>
        <v>0.28973860691714709</v>
      </c>
      <c r="G117" s="41">
        <f>'Data Sheet'!F23/'Data Sheet'!F$17</f>
        <v>0.13402557572119314</v>
      </c>
      <c r="H117" s="41">
        <f>'Data Sheet'!G23/'Data Sheet'!G$17</f>
        <v>0.12301736006981241</v>
      </c>
      <c r="I117" s="41">
        <f>'Data Sheet'!H23/'Data Sheet'!H$17</f>
        <v>0.11436749335147506</v>
      </c>
      <c r="J117" s="41">
        <f>'Data Sheet'!I23/'Data Sheet'!I$17</f>
        <v>0.10342705842961683</v>
      </c>
      <c r="K117" s="41">
        <f>'Data Sheet'!J23/'Data Sheet'!J$17</f>
        <v>0.10109452230279906</v>
      </c>
      <c r="L117" s="41">
        <f>'Data Sheet'!K23/'Data Sheet'!K$17</f>
        <v>0.10150719411840266</v>
      </c>
    </row>
    <row r="118" spans="2:13" hidden="1" outlineLevel="1" x14ac:dyDescent="0.35">
      <c r="B118" s="9" t="s">
        <v>50</v>
      </c>
      <c r="C118" s="41">
        <f>'Data Sheet'!B24/'Data Sheet'!B$17</f>
        <v>-8.5815732256879287E-2</v>
      </c>
      <c r="D118" s="41">
        <f>'Data Sheet'!C24/'Data Sheet'!C$17</f>
        <v>-9.3869672705478996E-2</v>
      </c>
      <c r="E118" s="41">
        <f>'Data Sheet'!D24/'Data Sheet'!D$17</f>
        <v>-0.12470246624564078</v>
      </c>
      <c r="F118" s="41">
        <f>'Data Sheet'!E24/'Data Sheet'!E$17</f>
        <v>-0.13467476741121193</v>
      </c>
      <c r="G118" s="41">
        <f>'Data Sheet'!F24/'Data Sheet'!F$17</f>
        <v>1.0190465718251008E-2</v>
      </c>
      <c r="H118" s="41">
        <f>'Data Sheet'!G24/'Data Sheet'!G$17</f>
        <v>1.0525396657922789E-2</v>
      </c>
      <c r="I118" s="41">
        <f>'Data Sheet'!H24/'Data Sheet'!H$17</f>
        <v>2.8939328344362667E-2</v>
      </c>
      <c r="J118" s="41">
        <f>'Data Sheet'!I24/'Data Sheet'!I$17</f>
        <v>2.6547947085565692E-2</v>
      </c>
      <c r="K118" s="41">
        <f>'Data Sheet'!J24/'Data Sheet'!J$17</f>
        <v>2.6291627034962038E-2</v>
      </c>
      <c r="L118" s="41">
        <f>'Data Sheet'!K24/'Data Sheet'!K$17</f>
        <v>2.7870376840572496E-2</v>
      </c>
    </row>
    <row r="119" spans="2:13" hidden="1" outlineLevel="1" x14ac:dyDescent="0.35">
      <c r="B119" s="9" t="s">
        <v>4</v>
      </c>
      <c r="C119" s="41">
        <f>'Data Sheet'!B25/'Data Sheet'!B$17</f>
        <v>1.0168268227557758E-2</v>
      </c>
      <c r="D119" s="41">
        <f>'Data Sheet'!C25/'Data Sheet'!C$17</f>
        <v>1.0439756567263496E-2</v>
      </c>
      <c r="E119" s="41">
        <f>'Data Sheet'!D25/'Data Sheet'!D$17</f>
        <v>1.4952187893485543E-2</v>
      </c>
      <c r="F119" s="41">
        <f>'Data Sheet'!E25/'Data Sheet'!E$17</f>
        <v>2.2433954610247383E-2</v>
      </c>
      <c r="G119" s="41">
        <f>'Data Sheet'!F25/'Data Sheet'!F$17</f>
        <v>1.9995185606747286E-2</v>
      </c>
      <c r="H119" s="41">
        <f>'Data Sheet'!G25/'Data Sheet'!G$17</f>
        <v>1.422911383654892E-2</v>
      </c>
      <c r="I119" s="41">
        <f>'Data Sheet'!H25/'Data Sheet'!H$17</f>
        <v>1.7566949100129878E-2</v>
      </c>
      <c r="J119" s="41">
        <f>'Data Sheet'!I25/'Data Sheet'!I$17</f>
        <v>1.5274407388456295E-2</v>
      </c>
      <c r="K119" s="41">
        <f>'Data Sheet'!J25/'Data Sheet'!J$17</f>
        <v>1.0167250375241226E-2</v>
      </c>
      <c r="L119" s="41">
        <f>'Data Sheet'!K25/'Data Sheet'!K$17</f>
        <v>1.2510224395952401E-2</v>
      </c>
    </row>
    <row r="120" spans="2:13" hidden="1" outlineLevel="1" x14ac:dyDescent="0.35">
      <c r="B120" s="9" t="s">
        <v>5</v>
      </c>
      <c r="C120" s="41">
        <f>'Data Sheet'!B26/'Data Sheet'!B$17</f>
        <v>2.0102500988104288E-2</v>
      </c>
      <c r="D120" s="41">
        <f>'Data Sheet'!C26/'Data Sheet'!C$17</f>
        <v>1.953102621617215E-2</v>
      </c>
      <c r="E120" s="41">
        <f>'Data Sheet'!D26/'Data Sheet'!D$17</f>
        <v>1.9309826794539322E-2</v>
      </c>
      <c r="F120" s="41">
        <f>'Data Sheet'!E26/'Data Sheet'!E$17</f>
        <v>2.2227474590011016E-2</v>
      </c>
      <c r="G120" s="41">
        <f>'Data Sheet'!F26/'Data Sheet'!F$17</f>
        <v>2.1425238713665449E-2</v>
      </c>
      <c r="H120" s="41">
        <f>'Data Sheet'!G26/'Data Sheet'!G$17</f>
        <v>3.2335540352378074E-2</v>
      </c>
      <c r="I120" s="41">
        <f>'Data Sheet'!H26/'Data Sheet'!H$17</f>
        <v>3.8617106809326486E-2</v>
      </c>
      <c r="J120" s="41">
        <f>'Data Sheet'!I26/'Data Sheet'!I$17</f>
        <v>3.6442576011650275E-2</v>
      </c>
      <c r="K120" s="41">
        <f>'Data Sheet'!J26/'Data Sheet'!J$17</f>
        <v>2.8052374328551871E-2</v>
      </c>
      <c r="L120" s="41">
        <f>'Data Sheet'!K26/'Data Sheet'!K$17</f>
        <v>2.4878372818372688E-2</v>
      </c>
    </row>
    <row r="121" spans="2:13" hidden="1" outlineLevel="1" x14ac:dyDescent="0.35">
      <c r="B121" s="9" t="s">
        <v>6</v>
      </c>
      <c r="C121" s="41">
        <f>'Data Sheet'!B27/'Data Sheet'!B$17</f>
        <v>3.9270496719821081E-3</v>
      </c>
      <c r="D121" s="41">
        <f>'Data Sheet'!C27/'Data Sheet'!C$17</f>
        <v>3.1024012762150706E-3</v>
      </c>
      <c r="E121" s="41">
        <f>'Data Sheet'!D27/'Data Sheet'!D$17</f>
        <v>3.4334186549547386E-3</v>
      </c>
      <c r="F121" s="41">
        <f>'Data Sheet'!E27/'Data Sheet'!E$17</f>
        <v>2.4784241657310885E-3</v>
      </c>
      <c r="G121" s="41">
        <f>'Data Sheet'!F27/'Data Sheet'!F$17</f>
        <v>2.4648504714836358E-3</v>
      </c>
      <c r="H121" s="41">
        <f>'Data Sheet'!G27/'Data Sheet'!G$17</f>
        <v>5.7416451967840128E-3</v>
      </c>
      <c r="I121" s="41">
        <f>'Data Sheet'!H27/'Data Sheet'!H$17</f>
        <v>5.0630218319005502E-3</v>
      </c>
      <c r="J121" s="41">
        <f>'Data Sheet'!I27/'Data Sheet'!I$17</f>
        <v>4.2200933182700148E-3</v>
      </c>
      <c r="K121" s="41">
        <f>'Data Sheet'!J27/'Data Sheet'!J$17</f>
        <v>3.2785499469439143E-3</v>
      </c>
      <c r="L121" s="41">
        <f>'Data Sheet'!K27/'Data Sheet'!K$17</f>
        <v>4.1883417095335005E-3</v>
      </c>
    </row>
    <row r="122" spans="2:13" hidden="1" outlineLevel="1" x14ac:dyDescent="0.35">
      <c r="B122" s="9" t="s">
        <v>7</v>
      </c>
      <c r="C122" s="41">
        <f>'Data Sheet'!B28/'Data Sheet'!B$17</f>
        <v>0.1500993832428969</v>
      </c>
      <c r="D122" s="41">
        <f>'Data Sheet'!C28/'Data Sheet'!C$17</f>
        <v>0.15253987070390135</v>
      </c>
      <c r="E122" s="41">
        <f>'Data Sheet'!D28/'Data Sheet'!D$17</f>
        <v>0.18315186431129477</v>
      </c>
      <c r="F122" s="41">
        <f>'Data Sheet'!E28/'Data Sheet'!E$17</f>
        <v>0.19649063636345529</v>
      </c>
      <c r="G122" s="41">
        <f>'Data Sheet'!F28/'Data Sheet'!F$17</f>
        <v>0.18654169056527517</v>
      </c>
      <c r="H122" s="41">
        <f>'Data Sheet'!G28/'Data Sheet'!G$17</f>
        <v>0.17183355829716326</v>
      </c>
      <c r="I122" s="41">
        <f>'Data Sheet'!H28/'Data Sheet'!H$17</f>
        <v>0.17955544560578884</v>
      </c>
      <c r="J122" s="41">
        <f>'Data Sheet'!I28/'Data Sheet'!I$17</f>
        <v>0.19824029984170621</v>
      </c>
      <c r="K122" s="41">
        <f>'Data Sheet'!J28/'Data Sheet'!J$17</f>
        <v>0.14390157408883733</v>
      </c>
      <c r="L122" s="41">
        <f>'Data Sheet'!K28/'Data Sheet'!K$17</f>
        <v>0.16494817561402192</v>
      </c>
    </row>
    <row r="123" spans="2:13" hidden="1" outlineLevel="1" x14ac:dyDescent="0.35">
      <c r="B123" s="9" t="s">
        <v>8</v>
      </c>
      <c r="C123" s="41">
        <f>'Data Sheet'!B29/'Data Sheet'!B$17</f>
        <v>4.676699641663877E-2</v>
      </c>
      <c r="D123" s="41">
        <f>'Data Sheet'!C29/'Data Sheet'!C$17</f>
        <v>4.7706764321797747E-2</v>
      </c>
      <c r="E123" s="41">
        <f>'Data Sheet'!D29/'Data Sheet'!D$17</f>
        <v>5.9173218773933209E-2</v>
      </c>
      <c r="F123" s="41">
        <f>'Data Sheet'!E29/'Data Sheet'!E$17</f>
        <v>6.2627182729506528E-2</v>
      </c>
      <c r="G123" s="41">
        <f>'Data Sheet'!F29/'Data Sheet'!F$17</f>
        <v>6.1871491362324706E-2</v>
      </c>
      <c r="H123" s="41">
        <f>'Data Sheet'!G29/'Data Sheet'!G$17</f>
        <v>5.7071339954563712E-2</v>
      </c>
      <c r="I123" s="41">
        <f>'Data Sheet'!H29/'Data Sheet'!H$17</f>
        <v>4.2295751128703075E-2</v>
      </c>
      <c r="J123" s="41">
        <f>'Data Sheet'!I29/'Data Sheet'!I$17</f>
        <v>5.05508504434483E-2</v>
      </c>
      <c r="K123" s="41">
        <f>'Data Sheet'!J29/'Data Sheet'!J$17</f>
        <v>3.7899020249281136E-2</v>
      </c>
      <c r="L123" s="41">
        <f>'Data Sheet'!K29/'Data Sheet'!K$17</f>
        <v>4.3304176830656176E-2</v>
      </c>
    </row>
    <row r="124" spans="2:13" hidden="1" outlineLevel="1" x14ac:dyDescent="0.35">
      <c r="B124" s="9" t="s">
        <v>9</v>
      </c>
      <c r="C124" s="41">
        <f>'Data Sheet'!B30/'Data Sheet'!B$17</f>
        <v>9.9735932709075076E-2</v>
      </c>
      <c r="D124" s="41">
        <f>'Data Sheet'!C30/'Data Sheet'!C$17</f>
        <v>0.10246958192498712</v>
      </c>
      <c r="E124" s="41">
        <f>'Data Sheet'!D30/'Data Sheet'!D$17</f>
        <v>0.12228295714042473</v>
      </c>
      <c r="F124" s="41">
        <f>'Data Sheet'!E30/'Data Sheet'!E$17</f>
        <v>0.12876319795724203</v>
      </c>
      <c r="G124" s="41">
        <f>'Data Sheet'!F30/'Data Sheet'!F$17</f>
        <v>0.12118778808348515</v>
      </c>
      <c r="H124" s="41">
        <f>'Data Sheet'!G30/'Data Sheet'!G$17</f>
        <v>0.11205329693718286</v>
      </c>
      <c r="I124" s="41">
        <f>'Data Sheet'!H30/'Data Sheet'!H$17</f>
        <v>0.13384476467313997</v>
      </c>
      <c r="J124" s="41">
        <f>'Data Sheet'!I30/'Data Sheet'!I$17</f>
        <v>0.14458252486207437</v>
      </c>
      <c r="K124" s="41">
        <f>'Data Sheet'!J30/'Data Sheet'!J$17</f>
        <v>0.10413871829692715</v>
      </c>
      <c r="L124" s="41">
        <f>'Data Sheet'!K30/'Data Sheet'!K$17</f>
        <v>0.11906691459407301</v>
      </c>
    </row>
    <row r="125" spans="2:13" hidden="1" outlineLevel="1" x14ac:dyDescent="0.35">
      <c r="B125" s="9" t="s">
        <v>34</v>
      </c>
      <c r="C125" s="41">
        <f>'Data Sheet'!B31/'Data Sheet'!B$17</f>
        <v>4.1601031719988836E-2</v>
      </c>
      <c r="D125" s="41">
        <f>'Data Sheet'!C31/'Data Sheet'!C$17</f>
        <v>4.2974574117571017E-2</v>
      </c>
      <c r="E125" s="41">
        <f>'Data Sheet'!D31/'Data Sheet'!D$17</f>
        <v>5.0408191436213036E-2</v>
      </c>
      <c r="F125" s="41">
        <f>'Data Sheet'!E31/'Data Sheet'!E$17</f>
        <v>6.559425414570054E-2</v>
      </c>
      <c r="G125" s="41">
        <f>'Data Sheet'!F31/'Data Sheet'!F$17</f>
        <v>4.9600137893732674E-2</v>
      </c>
      <c r="H125" s="41">
        <f>'Data Sheet'!G31/'Data Sheet'!G$17</f>
        <v>5.2346839652330827E-2</v>
      </c>
      <c r="I125" s="41">
        <f>'Data Sheet'!H31/'Data Sheet'!H$17</f>
        <v>5.6950460758241075E-2</v>
      </c>
      <c r="J125" s="41">
        <f>'Data Sheet'!I31/'Data Sheet'!I$17</f>
        <v>7.8855365892637475E-2</v>
      </c>
      <c r="K125" s="41">
        <f>'Data Sheet'!J31/'Data Sheet'!J$17</f>
        <v>6.3119904004222488E-2</v>
      </c>
      <c r="L125" s="41">
        <f>'Data Sheet'!K31/'Data Sheet'!K$17</f>
        <v>7.1338086016273797E-2</v>
      </c>
    </row>
    <row r="126" spans="2:13" hidden="1" outlineLevel="1" x14ac:dyDescent="0.35">
      <c r="B126" s="9" t="s">
        <v>61</v>
      </c>
      <c r="C126" s="41">
        <f>'Data Sheet'!B33/'Data Sheet'!B$17</f>
        <v>0.17053247978580025</v>
      </c>
      <c r="D126" s="41">
        <f>'Data Sheet'!C33/'Data Sheet'!C$17</f>
        <v>0.17280977373917206</v>
      </c>
      <c r="E126" s="41">
        <f>'Data Sheet'!D33/'Data Sheet'!D$17</f>
        <v>0.204199421363852</v>
      </c>
      <c r="F126" s="41">
        <f>'Data Sheet'!E33/'Data Sheet'!E$17</f>
        <v>0.21609627944249069</v>
      </c>
      <c r="G126" s="41">
        <f>'Data Sheet'!F33/'Data Sheet'!F$17</f>
        <v>0.20694936863095892</v>
      </c>
      <c r="H126" s="41">
        <f>'Data Sheet'!G33/'Data Sheet'!G$17</f>
        <v>0.20720182244090862</v>
      </c>
      <c r="I126" s="41">
        <f>'Data Sheet'!H33/'Data Sheet'!H$17</f>
        <v>0.21982064444307009</v>
      </c>
      <c r="J126" s="41">
        <f>'Data Sheet'!I33/'Data Sheet'!I$17</f>
        <v>0.23579604463544293</v>
      </c>
      <c r="K126" s="41">
        <f>'Data Sheet'!J33/'Data Sheet'!J$17</f>
        <v>0.17336866282170407</v>
      </c>
      <c r="L126" s="41">
        <f>'Data Sheet'!K33/'Data Sheet'!K$17</f>
        <v>0.19143780595263538</v>
      </c>
    </row>
    <row r="127" spans="2:13" collapsed="1" x14ac:dyDescent="0.35"/>
    <row r="128" spans="2:13" x14ac:dyDescent="0.35">
      <c r="B128" s="12" t="s">
        <v>175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26" hidden="1" outlineLevel="1" x14ac:dyDescent="0.35"/>
    <row r="130" spans="1:26" s="2" customFormat="1" hidden="1" outlineLevel="1" x14ac:dyDescent="0.35">
      <c r="A130" s="11"/>
      <c r="B130" s="11" t="s">
        <v>177</v>
      </c>
      <c r="C130" s="73">
        <f>'Data Sheet'!B61/'Data Sheet'!B$61</f>
        <v>1</v>
      </c>
      <c r="D130" s="73">
        <f>'Data Sheet'!C61/'Data Sheet'!C$61</f>
        <v>1</v>
      </c>
      <c r="E130" s="73">
        <f>'Data Sheet'!D61/'Data Sheet'!D$61</f>
        <v>1</v>
      </c>
      <c r="F130" s="73">
        <f>'Data Sheet'!E61/'Data Sheet'!E$61</f>
        <v>1</v>
      </c>
      <c r="G130" s="73">
        <f>'Data Sheet'!F61/'Data Sheet'!F$61</f>
        <v>1</v>
      </c>
      <c r="H130" s="73">
        <f>'Data Sheet'!G61/'Data Sheet'!G$61</f>
        <v>1</v>
      </c>
      <c r="I130" s="73">
        <f>'Data Sheet'!H61/'Data Sheet'!H$61</f>
        <v>1</v>
      </c>
      <c r="J130" s="73">
        <f>'Data Sheet'!I61/'Data Sheet'!I$61</f>
        <v>1</v>
      </c>
      <c r="K130" s="73">
        <f>'Data Sheet'!J61/'Data Sheet'!J$61</f>
        <v>1</v>
      </c>
      <c r="L130" s="73">
        <f>'Data Sheet'!K61/'Data Sheet'!K$61</f>
        <v>1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idden="1" outlineLevel="1" x14ac:dyDescent="0.35">
      <c r="B131" s="9" t="s">
        <v>10</v>
      </c>
      <c r="C131" s="41">
        <f>'Data Sheet'!B57/'Data Sheet'!B$61</f>
        <v>1.1878049384550612E-2</v>
      </c>
      <c r="D131" s="41">
        <f>'Data Sheet'!C57/'Data Sheet'!C$61</f>
        <v>1.0759997756464188E-2</v>
      </c>
      <c r="E131" s="41">
        <f>'Data Sheet'!D57/'Data Sheet'!D$61</f>
        <v>9.0841677691984955E-3</v>
      </c>
      <c r="F131" s="41">
        <f>'Data Sheet'!E57/'Data Sheet'!E$61</f>
        <v>7.732247551226543E-3</v>
      </c>
      <c r="G131" s="41">
        <f>'Data Sheet'!F57/'Data Sheet'!F$61</f>
        <v>6.969167681429406E-3</v>
      </c>
      <c r="H131" s="41">
        <f>'Data Sheet'!G57/'Data Sheet'!G$61</f>
        <v>5.9031906277617358E-3</v>
      </c>
      <c r="I131" s="41">
        <f>'Data Sheet'!H57/'Data Sheet'!H$61</f>
        <v>5.9437463324073601E-3</v>
      </c>
      <c r="J131" s="41">
        <f>'Data Sheet'!I57/'Data Sheet'!I$61</f>
        <v>4.712276974985434E-3</v>
      </c>
      <c r="K131" s="41">
        <f>'Data Sheet'!J57/'Data Sheet'!J$61</f>
        <v>4.1779860382439044E-3</v>
      </c>
      <c r="L131" s="41">
        <f>'Data Sheet'!K57/'Data Sheet'!K$61</f>
        <v>3.7208104322338864E-3</v>
      </c>
    </row>
    <row r="132" spans="1:26" hidden="1" outlineLevel="1" x14ac:dyDescent="0.35">
      <c r="B132" s="9" t="s">
        <v>11</v>
      </c>
      <c r="C132" s="41">
        <f>'Data Sheet'!B58/'Data Sheet'!B$61</f>
        <v>0.48831017658567999</v>
      </c>
      <c r="D132" s="41">
        <f>'Data Sheet'!C58/'Data Sheet'!C$61</f>
        <v>0.52122272701777994</v>
      </c>
      <c r="E132" s="41">
        <f>'Data Sheet'!D58/'Data Sheet'!D$61</f>
        <v>0.60885327534820899</v>
      </c>
      <c r="F132" s="41">
        <f>'Data Sheet'!E58/'Data Sheet'!E$61</f>
        <v>0.60522813435344402</v>
      </c>
      <c r="G132" s="41">
        <f>'Data Sheet'!F58/'Data Sheet'!F$61</f>
        <v>0.60408486807115636</v>
      </c>
      <c r="H132" s="41">
        <f>'Data Sheet'!G58/'Data Sheet'!G$61</f>
        <v>0.57694149243884485</v>
      </c>
      <c r="I132" s="41">
        <f>'Data Sheet'!H58/'Data Sheet'!H$61</f>
        <v>0.62177832775745645</v>
      </c>
      <c r="J132" s="41">
        <f>'Data Sheet'!I58/'Data Sheet'!I$61</f>
        <v>0.62442435252862394</v>
      </c>
      <c r="K132" s="41">
        <f>'Data Sheet'!J58/'Data Sheet'!J$61</f>
        <v>0.59741193104232293</v>
      </c>
      <c r="L132" s="41">
        <f>'Data Sheet'!K58/'Data Sheet'!K$61</f>
        <v>0.61663006757739625</v>
      </c>
    </row>
    <row r="133" spans="1:26" hidden="1" outlineLevel="1" x14ac:dyDescent="0.35">
      <c r="B133" s="9" t="s">
        <v>35</v>
      </c>
      <c r="C133" s="41">
        <f>'Data Sheet'!B59/'Data Sheet'!B$61</f>
        <v>3.0852960844044878E-2</v>
      </c>
      <c r="D133" s="41">
        <f>'Data Sheet'!C59/'Data Sheet'!C$61</f>
        <v>4.6908968534410234E-2</v>
      </c>
      <c r="E133" s="41">
        <f>'Data Sheet'!D59/'Data Sheet'!D$61</f>
        <v>3.0617395726690803E-2</v>
      </c>
      <c r="F133" s="41">
        <f>'Data Sheet'!E59/'Data Sheet'!E$61</f>
        <v>4.5169803928839465E-2</v>
      </c>
      <c r="G133" s="41">
        <f>'Data Sheet'!F59/'Data Sheet'!F$61</f>
        <v>3.8756913222528021E-2</v>
      </c>
      <c r="H133" s="41">
        <f>'Data Sheet'!G59/'Data Sheet'!G$61</f>
        <v>8.1211951130049892E-2</v>
      </c>
      <c r="I133" s="41">
        <f>'Data Sheet'!H59/'Data Sheet'!H$61</f>
        <v>6.9308593336088742E-2</v>
      </c>
      <c r="J133" s="41">
        <f>'Data Sheet'!I59/'Data Sheet'!I$61</f>
        <v>5.3701878720768106E-2</v>
      </c>
      <c r="K133" s="41">
        <f>'Data Sheet'!J59/'Data Sheet'!J$61</f>
        <v>6.9119708969646448E-2</v>
      </c>
      <c r="L133" s="41">
        <f>'Data Sheet'!K59/'Data Sheet'!K$61</f>
        <v>7.4967813360548932E-2</v>
      </c>
    </row>
    <row r="134" spans="1:26" hidden="1" outlineLevel="1" x14ac:dyDescent="0.35">
      <c r="B134" s="9" t="s">
        <v>36</v>
      </c>
      <c r="C134" s="41">
        <f>'Data Sheet'!B60/'Data Sheet'!B$61</f>
        <v>0.46895881318572458</v>
      </c>
      <c r="D134" s="41">
        <f>'Data Sheet'!C60/'Data Sheet'!C$61</f>
        <v>0.42110830669134552</v>
      </c>
      <c r="E134" s="41">
        <f>'Data Sheet'!D60/'Data Sheet'!D$61</f>
        <v>0.35144516115590163</v>
      </c>
      <c r="F134" s="41">
        <f>'Data Sheet'!E60/'Data Sheet'!E$61</f>
        <v>0.34186981416648998</v>
      </c>
      <c r="G134" s="41">
        <f>'Data Sheet'!F60/'Data Sheet'!F$61</f>
        <v>0.35018905102488612</v>
      </c>
      <c r="H134" s="41">
        <f>'Data Sheet'!G60/'Data Sheet'!G$61</f>
        <v>0.3359433658033435</v>
      </c>
      <c r="I134" s="41">
        <f>'Data Sheet'!H60/'Data Sheet'!H$61</f>
        <v>0.30296933257404746</v>
      </c>
      <c r="J134" s="41">
        <f>'Data Sheet'!I60/'Data Sheet'!I$61</f>
        <v>0.31716149177562253</v>
      </c>
      <c r="K134" s="41">
        <f>'Data Sheet'!J60/'Data Sheet'!J$61</f>
        <v>0.32929037394978661</v>
      </c>
      <c r="L134" s="41">
        <f>'Data Sheet'!K60/'Data Sheet'!K$61</f>
        <v>0.30468130862982085</v>
      </c>
    </row>
    <row r="135" spans="1:26" hidden="1" outlineLevel="1" x14ac:dyDescent="0.35"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1:26" s="2" customFormat="1" hidden="1" outlineLevel="1" x14ac:dyDescent="0.35">
      <c r="A136" s="11"/>
      <c r="B136" s="11" t="s">
        <v>178</v>
      </c>
      <c r="C136" s="73">
        <f>'Data Sheet'!B66/'Data Sheet'!B$66</f>
        <v>1</v>
      </c>
      <c r="D136" s="73">
        <f>'Data Sheet'!C66/'Data Sheet'!C$66</f>
        <v>1</v>
      </c>
      <c r="E136" s="73">
        <f>'Data Sheet'!D66/'Data Sheet'!D$66</f>
        <v>1</v>
      </c>
      <c r="F136" s="73">
        <f>'Data Sheet'!E66/'Data Sheet'!E$66</f>
        <v>1</v>
      </c>
      <c r="G136" s="73">
        <f>'Data Sheet'!F66/'Data Sheet'!F$66</f>
        <v>1</v>
      </c>
      <c r="H136" s="73">
        <f>'Data Sheet'!G66/'Data Sheet'!G$66</f>
        <v>1</v>
      </c>
      <c r="I136" s="73">
        <f>'Data Sheet'!H66/'Data Sheet'!H$66</f>
        <v>1</v>
      </c>
      <c r="J136" s="73">
        <f>'Data Sheet'!I66/'Data Sheet'!I$66</f>
        <v>1</v>
      </c>
      <c r="K136" s="73">
        <f>'Data Sheet'!J66/'Data Sheet'!J$66</f>
        <v>1</v>
      </c>
      <c r="L136" s="73">
        <f>'Data Sheet'!K66/'Data Sheet'!K$66</f>
        <v>1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idden="1" outlineLevel="1" x14ac:dyDescent="0.35">
      <c r="B137" s="9" t="s">
        <v>13</v>
      </c>
      <c r="C137" s="41">
        <f>'Data Sheet'!B62/'Data Sheet'!B$66</f>
        <v>0.31720781633107958</v>
      </c>
      <c r="D137" s="41">
        <f>'Data Sheet'!C62/'Data Sheet'!C$66</f>
        <v>0.29839475012619887</v>
      </c>
      <c r="E137" s="41">
        <f>'Data Sheet'!D62/'Data Sheet'!D$66</f>
        <v>0.32354771224250711</v>
      </c>
      <c r="F137" s="41">
        <f>'Data Sheet'!E62/'Data Sheet'!E$66</f>
        <v>0.26631917769901142</v>
      </c>
      <c r="G137" s="41">
        <f>'Data Sheet'!F62/'Data Sheet'!F$66</f>
        <v>0.2711697913609058</v>
      </c>
      <c r="H137" s="41">
        <f>'Data Sheet'!G62/'Data Sheet'!G$66</f>
        <v>0.39981684846425963</v>
      </c>
      <c r="I137" s="41">
        <f>'Data Sheet'!H62/'Data Sheet'!H$66</f>
        <v>0.38866784360114692</v>
      </c>
      <c r="J137" s="41">
        <f>'Data Sheet'!I62/'Data Sheet'!I$66</f>
        <v>0.28781243644173965</v>
      </c>
      <c r="K137" s="41">
        <f>'Data Sheet'!J62/'Data Sheet'!J$66</f>
        <v>0.240393615765538</v>
      </c>
      <c r="L137" s="41">
        <f>'Data Sheet'!K62/'Data Sheet'!K$66</f>
        <v>0.22384057304825222</v>
      </c>
    </row>
    <row r="138" spans="1:26" hidden="1" outlineLevel="1" x14ac:dyDescent="0.35">
      <c r="B138" s="9" t="s">
        <v>14</v>
      </c>
      <c r="C138" s="41">
        <f>'Data Sheet'!B63/'Data Sheet'!B$66</f>
        <v>8.8664338608613804E-3</v>
      </c>
      <c r="D138" s="41">
        <f>'Data Sheet'!C63/'Data Sheet'!C$66</f>
        <v>2.1986650961915981E-2</v>
      </c>
      <c r="E138" s="41">
        <f>'Data Sheet'!D63/'Data Sheet'!D$66</f>
        <v>1.0094677257285944E-2</v>
      </c>
      <c r="F138" s="41">
        <f>'Data Sheet'!E63/'Data Sheet'!E$66</f>
        <v>2.0760665495651417E-2</v>
      </c>
      <c r="G138" s="41">
        <f>'Data Sheet'!F63/'Data Sheet'!F$66</f>
        <v>0.10208973311982143</v>
      </c>
      <c r="H138" s="41">
        <f>'Data Sheet'!G63/'Data Sheet'!G$66</f>
        <v>1.2903690355742316E-2</v>
      </c>
      <c r="I138" s="41">
        <f>'Data Sheet'!H63/'Data Sheet'!H$66</f>
        <v>8.6900644876648069E-3</v>
      </c>
      <c r="J138" s="41">
        <f>'Data Sheet'!I63/'Data Sheet'!I$66</f>
        <v>8.9892873319728384E-3</v>
      </c>
      <c r="K138" s="41">
        <f>'Data Sheet'!J63/'Data Sheet'!J$66</f>
        <v>1.8574005278235488E-2</v>
      </c>
      <c r="L138" s="41">
        <f>'Data Sheet'!K63/'Data Sheet'!K$66</f>
        <v>3.9550678780247588E-2</v>
      </c>
    </row>
    <row r="139" spans="1:26" hidden="1" outlineLevel="1" x14ac:dyDescent="0.35">
      <c r="B139" s="9" t="s">
        <v>15</v>
      </c>
      <c r="C139" s="41">
        <f>'Data Sheet'!B64/'Data Sheet'!B$66</f>
        <v>0.17628228942219581</v>
      </c>
      <c r="D139" s="41">
        <f>'Data Sheet'!C64/'Data Sheet'!C$66</f>
        <v>0.17811318638173762</v>
      </c>
      <c r="E139" s="41">
        <f>'Data Sheet'!D64/'Data Sheet'!D$66</f>
        <v>0.25685408602873561</v>
      </c>
      <c r="F139" s="41">
        <f>'Data Sheet'!E64/'Data Sheet'!E$66</f>
        <v>0.21378068372995493</v>
      </c>
      <c r="G139" s="41">
        <f>'Data Sheet'!F64/'Data Sheet'!F$66</f>
        <v>0.15553479207293502</v>
      </c>
      <c r="H139" s="41">
        <f>'Data Sheet'!G64/'Data Sheet'!G$66</f>
        <v>0.15807774585755044</v>
      </c>
      <c r="I139" s="41">
        <f>'Data Sheet'!H64/'Data Sheet'!H$66</f>
        <v>0.12509937743099039</v>
      </c>
      <c r="J139" s="41">
        <f>'Data Sheet'!I64/'Data Sheet'!I$66</f>
        <v>0.23270552100824649</v>
      </c>
      <c r="K139" s="41">
        <f>'Data Sheet'!J64/'Data Sheet'!J$66</f>
        <v>0.14145261675123255</v>
      </c>
      <c r="L139" s="41">
        <f>'Data Sheet'!K64/'Data Sheet'!K$66</f>
        <v>0.16531500236817637</v>
      </c>
    </row>
    <row r="140" spans="1:26" hidden="1" outlineLevel="1" x14ac:dyDescent="0.35">
      <c r="B140" s="9" t="s">
        <v>37</v>
      </c>
      <c r="C140" s="41">
        <f>'Data Sheet'!B74/'Data Sheet'!B$66</f>
        <v>7.5477375733709759E-2</v>
      </c>
      <c r="D140" s="41">
        <f>'Data Sheet'!C74/'Data Sheet'!C$66</f>
        <v>9.2623254248695983E-2</v>
      </c>
      <c r="E140" s="41">
        <f>'Data Sheet'!D74/'Data Sheet'!D$66</f>
        <v>6.7684247511371767E-2</v>
      </c>
      <c r="F140" s="41">
        <f>'Data Sheet'!E74/'Data Sheet'!E$66</f>
        <v>0.10617894607015287</v>
      </c>
      <c r="G140" s="41">
        <f>'Data Sheet'!F74/'Data Sheet'!F$66</f>
        <v>0.12292240043942376</v>
      </c>
      <c r="H140" s="41">
        <f>'Data Sheet'!G74/'Data Sheet'!G$66</f>
        <v>9.0588620479985005E-2</v>
      </c>
      <c r="I140" s="41">
        <f>'Data Sheet'!H74/'Data Sheet'!H$66</f>
        <v>0.10774031678085903</v>
      </c>
      <c r="J140" s="41">
        <f>'Data Sheet'!I74/'Data Sheet'!I$66</f>
        <v>0.1260367058472126</v>
      </c>
      <c r="K140" s="41">
        <f>'Data Sheet'!J74/'Data Sheet'!J$66</f>
        <v>0.12529863758105408</v>
      </c>
      <c r="L140" s="41">
        <f>'Data Sheet'!K74/'Data Sheet'!K$66</f>
        <v>0.11777536499203045</v>
      </c>
    </row>
    <row r="141" spans="1:26" s="2" customFormat="1" hidden="1" outlineLevel="1" x14ac:dyDescent="0.35">
      <c r="A141" s="11"/>
      <c r="B141" s="11" t="s">
        <v>179</v>
      </c>
      <c r="C141" s="73">
        <f>'Data Sheet'!B76/'Data Sheet'!B$66</f>
        <v>0.57783391534784656</v>
      </c>
      <c r="D141" s="73">
        <f>'Data Sheet'!C76/'Data Sheet'!C$66</f>
        <v>0.59111784171854853</v>
      </c>
      <c r="E141" s="73">
        <f>'Data Sheet'!D76/'Data Sheet'!D$66</f>
        <v>0.65818072303990038</v>
      </c>
      <c r="F141" s="73">
        <f>'Data Sheet'!E76/'Data Sheet'!E$66</f>
        <v>0.60703947299477057</v>
      </c>
      <c r="G141" s="73">
        <f>'Data Sheet'!F76/'Data Sheet'!F$66</f>
        <v>0.65171671699308598</v>
      </c>
      <c r="H141" s="73">
        <f>'Data Sheet'!G76/'Data Sheet'!G$66</f>
        <v>0.6613869051575374</v>
      </c>
      <c r="I141" s="73">
        <f>'Data Sheet'!H76/'Data Sheet'!H$66</f>
        <v>0.63019760230066102</v>
      </c>
      <c r="J141" s="73">
        <f>'Data Sheet'!I76/'Data Sheet'!I$66</f>
        <v>0.65554395062917148</v>
      </c>
      <c r="K141" s="73">
        <f>'Data Sheet'!J76/'Data Sheet'!J$66</f>
        <v>0.5257188753760601</v>
      </c>
      <c r="L141" s="73">
        <f>'Data Sheet'!K76/'Data Sheet'!K$66</f>
        <v>0.54648161918870664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idden="1" outlineLevel="1" x14ac:dyDescent="0.35">
      <c r="B142" s="9" t="s">
        <v>42</v>
      </c>
      <c r="C142" s="41">
        <f>'Data Sheet'!B67/'Data Sheet'!B$66</f>
        <v>0.13749164128092725</v>
      </c>
      <c r="D142" s="41">
        <f>'Data Sheet'!C67/'Data Sheet'!C$66</f>
        <v>0.13260081889057154</v>
      </c>
      <c r="E142" s="41">
        <f>'Data Sheet'!D67/'Data Sheet'!D$66</f>
        <v>0.11240047618010365</v>
      </c>
      <c r="F142" s="41">
        <f>'Data Sheet'!E67/'Data Sheet'!E$66</f>
        <v>0.11661248235617511</v>
      </c>
      <c r="G142" s="41">
        <f>'Data Sheet'!F67/'Data Sheet'!F$66</f>
        <v>0.12574072836230374</v>
      </c>
      <c r="H142" s="41">
        <f>'Data Sheet'!G67/'Data Sheet'!G$66</f>
        <v>0.11738253315313585</v>
      </c>
      <c r="I142" s="41">
        <f>'Data Sheet'!H67/'Data Sheet'!H$66</f>
        <v>0.111241996360137</v>
      </c>
      <c r="J142" s="41">
        <f>'Data Sheet'!I67/'Data Sheet'!I$66</f>
        <v>0.12783721618012767</v>
      </c>
      <c r="K142" s="41">
        <f>'Data Sheet'!J67/'Data Sheet'!J$66</f>
        <v>0.168628255503534</v>
      </c>
      <c r="L142" s="41">
        <f>'Data Sheet'!K67/'Data Sheet'!K$66</f>
        <v>0.17987046211053581</v>
      </c>
    </row>
    <row r="143" spans="1:26" hidden="1" outlineLevel="1" x14ac:dyDescent="0.35">
      <c r="B143" s="9" t="s">
        <v>29</v>
      </c>
      <c r="C143" s="41">
        <f>'Data Sheet'!B68/'Data Sheet'!B$66</f>
        <v>0.256316714961488</v>
      </c>
      <c r="D143" s="41">
        <f>'Data Sheet'!C68/'Data Sheet'!C$66</f>
        <v>0.2533535251556453</v>
      </c>
      <c r="E143" s="41">
        <f>'Data Sheet'!D68/'Data Sheet'!D$66</f>
        <v>0.18924465599586324</v>
      </c>
      <c r="F143" s="41">
        <f>'Data Sheet'!E68/'Data Sheet'!E$66</f>
        <v>0.21176136762113276</v>
      </c>
      <c r="G143" s="41">
        <f>'Data Sheet'!F68/'Data Sheet'!F$66</f>
        <v>0.19314228668912223</v>
      </c>
      <c r="H143" s="41">
        <f>'Data Sheet'!G68/'Data Sheet'!G$66</f>
        <v>0.19385137646748937</v>
      </c>
      <c r="I143" s="41">
        <f>'Data Sheet'!H68/'Data Sheet'!H$66</f>
        <v>0.21005182188342153</v>
      </c>
      <c r="J143" s="41">
        <f>'Data Sheet'!I68/'Data Sheet'!I$66</f>
        <v>0.18661442157193148</v>
      </c>
      <c r="K143" s="41">
        <f>'Data Sheet'!J68/'Data Sheet'!J$66</f>
        <v>0.26800525994155522</v>
      </c>
      <c r="L143" s="41">
        <f>'Data Sheet'!K68/'Data Sheet'!K$66</f>
        <v>0.24091549314896857</v>
      </c>
    </row>
    <row r="144" spans="1:26" hidden="1" outlineLevel="1" x14ac:dyDescent="0.35">
      <c r="B144" s="9" t="s">
        <v>51</v>
      </c>
      <c r="C144" s="41">
        <f>'Data Sheet'!B69/'Data Sheet'!B$66</f>
        <v>2.8357728409738218E-2</v>
      </c>
      <c r="D144" s="41">
        <f>'Data Sheet'!C69/'Data Sheet'!C$66</f>
        <v>2.2927814235234729E-2</v>
      </c>
      <c r="E144" s="41">
        <f>'Data Sheet'!D69/'Data Sheet'!D$66</f>
        <v>4.0174144784132629E-2</v>
      </c>
      <c r="F144" s="41">
        <f>'Data Sheet'!E69/'Data Sheet'!E$66</f>
        <v>6.4586677027921383E-2</v>
      </c>
      <c r="G144" s="41">
        <f>'Data Sheet'!F69/'Data Sheet'!F$66</f>
        <v>2.9400267955488002E-2</v>
      </c>
      <c r="H144" s="41">
        <f>'Data Sheet'!G69/'Data Sheet'!G$66</f>
        <v>2.7379185221837375E-2</v>
      </c>
      <c r="I144" s="41">
        <f>'Data Sheet'!H69/'Data Sheet'!H$66</f>
        <v>4.8508579455780382E-2</v>
      </c>
      <c r="J144" s="41">
        <f>'Data Sheet'!I69/'Data Sheet'!I$66</f>
        <v>3.0004411618769326E-2</v>
      </c>
      <c r="K144" s="41">
        <f>'Data Sheet'!J69/'Data Sheet'!J$66</f>
        <v>3.7647609178850648E-2</v>
      </c>
      <c r="L144" s="41">
        <f>'Data Sheet'!K69/'Data Sheet'!K$66</f>
        <v>3.2732425551788971E-2</v>
      </c>
    </row>
    <row r="145" spans="1:26" s="2" customFormat="1" hidden="1" outlineLevel="1" x14ac:dyDescent="0.35">
      <c r="A145" s="11"/>
      <c r="B145" s="11" t="s">
        <v>81</v>
      </c>
      <c r="C145" s="73">
        <f>'Data Sheet'!B75/'Data Sheet'!B$66</f>
        <v>0.42216608465215344</v>
      </c>
      <c r="D145" s="73">
        <f>'Data Sheet'!C75/'Data Sheet'!C$66</f>
        <v>0.40888215828145158</v>
      </c>
      <c r="E145" s="73">
        <f>'Data Sheet'!D75/'Data Sheet'!D$66</f>
        <v>0.34181927696009951</v>
      </c>
      <c r="F145" s="73">
        <f>'Data Sheet'!E75/'Data Sheet'!E$66</f>
        <v>0.39296052700522927</v>
      </c>
      <c r="G145" s="73">
        <f>'Data Sheet'!F75/'Data Sheet'!F$66</f>
        <v>0.34828328300691397</v>
      </c>
      <c r="H145" s="73">
        <f>'Data Sheet'!G75/'Data Sheet'!G$66</f>
        <v>0.33861309484246266</v>
      </c>
      <c r="I145" s="73">
        <f>'Data Sheet'!H75/'Data Sheet'!H$66</f>
        <v>0.36980239769933887</v>
      </c>
      <c r="J145" s="73">
        <f>'Data Sheet'!I75/'Data Sheet'!I$66</f>
        <v>0.34445604937082852</v>
      </c>
      <c r="K145" s="73">
        <f>'Data Sheet'!J75/'Data Sheet'!J$66</f>
        <v>0.4742811246239399</v>
      </c>
      <c r="L145" s="73">
        <f>'Data Sheet'!K75/'Data Sheet'!K$66</f>
        <v>0.45351838081129336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collapsed="1" x14ac:dyDescent="0.35"/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74EC-FCDB-4146-896C-5244CAA6EA92}">
  <sheetPr>
    <tabColor rgb="FF3333FF"/>
  </sheetPr>
  <dimension ref="A1"/>
  <sheetViews>
    <sheetView workbookViewId="0">
      <selection activeCell="N32" sqref="N3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I79" sqref="I79"/>
    </sheetView>
  </sheetViews>
  <sheetFormatPr defaultColWidth="8.81640625" defaultRowHeight="14.5" x14ac:dyDescent="0.35"/>
  <cols>
    <col min="1" max="1" width="27.6328125" style="3" bestFit="1" customWidth="1"/>
    <col min="2" max="11" width="13.453125" style="3" bestFit="1" customWidth="1"/>
    <col min="12" max="16384" width="8.81640625" style="3"/>
  </cols>
  <sheetData>
    <row r="1" spans="1:11" s="1" customFormat="1" x14ac:dyDescent="0.35">
      <c r="A1" s="1" t="s">
        <v>0</v>
      </c>
      <c r="B1" s="1" t="s">
        <v>32</v>
      </c>
      <c r="E1" s="190" t="str">
        <f>IF(B2&lt;&gt;B3, "A NEW VERSION OF THE WORKSHEET IS AVAILABLE", "")</f>
        <v/>
      </c>
      <c r="F1" s="190"/>
      <c r="G1" s="190"/>
      <c r="H1" s="190"/>
      <c r="I1" s="190"/>
      <c r="J1" s="190"/>
      <c r="K1" s="190"/>
    </row>
    <row r="2" spans="1:11" x14ac:dyDescent="0.35">
      <c r="A2" s="1" t="s">
        <v>30</v>
      </c>
      <c r="B2" s="3">
        <v>2.1</v>
      </c>
      <c r="E2" s="191" t="s">
        <v>21</v>
      </c>
      <c r="F2" s="191"/>
      <c r="G2" s="191"/>
      <c r="H2" s="191"/>
      <c r="I2" s="191"/>
      <c r="J2" s="191"/>
      <c r="K2" s="191"/>
    </row>
    <row r="3" spans="1:11" x14ac:dyDescent="0.35">
      <c r="A3" s="1" t="s">
        <v>31</v>
      </c>
      <c r="B3" s="3">
        <v>2.1</v>
      </c>
    </row>
    <row r="4" spans="1:11" x14ac:dyDescent="0.35">
      <c r="A4" s="1"/>
    </row>
    <row r="5" spans="1:11" x14ac:dyDescent="0.35">
      <c r="A5" s="1" t="s">
        <v>33</v>
      </c>
    </row>
    <row r="6" spans="1:11" x14ac:dyDescent="0.35">
      <c r="A6" s="3" t="s">
        <v>27</v>
      </c>
      <c r="B6" s="3">
        <f>IF(B9&gt;0, B9/B8, 0)</f>
        <v>95.881152439881859</v>
      </c>
    </row>
    <row r="7" spans="1:11" x14ac:dyDescent="0.35">
      <c r="A7" s="3" t="s">
        <v>16</v>
      </c>
      <c r="B7">
        <v>1</v>
      </c>
    </row>
    <row r="8" spans="1:11" x14ac:dyDescent="0.35">
      <c r="A8" s="3" t="s">
        <v>28</v>
      </c>
      <c r="B8">
        <v>2844.4</v>
      </c>
    </row>
    <row r="9" spans="1:11" x14ac:dyDescent="0.35">
      <c r="A9" s="3" t="s">
        <v>43</v>
      </c>
      <c r="B9">
        <v>272724.34999999998</v>
      </c>
    </row>
    <row r="15" spans="1:11" x14ac:dyDescent="0.35">
      <c r="A15" s="1" t="s">
        <v>22</v>
      </c>
    </row>
    <row r="16" spans="1:11" s="7" customFormat="1" x14ac:dyDescent="0.35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5">
      <c r="A17" s="4" t="s">
        <v>1</v>
      </c>
      <c r="B17">
        <v>12220.37</v>
      </c>
      <c r="C17">
        <v>13615.26</v>
      </c>
      <c r="D17">
        <v>14271.49</v>
      </c>
      <c r="E17">
        <v>15061.99</v>
      </c>
      <c r="F17">
        <v>16824.55</v>
      </c>
      <c r="G17">
        <v>19240.13</v>
      </c>
      <c r="H17">
        <v>20211.25</v>
      </c>
      <c r="I17">
        <v>21712.79</v>
      </c>
      <c r="J17">
        <v>29101.279999999999</v>
      </c>
      <c r="K17">
        <v>34488.589999999997</v>
      </c>
    </row>
    <row r="18" spans="1:11" s="4" customFormat="1" x14ac:dyDescent="0.35">
      <c r="A18" s="3" t="s">
        <v>44</v>
      </c>
      <c r="B18">
        <v>6339.75</v>
      </c>
      <c r="C18">
        <v>6874.83</v>
      </c>
      <c r="D18">
        <v>6569.83</v>
      </c>
      <c r="E18">
        <v>7452.6</v>
      </c>
      <c r="F18">
        <v>8128.17</v>
      </c>
      <c r="G18">
        <v>9974.4</v>
      </c>
      <c r="H18">
        <v>9981.99</v>
      </c>
      <c r="I18">
        <v>10425.549999999999</v>
      </c>
      <c r="J18">
        <v>17123.25</v>
      </c>
      <c r="K18">
        <v>18985.53</v>
      </c>
    </row>
    <row r="19" spans="1:11" s="4" customFormat="1" x14ac:dyDescent="0.35">
      <c r="A19" s="3" t="s">
        <v>45</v>
      </c>
      <c r="B19">
        <v>90.28</v>
      </c>
      <c r="C19">
        <v>148.07</v>
      </c>
      <c r="D19">
        <v>-199.33</v>
      </c>
      <c r="E19">
        <v>528.6</v>
      </c>
      <c r="F19">
        <v>-142.13</v>
      </c>
      <c r="G19">
        <v>293.26</v>
      </c>
      <c r="H19">
        <v>239.15</v>
      </c>
      <c r="I19">
        <v>92.45</v>
      </c>
      <c r="J19">
        <v>1324.97</v>
      </c>
      <c r="K19">
        <v>309.73</v>
      </c>
    </row>
    <row r="20" spans="1:11" s="4" customFormat="1" x14ac:dyDescent="0.35">
      <c r="A20" s="3" t="s">
        <v>46</v>
      </c>
      <c r="B20">
        <v>133.74</v>
      </c>
      <c r="C20">
        <v>130.68</v>
      </c>
      <c r="D20">
        <v>114.48</v>
      </c>
      <c r="E20">
        <v>106.02</v>
      </c>
      <c r="F20">
        <v>110.3</v>
      </c>
      <c r="G20">
        <v>119.63</v>
      </c>
      <c r="H20">
        <v>97.79</v>
      </c>
      <c r="I20">
        <v>86.05</v>
      </c>
      <c r="J20">
        <v>117.23</v>
      </c>
      <c r="K20">
        <v>138.29</v>
      </c>
    </row>
    <row r="21" spans="1:11" s="4" customFormat="1" x14ac:dyDescent="0.35">
      <c r="A21" s="3" t="s">
        <v>47</v>
      </c>
      <c r="B21">
        <v>1292.18</v>
      </c>
      <c r="C21">
        <v>1504.47</v>
      </c>
      <c r="D21">
        <v>1535.22</v>
      </c>
      <c r="E21">
        <v>1662.75</v>
      </c>
      <c r="F21">
        <v>1691.68</v>
      </c>
      <c r="G21">
        <v>1862.35</v>
      </c>
      <c r="H21">
        <v>1946.12</v>
      </c>
      <c r="I21">
        <v>2068.31</v>
      </c>
      <c r="J21">
        <v>2880.45</v>
      </c>
      <c r="K21">
        <v>2916.2</v>
      </c>
    </row>
    <row r="22" spans="1:11" s="4" customFormat="1" x14ac:dyDescent="0.35">
      <c r="A22" s="3" t="s">
        <v>48</v>
      </c>
      <c r="B22">
        <v>763.59</v>
      </c>
      <c r="C22">
        <v>936.86</v>
      </c>
      <c r="D22">
        <v>994.98</v>
      </c>
      <c r="E22">
        <v>1039.8900000000001</v>
      </c>
      <c r="F22">
        <v>1121.8900000000001</v>
      </c>
      <c r="G22">
        <v>1242.69</v>
      </c>
      <c r="H22">
        <v>1371.27</v>
      </c>
      <c r="I22">
        <v>1547.61</v>
      </c>
      <c r="J22">
        <v>1794.61</v>
      </c>
      <c r="K22">
        <v>2036.41</v>
      </c>
    </row>
    <row r="23" spans="1:11" s="4" customFormat="1" x14ac:dyDescent="0.35">
      <c r="A23" s="3" t="s">
        <v>49</v>
      </c>
      <c r="B23">
        <v>2826.43</v>
      </c>
      <c r="C23">
        <v>3351.66</v>
      </c>
      <c r="D23">
        <v>3912.3</v>
      </c>
      <c r="E23">
        <v>4364.04</v>
      </c>
      <c r="F23">
        <v>2254.92</v>
      </c>
      <c r="G23">
        <v>2366.87</v>
      </c>
      <c r="H23">
        <v>2311.5100000000002</v>
      </c>
      <c r="I23">
        <v>2245.69</v>
      </c>
      <c r="J23">
        <v>2941.98</v>
      </c>
      <c r="K23">
        <v>3500.84</v>
      </c>
    </row>
    <row r="24" spans="1:11" s="4" customFormat="1" x14ac:dyDescent="0.35">
      <c r="A24" s="3" t="s">
        <v>50</v>
      </c>
      <c r="B24">
        <v>-1048.7</v>
      </c>
      <c r="C24">
        <v>-1278.06</v>
      </c>
      <c r="D24">
        <v>-1779.69</v>
      </c>
      <c r="E24">
        <v>-2028.47</v>
      </c>
      <c r="F24">
        <v>171.45</v>
      </c>
      <c r="G24">
        <v>202.51</v>
      </c>
      <c r="H24">
        <v>584.9</v>
      </c>
      <c r="I24">
        <v>576.42999999999995</v>
      </c>
      <c r="J24">
        <v>765.12</v>
      </c>
      <c r="K24">
        <v>961.21</v>
      </c>
    </row>
    <row r="25" spans="1:11" s="4" customFormat="1" x14ac:dyDescent="0.35">
      <c r="A25" s="4" t="s">
        <v>4</v>
      </c>
      <c r="B25">
        <v>124.26</v>
      </c>
      <c r="C25">
        <v>142.13999999999999</v>
      </c>
      <c r="D25">
        <v>213.39</v>
      </c>
      <c r="E25">
        <v>337.9</v>
      </c>
      <c r="F25">
        <v>336.41</v>
      </c>
      <c r="G25">
        <v>273.77</v>
      </c>
      <c r="H25">
        <v>355.05</v>
      </c>
      <c r="I25">
        <v>331.65</v>
      </c>
      <c r="J25">
        <v>295.88</v>
      </c>
      <c r="K25">
        <v>431.46</v>
      </c>
    </row>
    <row r="26" spans="1:11" s="4" customFormat="1" x14ac:dyDescent="0.35">
      <c r="A26" s="4" t="s">
        <v>5</v>
      </c>
      <c r="B26">
        <v>245.66</v>
      </c>
      <c r="C26">
        <v>265.92</v>
      </c>
      <c r="D26">
        <v>275.58</v>
      </c>
      <c r="E26">
        <v>334.79</v>
      </c>
      <c r="F26">
        <v>360.47</v>
      </c>
      <c r="G26">
        <v>622.14</v>
      </c>
      <c r="H26">
        <v>780.5</v>
      </c>
      <c r="I26">
        <v>791.27</v>
      </c>
      <c r="J26">
        <v>816.36</v>
      </c>
      <c r="K26">
        <v>858.02</v>
      </c>
    </row>
    <row r="27" spans="1:11" s="4" customFormat="1" x14ac:dyDescent="0.35">
      <c r="A27" s="4" t="s">
        <v>6</v>
      </c>
      <c r="B27">
        <v>47.99</v>
      </c>
      <c r="C27">
        <v>42.24</v>
      </c>
      <c r="D27">
        <v>49</v>
      </c>
      <c r="E27">
        <v>37.33</v>
      </c>
      <c r="F27">
        <v>41.47</v>
      </c>
      <c r="G27">
        <v>110.47</v>
      </c>
      <c r="H27">
        <v>102.33</v>
      </c>
      <c r="I27">
        <v>91.63</v>
      </c>
      <c r="J27">
        <v>95.41</v>
      </c>
      <c r="K27">
        <v>144.44999999999999</v>
      </c>
    </row>
    <row r="28" spans="1:11" s="4" customFormat="1" x14ac:dyDescent="0.35">
      <c r="A28" s="4" t="s">
        <v>7</v>
      </c>
      <c r="B28">
        <v>1834.27</v>
      </c>
      <c r="C28">
        <v>2076.87</v>
      </c>
      <c r="D28">
        <v>2613.85</v>
      </c>
      <c r="E28">
        <v>2959.54</v>
      </c>
      <c r="F28">
        <v>3138.48</v>
      </c>
      <c r="G28">
        <v>3306.1</v>
      </c>
      <c r="H28">
        <v>3629.04</v>
      </c>
      <c r="I28">
        <v>4304.3500000000004</v>
      </c>
      <c r="J28">
        <v>4187.72</v>
      </c>
      <c r="K28">
        <v>5688.83</v>
      </c>
    </row>
    <row r="29" spans="1:11" s="4" customFormat="1" x14ac:dyDescent="0.35">
      <c r="A29" s="4" t="s">
        <v>8</v>
      </c>
      <c r="B29">
        <v>571.51</v>
      </c>
      <c r="C29">
        <v>649.54</v>
      </c>
      <c r="D29">
        <v>844.49</v>
      </c>
      <c r="E29">
        <v>943.29</v>
      </c>
      <c r="F29">
        <v>1040.96</v>
      </c>
      <c r="G29">
        <v>1098.06</v>
      </c>
      <c r="H29">
        <v>854.85</v>
      </c>
      <c r="I29">
        <v>1097.5999999999999</v>
      </c>
      <c r="J29">
        <v>1102.9100000000001</v>
      </c>
      <c r="K29">
        <v>1493.5</v>
      </c>
    </row>
    <row r="30" spans="1:11" s="4" customFormat="1" x14ac:dyDescent="0.35">
      <c r="A30" s="4" t="s">
        <v>9</v>
      </c>
      <c r="B30">
        <v>1218.81</v>
      </c>
      <c r="C30">
        <v>1395.15</v>
      </c>
      <c r="D30">
        <v>1745.16</v>
      </c>
      <c r="E30">
        <v>1939.43</v>
      </c>
      <c r="F30">
        <v>2038.93</v>
      </c>
      <c r="G30">
        <v>2155.92</v>
      </c>
      <c r="H30">
        <v>2705.17</v>
      </c>
      <c r="I30">
        <v>3139.29</v>
      </c>
      <c r="J30">
        <v>3030.57</v>
      </c>
      <c r="K30">
        <v>4106.45</v>
      </c>
    </row>
    <row r="31" spans="1:11" s="4" customFormat="1" x14ac:dyDescent="0.35">
      <c r="A31" s="4" t="s">
        <v>34</v>
      </c>
      <c r="B31">
        <v>508.38</v>
      </c>
      <c r="C31">
        <v>585.11</v>
      </c>
      <c r="D31">
        <v>719.4</v>
      </c>
      <c r="E31">
        <v>987.98</v>
      </c>
      <c r="F31">
        <v>834.5</v>
      </c>
      <c r="G31">
        <v>1007.16</v>
      </c>
      <c r="H31">
        <v>1151.04</v>
      </c>
      <c r="I31">
        <v>1712.17</v>
      </c>
      <c r="J31">
        <v>1836.87</v>
      </c>
      <c r="K31">
        <v>2460.35</v>
      </c>
    </row>
    <row r="32" spans="1:11" s="4" customFormat="1" x14ac:dyDescent="0.35"/>
    <row r="33" spans="1:11" x14ac:dyDescent="0.35">
      <c r="A33" s="4" t="s">
        <v>61</v>
      </c>
      <c r="B33" s="3">
        <f>SUM(B30,B29,B27,B26)</f>
        <v>2083.9699999999998</v>
      </c>
      <c r="C33" s="3">
        <f t="shared" ref="C33:K33" si="0">SUM(C30,C29,C27,C26)</f>
        <v>2352.85</v>
      </c>
      <c r="D33" s="3">
        <f t="shared" si="0"/>
        <v>2914.23</v>
      </c>
      <c r="E33" s="3">
        <f t="shared" si="0"/>
        <v>3254.84</v>
      </c>
      <c r="F33" s="3">
        <f t="shared" si="0"/>
        <v>3481.83</v>
      </c>
      <c r="G33" s="3">
        <f t="shared" si="0"/>
        <v>3986.5899999999997</v>
      </c>
      <c r="H33" s="3">
        <f t="shared" si="0"/>
        <v>4442.8500000000004</v>
      </c>
      <c r="I33" s="3">
        <f t="shared" si="0"/>
        <v>5119.7899999999991</v>
      </c>
      <c r="J33" s="3">
        <f t="shared" si="0"/>
        <v>5045.25</v>
      </c>
      <c r="K33" s="3">
        <f t="shared" si="0"/>
        <v>6602.42</v>
      </c>
    </row>
    <row r="34" spans="1:11" x14ac:dyDescent="0.35">
      <c r="A34" s="4" t="s">
        <v>217</v>
      </c>
      <c r="B34" s="3">
        <f>B33-B26</f>
        <v>1838.3099999999997</v>
      </c>
      <c r="C34" s="3">
        <f t="shared" ref="C34:K34" si="1">C33-C26</f>
        <v>2086.9299999999998</v>
      </c>
      <c r="D34" s="3">
        <f t="shared" si="1"/>
        <v>2638.65</v>
      </c>
      <c r="E34" s="3">
        <f t="shared" si="1"/>
        <v>2920.05</v>
      </c>
      <c r="F34" s="3">
        <f t="shared" si="1"/>
        <v>3121.3599999999997</v>
      </c>
      <c r="G34" s="3">
        <f t="shared" si="1"/>
        <v>3364.45</v>
      </c>
      <c r="H34" s="3">
        <f t="shared" si="1"/>
        <v>3662.3500000000004</v>
      </c>
      <c r="I34" s="3">
        <f t="shared" si="1"/>
        <v>4328.5199999999986</v>
      </c>
      <c r="J34" s="3">
        <f t="shared" si="1"/>
        <v>4228.8900000000003</v>
      </c>
      <c r="K34" s="3">
        <f t="shared" si="1"/>
        <v>5744.4</v>
      </c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1" t="s">
        <v>24</v>
      </c>
    </row>
    <row r="41" spans="1:11" s="7" customFormat="1" x14ac:dyDescent="0.35">
      <c r="A41" s="6" t="s">
        <v>23</v>
      </c>
      <c r="B41" s="5">
        <v>44469</v>
      </c>
      <c r="C41" s="5">
        <v>44561</v>
      </c>
      <c r="D41" s="5">
        <v>44651</v>
      </c>
      <c r="E41" s="5">
        <v>44742</v>
      </c>
      <c r="F41" s="5">
        <v>44834</v>
      </c>
      <c r="G41" s="5">
        <v>44926</v>
      </c>
      <c r="H41" s="5">
        <v>45016</v>
      </c>
      <c r="I41" s="5">
        <v>45107</v>
      </c>
      <c r="J41" s="5">
        <v>45199</v>
      </c>
      <c r="K41" s="5">
        <v>45291</v>
      </c>
    </row>
    <row r="42" spans="1:11" s="4" customFormat="1" x14ac:dyDescent="0.35">
      <c r="A42" s="4" t="s">
        <v>1</v>
      </c>
      <c r="B42">
        <v>7096.01</v>
      </c>
      <c r="C42">
        <v>8527.24</v>
      </c>
      <c r="D42">
        <v>7892.67</v>
      </c>
      <c r="E42">
        <v>8606.94</v>
      </c>
      <c r="F42">
        <v>8457.57</v>
      </c>
      <c r="G42">
        <v>8636.74</v>
      </c>
      <c r="H42">
        <v>8787.34</v>
      </c>
      <c r="I42">
        <v>9182.31</v>
      </c>
      <c r="J42">
        <v>8478.57</v>
      </c>
      <c r="K42">
        <v>9103.09</v>
      </c>
    </row>
    <row r="43" spans="1:11" s="4" customFormat="1" x14ac:dyDescent="0.35">
      <c r="A43" s="4" t="s">
        <v>2</v>
      </c>
      <c r="B43">
        <v>6191.56</v>
      </c>
      <c r="C43">
        <v>6984.93</v>
      </c>
      <c r="D43">
        <v>6449.38</v>
      </c>
      <c r="E43">
        <v>7050.99</v>
      </c>
      <c r="F43">
        <v>7229.87</v>
      </c>
      <c r="G43">
        <v>7025.31</v>
      </c>
      <c r="H43">
        <v>6922.58</v>
      </c>
      <c r="I43">
        <v>7061.02</v>
      </c>
      <c r="J43">
        <v>6762.34</v>
      </c>
      <c r="K43">
        <v>7047</v>
      </c>
    </row>
    <row r="44" spans="1:11" s="4" customFormat="1" x14ac:dyDescent="0.35">
      <c r="A44" s="4" t="s">
        <v>4</v>
      </c>
      <c r="B44">
        <v>148.4</v>
      </c>
      <c r="C44">
        <v>86.77</v>
      </c>
      <c r="D44">
        <v>-26.38</v>
      </c>
      <c r="E44">
        <v>87.52</v>
      </c>
      <c r="F44">
        <v>117.56</v>
      </c>
      <c r="G44">
        <v>122.21</v>
      </c>
      <c r="H44">
        <v>104.17</v>
      </c>
      <c r="I44">
        <v>227.74</v>
      </c>
      <c r="J44">
        <v>194.33</v>
      </c>
      <c r="K44">
        <v>186.46</v>
      </c>
    </row>
    <row r="45" spans="1:11" s="4" customFormat="1" x14ac:dyDescent="0.35">
      <c r="A45" s="4" t="s">
        <v>5</v>
      </c>
      <c r="B45">
        <v>202.75</v>
      </c>
      <c r="C45">
        <v>207.91</v>
      </c>
      <c r="D45">
        <v>205.11</v>
      </c>
      <c r="E45">
        <v>208.1</v>
      </c>
      <c r="F45">
        <v>215.7</v>
      </c>
      <c r="G45">
        <v>214.05</v>
      </c>
      <c r="H45">
        <v>220.17</v>
      </c>
      <c r="I45">
        <v>198.32</v>
      </c>
      <c r="J45">
        <v>208.72</v>
      </c>
      <c r="K45">
        <v>220.35</v>
      </c>
    </row>
    <row r="46" spans="1:11" s="4" customFormat="1" x14ac:dyDescent="0.35">
      <c r="A46" s="4" t="s">
        <v>6</v>
      </c>
      <c r="B46">
        <v>23.86</v>
      </c>
      <c r="C46">
        <v>27.45</v>
      </c>
      <c r="D46">
        <v>22.62</v>
      </c>
      <c r="E46">
        <v>28.75</v>
      </c>
      <c r="F46">
        <v>35.4</v>
      </c>
      <c r="G46">
        <v>41.39</v>
      </c>
      <c r="H46">
        <v>38.909999999999997</v>
      </c>
      <c r="I46">
        <v>45.75</v>
      </c>
      <c r="J46">
        <v>50.9</v>
      </c>
      <c r="K46">
        <v>54.42</v>
      </c>
    </row>
    <row r="47" spans="1:11" s="4" customFormat="1" x14ac:dyDescent="0.35">
      <c r="A47" s="4" t="s">
        <v>7</v>
      </c>
      <c r="B47">
        <v>826.24</v>
      </c>
      <c r="C47">
        <v>1393.72</v>
      </c>
      <c r="D47">
        <v>1189.18</v>
      </c>
      <c r="E47">
        <v>1406.62</v>
      </c>
      <c r="F47">
        <v>1094.1600000000001</v>
      </c>
      <c r="G47">
        <v>1478.2</v>
      </c>
      <c r="H47">
        <v>1709.85</v>
      </c>
      <c r="I47">
        <v>2104.96</v>
      </c>
      <c r="J47">
        <v>1650.94</v>
      </c>
      <c r="K47">
        <v>1967.78</v>
      </c>
    </row>
    <row r="48" spans="1:11" s="4" customFormat="1" x14ac:dyDescent="0.35">
      <c r="A48" s="4" t="s">
        <v>8</v>
      </c>
      <c r="B48">
        <v>221.07</v>
      </c>
      <c r="C48">
        <v>362.43</v>
      </c>
      <c r="D48">
        <v>315.13</v>
      </c>
      <c r="E48">
        <v>370.59</v>
      </c>
      <c r="F48">
        <v>290.33</v>
      </c>
      <c r="G48">
        <v>381.14</v>
      </c>
      <c r="H48">
        <v>451.44</v>
      </c>
      <c r="I48">
        <v>530.12</v>
      </c>
      <c r="J48">
        <v>418.55</v>
      </c>
      <c r="K48">
        <v>492.62</v>
      </c>
    </row>
    <row r="49" spans="1:11" s="4" customFormat="1" x14ac:dyDescent="0.35">
      <c r="A49" s="4" t="s">
        <v>9</v>
      </c>
      <c r="B49">
        <v>595.96</v>
      </c>
      <c r="C49">
        <v>1015.69</v>
      </c>
      <c r="D49">
        <v>850.42</v>
      </c>
      <c r="E49">
        <v>1016.93</v>
      </c>
      <c r="F49">
        <v>782.71</v>
      </c>
      <c r="G49">
        <v>1072.67</v>
      </c>
      <c r="H49">
        <v>1234.1400000000001</v>
      </c>
      <c r="I49">
        <v>1550.37</v>
      </c>
      <c r="J49">
        <v>1205.42</v>
      </c>
      <c r="K49">
        <v>1447.72</v>
      </c>
    </row>
    <row r="50" spans="1:11" x14ac:dyDescent="0.35">
      <c r="A50" s="4" t="s">
        <v>3</v>
      </c>
      <c r="B50">
        <v>904.45</v>
      </c>
      <c r="C50">
        <v>1542.31</v>
      </c>
      <c r="D50">
        <v>1443.29</v>
      </c>
      <c r="E50">
        <v>1555.95</v>
      </c>
      <c r="F50">
        <v>1227.7</v>
      </c>
      <c r="G50">
        <v>1611.43</v>
      </c>
      <c r="H50">
        <v>1864.76</v>
      </c>
      <c r="I50">
        <v>2121.29</v>
      </c>
      <c r="J50">
        <v>1716.23</v>
      </c>
      <c r="K50">
        <v>2056.09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1" t="s">
        <v>25</v>
      </c>
    </row>
    <row r="56" spans="1:11" s="7" customFormat="1" x14ac:dyDescent="0.35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5">
      <c r="A57" s="4" t="s">
        <v>10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4" t="s">
        <v>11</v>
      </c>
      <c r="B58">
        <v>3943.3</v>
      </c>
      <c r="C58">
        <v>4646.4399999999996</v>
      </c>
      <c r="D58">
        <v>6428.9</v>
      </c>
      <c r="E58">
        <v>7507.97</v>
      </c>
      <c r="F58">
        <v>8314.31</v>
      </c>
      <c r="G58">
        <v>9374.6299999999992</v>
      </c>
      <c r="H58">
        <v>10034.24</v>
      </c>
      <c r="I58">
        <v>12710.37</v>
      </c>
      <c r="J58">
        <v>13715.64</v>
      </c>
      <c r="K58">
        <v>15896.31</v>
      </c>
    </row>
    <row r="59" spans="1:11" x14ac:dyDescent="0.35">
      <c r="A59" s="4" t="s">
        <v>35</v>
      </c>
      <c r="B59">
        <v>249.15</v>
      </c>
      <c r="C59">
        <v>418.17</v>
      </c>
      <c r="D59">
        <v>323.29000000000002</v>
      </c>
      <c r="E59">
        <v>560.34</v>
      </c>
      <c r="F59">
        <v>533.42999999999995</v>
      </c>
      <c r="G59">
        <v>1319.6</v>
      </c>
      <c r="H59">
        <v>1118.5</v>
      </c>
      <c r="I59">
        <v>1093.1199999999999</v>
      </c>
      <c r="J59">
        <v>1586.88</v>
      </c>
      <c r="K59">
        <v>1932.62</v>
      </c>
    </row>
    <row r="60" spans="1:11" x14ac:dyDescent="0.35">
      <c r="A60" s="4" t="s">
        <v>36</v>
      </c>
      <c r="B60">
        <v>3787.03</v>
      </c>
      <c r="C60">
        <v>3753.97</v>
      </c>
      <c r="D60">
        <v>3710.92</v>
      </c>
      <c r="E60">
        <v>4240.96</v>
      </c>
      <c r="F60">
        <v>4819.82</v>
      </c>
      <c r="G60">
        <v>5458.69</v>
      </c>
      <c r="H60">
        <v>4889.3100000000004</v>
      </c>
      <c r="I60">
        <v>6455.93</v>
      </c>
      <c r="J60">
        <v>7559.99</v>
      </c>
      <c r="K60">
        <v>7854.48</v>
      </c>
    </row>
    <row r="61" spans="1:11" s="1" customFormat="1" x14ac:dyDescent="0.35">
      <c r="A61" s="1" t="s">
        <v>12</v>
      </c>
      <c r="B61">
        <v>8075.4</v>
      </c>
      <c r="C61">
        <v>8914.5</v>
      </c>
      <c r="D61">
        <v>10559.03</v>
      </c>
      <c r="E61">
        <v>12405.19</v>
      </c>
      <c r="F61">
        <v>13763.48</v>
      </c>
      <c r="G61">
        <v>16248.84</v>
      </c>
      <c r="H61">
        <v>16137.97</v>
      </c>
      <c r="I61">
        <v>20355.34</v>
      </c>
      <c r="J61">
        <v>22958.43</v>
      </c>
      <c r="K61">
        <v>25779.33</v>
      </c>
    </row>
    <row r="62" spans="1:11" x14ac:dyDescent="0.35">
      <c r="A62" s="4" t="s">
        <v>13</v>
      </c>
      <c r="B62">
        <v>2561.58</v>
      </c>
      <c r="C62">
        <v>2660.04</v>
      </c>
      <c r="D62">
        <v>3416.35</v>
      </c>
      <c r="E62">
        <v>3303.74</v>
      </c>
      <c r="F62">
        <v>3732.24</v>
      </c>
      <c r="G62">
        <v>6496.56</v>
      </c>
      <c r="H62">
        <v>6272.31</v>
      </c>
      <c r="I62">
        <v>5858.52</v>
      </c>
      <c r="J62">
        <v>5519.06</v>
      </c>
      <c r="K62">
        <v>5770.46</v>
      </c>
    </row>
    <row r="63" spans="1:11" x14ac:dyDescent="0.35">
      <c r="A63" s="4" t="s">
        <v>14</v>
      </c>
      <c r="B63">
        <v>71.599999999999994</v>
      </c>
      <c r="C63">
        <v>196</v>
      </c>
      <c r="D63">
        <v>106.59</v>
      </c>
      <c r="E63">
        <v>257.54000000000002</v>
      </c>
      <c r="F63">
        <v>1405.11</v>
      </c>
      <c r="G63">
        <v>209.67</v>
      </c>
      <c r="H63">
        <v>140.24</v>
      </c>
      <c r="I63">
        <v>182.98</v>
      </c>
      <c r="J63">
        <v>426.43</v>
      </c>
      <c r="K63">
        <v>1019.59</v>
      </c>
    </row>
    <row r="64" spans="1:11" x14ac:dyDescent="0.35">
      <c r="A64" s="4" t="s">
        <v>15</v>
      </c>
      <c r="B64">
        <v>1423.55</v>
      </c>
      <c r="C64">
        <v>1587.79</v>
      </c>
      <c r="D64">
        <v>2712.13</v>
      </c>
      <c r="E64">
        <v>2651.99</v>
      </c>
      <c r="F64">
        <v>2140.6999999999998</v>
      </c>
      <c r="G64">
        <v>2568.58</v>
      </c>
      <c r="H64">
        <v>2018.85</v>
      </c>
      <c r="I64">
        <v>4736.8</v>
      </c>
      <c r="J64">
        <v>3247.53</v>
      </c>
      <c r="K64">
        <v>4261.71</v>
      </c>
    </row>
    <row r="65" spans="1:11" x14ac:dyDescent="0.35">
      <c r="A65" s="4" t="s">
        <v>37</v>
      </c>
      <c r="B65">
        <v>4018.67</v>
      </c>
      <c r="C65">
        <v>4470.67</v>
      </c>
      <c r="D65">
        <v>4323.96</v>
      </c>
      <c r="E65">
        <v>6191.92</v>
      </c>
      <c r="F65">
        <v>6485.43</v>
      </c>
      <c r="G65">
        <v>6974.03</v>
      </c>
      <c r="H65">
        <v>7706.57</v>
      </c>
      <c r="I65">
        <v>9577.0400000000009</v>
      </c>
      <c r="J65">
        <v>13765.41</v>
      </c>
      <c r="K65">
        <v>14727.57</v>
      </c>
    </row>
    <row r="66" spans="1:11" s="1" customFormat="1" x14ac:dyDescent="0.35">
      <c r="A66" s="1" t="s">
        <v>12</v>
      </c>
      <c r="B66">
        <v>8075.4</v>
      </c>
      <c r="C66">
        <v>8914.5</v>
      </c>
      <c r="D66">
        <v>10559.03</v>
      </c>
      <c r="E66">
        <v>12405.19</v>
      </c>
      <c r="F66">
        <v>13763.48</v>
      </c>
      <c r="G66">
        <v>16248.84</v>
      </c>
      <c r="H66">
        <v>16137.97</v>
      </c>
      <c r="I66">
        <v>20355.34</v>
      </c>
      <c r="J66">
        <v>22958.43</v>
      </c>
      <c r="K66">
        <v>25779.33</v>
      </c>
    </row>
    <row r="67" spans="1:11" s="4" customFormat="1" x14ac:dyDescent="0.35">
      <c r="A67" s="4" t="s">
        <v>42</v>
      </c>
      <c r="B67">
        <v>1110.3</v>
      </c>
      <c r="C67">
        <v>1182.07</v>
      </c>
      <c r="D67">
        <v>1186.8399999999999</v>
      </c>
      <c r="E67">
        <v>1446.6</v>
      </c>
      <c r="F67">
        <v>1730.63</v>
      </c>
      <c r="G67">
        <v>1907.33</v>
      </c>
      <c r="H67">
        <v>1795.22</v>
      </c>
      <c r="I67">
        <v>2602.17</v>
      </c>
      <c r="J67">
        <v>3871.44</v>
      </c>
      <c r="K67">
        <v>4636.9399999999996</v>
      </c>
    </row>
    <row r="68" spans="1:11" x14ac:dyDescent="0.35">
      <c r="A68" s="4" t="s">
        <v>29</v>
      </c>
      <c r="B68">
        <v>2069.86</v>
      </c>
      <c r="C68">
        <v>2258.52</v>
      </c>
      <c r="D68">
        <v>1998.24</v>
      </c>
      <c r="E68">
        <v>2626.94</v>
      </c>
      <c r="F68">
        <v>2658.31</v>
      </c>
      <c r="G68">
        <v>3149.86</v>
      </c>
      <c r="H68">
        <v>3389.81</v>
      </c>
      <c r="I68">
        <v>3798.6</v>
      </c>
      <c r="J68">
        <v>6152.98</v>
      </c>
      <c r="K68">
        <v>6210.64</v>
      </c>
    </row>
    <row r="69" spans="1:11" x14ac:dyDescent="0.35">
      <c r="A69" s="3" t="s">
        <v>51</v>
      </c>
      <c r="B69">
        <v>229</v>
      </c>
      <c r="C69">
        <v>204.39</v>
      </c>
      <c r="D69">
        <v>424.2</v>
      </c>
      <c r="E69">
        <v>801.21</v>
      </c>
      <c r="F69">
        <v>404.65</v>
      </c>
      <c r="G69">
        <v>444.88</v>
      </c>
      <c r="H69">
        <v>782.83</v>
      </c>
      <c r="I69">
        <v>610.75</v>
      </c>
      <c r="J69">
        <v>864.33</v>
      </c>
      <c r="K69">
        <v>843.82</v>
      </c>
    </row>
    <row r="70" spans="1:11" x14ac:dyDescent="0.35">
      <c r="A70" s="3" t="s">
        <v>38</v>
      </c>
      <c r="B70">
        <v>959197800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3" t="s">
        <v>39</v>
      </c>
      <c r="E71"/>
    </row>
    <row r="72" spans="1:11" x14ac:dyDescent="0.35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4" t="s">
        <v>173</v>
      </c>
      <c r="B74" s="3">
        <f>B65-B67-B68-B69</f>
        <v>609.50999999999976</v>
      </c>
      <c r="C74" s="3">
        <f t="shared" ref="C74:K74" si="2">C65-C67-C68-C69</f>
        <v>825.6900000000004</v>
      </c>
      <c r="D74" s="3">
        <f t="shared" si="2"/>
        <v>714.67999999999984</v>
      </c>
      <c r="E74" s="3">
        <f t="shared" si="2"/>
        <v>1317.1699999999996</v>
      </c>
      <c r="F74" s="3">
        <f t="shared" si="2"/>
        <v>1691.8400000000001</v>
      </c>
      <c r="G74" s="3">
        <f t="shared" si="2"/>
        <v>1471.9599999999996</v>
      </c>
      <c r="H74" s="3">
        <f t="shared" si="2"/>
        <v>1738.7099999999996</v>
      </c>
      <c r="I74" s="3">
        <f t="shared" si="2"/>
        <v>2565.5200000000009</v>
      </c>
      <c r="J74" s="3">
        <f t="shared" si="2"/>
        <v>2876.66</v>
      </c>
      <c r="K74" s="3">
        <f t="shared" si="2"/>
        <v>3036.1700000000005</v>
      </c>
    </row>
    <row r="75" spans="1:11" x14ac:dyDescent="0.35">
      <c r="A75" s="4" t="s">
        <v>180</v>
      </c>
      <c r="B75" s="3">
        <f>SUM(B67:B69)</f>
        <v>3409.16</v>
      </c>
      <c r="C75" s="3">
        <f t="shared" ref="C75:K75" si="3">SUM(C67:C69)</f>
        <v>3644.98</v>
      </c>
      <c r="D75" s="3">
        <f t="shared" si="3"/>
        <v>3609.2799999999997</v>
      </c>
      <c r="E75" s="3">
        <f t="shared" si="3"/>
        <v>4874.75</v>
      </c>
      <c r="F75" s="3">
        <f t="shared" si="3"/>
        <v>4793.59</v>
      </c>
      <c r="G75" s="3">
        <f t="shared" si="3"/>
        <v>5502.0700000000006</v>
      </c>
      <c r="H75" s="3">
        <f t="shared" si="3"/>
        <v>5967.86</v>
      </c>
      <c r="I75" s="3">
        <f t="shared" si="3"/>
        <v>7011.52</v>
      </c>
      <c r="J75" s="3">
        <f t="shared" si="3"/>
        <v>10888.75</v>
      </c>
      <c r="K75" s="3">
        <f t="shared" si="3"/>
        <v>11691.4</v>
      </c>
    </row>
    <row r="76" spans="1:11" x14ac:dyDescent="0.35">
      <c r="A76" s="4" t="s">
        <v>181</v>
      </c>
      <c r="B76" s="3">
        <f>SUM(B62:B64)+B74</f>
        <v>4666.24</v>
      </c>
      <c r="C76" s="3">
        <f t="shared" ref="C76:K76" si="4">SUM(C62:C64)+C74</f>
        <v>5269.52</v>
      </c>
      <c r="D76" s="3">
        <f t="shared" si="4"/>
        <v>6949.75</v>
      </c>
      <c r="E76" s="3">
        <f t="shared" si="4"/>
        <v>7530.4399999999987</v>
      </c>
      <c r="F76" s="3">
        <f t="shared" si="4"/>
        <v>8969.89</v>
      </c>
      <c r="G76" s="3">
        <f t="shared" si="4"/>
        <v>10746.77</v>
      </c>
      <c r="H76" s="3">
        <f t="shared" si="4"/>
        <v>10170.109999999999</v>
      </c>
      <c r="I76" s="3">
        <f t="shared" si="4"/>
        <v>13343.82</v>
      </c>
      <c r="J76" s="3">
        <f t="shared" si="4"/>
        <v>12069.68</v>
      </c>
      <c r="K76" s="3">
        <f t="shared" si="4"/>
        <v>14087.93</v>
      </c>
    </row>
    <row r="77" spans="1:11" x14ac:dyDescent="0.35">
      <c r="A77" s="4" t="s">
        <v>325</v>
      </c>
      <c r="B77" s="3">
        <f>-SUM('RAW FS'!C17:C23)+SUM('RAW FS'!D17:D25)+'RAW FS'!C27</f>
        <v>1509</v>
      </c>
      <c r="C77" s="3">
        <f>-SUM('RAW FS'!D17:D23)+SUM('RAW FS'!E17:E25)+'RAW FS'!D27</f>
        <v>1864</v>
      </c>
      <c r="D77" s="3">
        <f>-SUM('RAW FS'!E17:E23)+SUM('RAW FS'!F17:F25)+'RAW FS'!E27</f>
        <v>1565</v>
      </c>
      <c r="E77" s="3">
        <f>-SUM('RAW FS'!F17:F23)+SUM('RAW FS'!G17:G25)+'RAW FS'!F27</f>
        <v>888</v>
      </c>
      <c r="F77" s="3">
        <f>-SUM('RAW FS'!G17:G23)+SUM('RAW FS'!H17:H25)+'RAW FS'!G27</f>
        <v>1804</v>
      </c>
      <c r="G77" s="3">
        <f>-SUM('RAW FS'!H17:H23)+SUM('RAW FS'!I17:I25)+'RAW FS'!H27</f>
        <v>5116</v>
      </c>
      <c r="H77" s="3">
        <f>-SUM('RAW FS'!I17:I23)+SUM('RAW FS'!J17:J25)+'RAW FS'!I27</f>
        <v>2504</v>
      </c>
      <c r="I77" s="3">
        <f>-SUM('RAW FS'!J17:J23)+SUM('RAW FS'!K17:K25)+'RAW FS'!J27</f>
        <v>2918</v>
      </c>
      <c r="J77" s="3">
        <f>-SUM('RAW FS'!K17:K23)+SUM('RAW FS'!L17:L25)+'RAW FS'!K27</f>
        <v>3457</v>
      </c>
      <c r="K77" s="3">
        <f>-SUM('RAW FS'!L17:L23)+SUM('RAW FS'!M17:M25)+'RAW FS'!L27</f>
        <v>4427</v>
      </c>
    </row>
    <row r="78" spans="1:11" x14ac:dyDescent="0.35">
      <c r="A78" s="4" t="s">
        <v>37</v>
      </c>
      <c r="B78" s="3">
        <f>'RAW FS'!D34-'RAW FS'!C34+'RAW FS'!D35-'RAW FS'!C35+'RAW FS'!D28-'RAW FS'!C28+'RAW FS'!D29-'RAW FS'!C29+'RAW FS'!D25-'RAW FS'!C25+'RAW FS'!D24-'RAW FS'!C24</f>
        <v>1486</v>
      </c>
      <c r="C78" s="3">
        <f>'RAW FS'!E34-'RAW FS'!D34+'RAW FS'!E35-'RAW FS'!D35+'RAW FS'!E28-'RAW FS'!D28+'RAW FS'!E29-'RAW FS'!D29+'RAW FS'!E25-'RAW FS'!D25+'RAW FS'!E24-'RAW FS'!D24</f>
        <v>669</v>
      </c>
      <c r="D78" s="3">
        <f>'RAW FS'!F34-'RAW FS'!E34+'RAW FS'!F35-'RAW FS'!E35+'RAW FS'!F28-'RAW FS'!E28+'RAW FS'!F29-'RAW FS'!E29+'RAW FS'!F25-'RAW FS'!E25+'RAW FS'!F24-'RAW FS'!E24</f>
        <v>869</v>
      </c>
      <c r="E78" s="3">
        <f>'RAW FS'!G34-'RAW FS'!F34+'RAW FS'!G35-'RAW FS'!F35+'RAW FS'!G28-'RAW FS'!F28+'RAW FS'!G29-'RAW FS'!F29+'RAW FS'!G25-'RAW FS'!F25+'RAW FS'!G24-'RAW FS'!F24</f>
        <v>656</v>
      </c>
      <c r="F78" s="3">
        <f>'RAW FS'!H34-'RAW FS'!G34+'RAW FS'!H35-'RAW FS'!G35+'RAW FS'!H28-'RAW FS'!G28+'RAW FS'!H29-'RAW FS'!G29+'RAW FS'!H25-'RAW FS'!G25+'RAW FS'!H24-'RAW FS'!G24</f>
        <v>1312</v>
      </c>
      <c r="G78" s="3">
        <f>'RAW FS'!I34-'RAW FS'!H34+'RAW FS'!I35-'RAW FS'!H35+'RAW FS'!I28-'RAW FS'!H28+'RAW FS'!I29-'RAW FS'!H29+'RAW FS'!I25-'RAW FS'!H25+'RAW FS'!I24-'RAW FS'!H24</f>
        <v>-919</v>
      </c>
      <c r="H78" s="3">
        <f>'RAW FS'!J34-'RAW FS'!I34+'RAW FS'!J35-'RAW FS'!I35+'RAW FS'!J28-'RAW FS'!I28+'RAW FS'!J29-'RAW FS'!I29+'RAW FS'!J25-'RAW FS'!I25+'RAW FS'!J24-'RAW FS'!I24</f>
        <v>-328</v>
      </c>
      <c r="I78" s="3">
        <f>'RAW FS'!K34-'RAW FS'!J34+'RAW FS'!K35-'RAW FS'!J35+'RAW FS'!K28-'RAW FS'!J28+'RAW FS'!K29-'RAW FS'!J29+'RAW FS'!K25-'RAW FS'!J25+'RAW FS'!K24-'RAW FS'!J24</f>
        <v>3568</v>
      </c>
      <c r="J78" s="3">
        <f>'RAW FS'!L34-'RAW FS'!K34+'RAW FS'!L35-'RAW FS'!K35+'RAW FS'!L28-'RAW FS'!K28+'RAW FS'!L29-'RAW FS'!K29+'RAW FS'!L25-'RAW FS'!K25+'RAW FS'!L24-'RAW FS'!K24</f>
        <v>-1074</v>
      </c>
      <c r="K78" s="3">
        <f>'RAW FS'!M34-'RAW FS'!L34+'RAW FS'!M35-'RAW FS'!L35+'RAW FS'!M28-'RAW FS'!L28+'RAW FS'!M29-'RAW FS'!L29+'RAW FS'!M25-'RAW FS'!L25+'RAW FS'!M24-'RAW FS'!L24</f>
        <v>1747</v>
      </c>
    </row>
    <row r="79" spans="1:11" x14ac:dyDescent="0.35">
      <c r="A79" s="4" t="s">
        <v>36</v>
      </c>
      <c r="B79" s="3">
        <f>'RAW FS'!D4-'RAW FS'!C4+'RAW FS'!D8-'RAW FS'!C8+'RAW FS'!D9-'RAW FS'!C9+'RAW FS'!D11-'RAW FS'!C11+'RAW FS'!D14-'RAW FS'!C14</f>
        <v>983</v>
      </c>
      <c r="C79" s="3">
        <f>'RAW FS'!E4-'RAW FS'!D4+'RAW FS'!E8-'RAW FS'!D8+'RAW FS'!E9-'RAW FS'!D9+'RAW FS'!E11-'RAW FS'!D11+'RAW FS'!E14-'RAW FS'!D14</f>
        <v>862</v>
      </c>
      <c r="D79" s="3">
        <f>'RAW FS'!F4-'RAW FS'!E4+'RAW FS'!F8-'RAW FS'!E8+'RAW FS'!F9-'RAW FS'!E9+'RAW FS'!F11-'RAW FS'!E11+'RAW FS'!F14-'RAW FS'!E14</f>
        <v>1728</v>
      </c>
      <c r="E79" s="3">
        <f>'RAW FS'!G4-'RAW FS'!F4+'RAW FS'!G8-'RAW FS'!F8+'RAW FS'!G9-'RAW FS'!F9+'RAW FS'!G11-'RAW FS'!F11+'RAW FS'!G14-'RAW FS'!F14</f>
        <v>1240</v>
      </c>
      <c r="F79" s="3">
        <f>'RAW FS'!H4-'RAW FS'!G4+'RAW FS'!H8-'RAW FS'!G8+'RAW FS'!H9-'RAW FS'!G9+'RAW FS'!H11-'RAW FS'!G11+'RAW FS'!H14-'RAW FS'!G14</f>
        <v>1148</v>
      </c>
      <c r="G79" s="3">
        <f>'RAW FS'!I4-'RAW FS'!H4+'RAW FS'!I8-'RAW FS'!H8+'RAW FS'!I9-'RAW FS'!H9+'RAW FS'!I11-'RAW FS'!H11+'RAW FS'!I14-'RAW FS'!H14</f>
        <v>2159</v>
      </c>
      <c r="H79" s="3">
        <f>'RAW FS'!J4-'RAW FS'!I4+'RAW FS'!J8-'RAW FS'!I8+'RAW FS'!J9-'RAW FS'!I9+'RAW FS'!J11-'RAW FS'!I11+'RAW FS'!J14-'RAW FS'!I14</f>
        <v>407</v>
      </c>
      <c r="I79" s="3">
        <f>'RAW FS'!K4-'RAW FS'!J4+'RAW FS'!K8-'RAW FS'!J8+'RAW FS'!K9-'RAW FS'!J9+'RAW FS'!K11-'RAW FS'!J11+'RAW FS'!K14-'RAW FS'!J14</f>
        <v>2954</v>
      </c>
      <c r="J79" s="3">
        <f>'RAW FS'!L4-'RAW FS'!K4+'RAW FS'!L8-'RAW FS'!K8+'RAW FS'!L9-'RAW FS'!K9+'RAW FS'!L11-'RAW FS'!K11+'RAW FS'!L14-'RAW FS'!K14</f>
        <v>1356</v>
      </c>
      <c r="K79" s="3">
        <f>'RAW FS'!M4-'RAW FS'!L4+'RAW FS'!M8-'RAW FS'!L8+'RAW FS'!M9-'RAW FS'!L9+'RAW FS'!M11-'RAW FS'!L11+'RAW FS'!M14-'RAW FS'!L14</f>
        <v>3120</v>
      </c>
    </row>
    <row r="80" spans="1:11" x14ac:dyDescent="0.35">
      <c r="A80" s="1" t="s">
        <v>26</v>
      </c>
    </row>
    <row r="81" spans="1:11" s="7" customFormat="1" x14ac:dyDescent="0.35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5">
      <c r="A82" s="4" t="s">
        <v>17</v>
      </c>
      <c r="B82">
        <v>1402.03</v>
      </c>
      <c r="C82">
        <v>1187.69</v>
      </c>
      <c r="D82">
        <v>2242.9499999999998</v>
      </c>
      <c r="E82">
        <v>1527.33</v>
      </c>
      <c r="F82">
        <v>2113.44</v>
      </c>
      <c r="G82">
        <v>2469.54</v>
      </c>
      <c r="H82">
        <v>3038.15</v>
      </c>
      <c r="I82">
        <v>3683.35</v>
      </c>
      <c r="J82">
        <v>986.49</v>
      </c>
      <c r="K82">
        <v>4193.43</v>
      </c>
    </row>
    <row r="83" spans="1:11" s="4" customFormat="1" x14ac:dyDescent="0.35">
      <c r="A83" s="4" t="s">
        <v>18</v>
      </c>
      <c r="B83">
        <v>-585.99</v>
      </c>
      <c r="C83">
        <v>-464.99</v>
      </c>
      <c r="D83">
        <v>-866.21</v>
      </c>
      <c r="E83">
        <v>-681.11</v>
      </c>
      <c r="F83">
        <v>-1556.14</v>
      </c>
      <c r="G83">
        <v>-917.79</v>
      </c>
      <c r="H83">
        <v>-517.91</v>
      </c>
      <c r="I83">
        <v>-540.54</v>
      </c>
      <c r="J83">
        <v>-316.75</v>
      </c>
      <c r="K83">
        <v>-1282.3399999999999</v>
      </c>
    </row>
    <row r="84" spans="1:11" s="4" customFormat="1" x14ac:dyDescent="0.35">
      <c r="A84" s="4" t="s">
        <v>19</v>
      </c>
      <c r="B84">
        <v>-625.91</v>
      </c>
      <c r="C84">
        <v>-576.09</v>
      </c>
      <c r="D84">
        <v>-848.98</v>
      </c>
      <c r="E84">
        <v>-756.43</v>
      </c>
      <c r="F84">
        <v>-1379.14</v>
      </c>
      <c r="G84">
        <v>-1117.46</v>
      </c>
      <c r="H84">
        <v>-2871.46</v>
      </c>
      <c r="I84">
        <v>-650.4</v>
      </c>
      <c r="J84">
        <v>-1807.61</v>
      </c>
      <c r="K84">
        <v>-2140.0500000000002</v>
      </c>
    </row>
    <row r="85" spans="1:11" s="1" customFormat="1" x14ac:dyDescent="0.35">
      <c r="A85" s="4" t="s">
        <v>20</v>
      </c>
      <c r="B85">
        <v>190.13</v>
      </c>
      <c r="C85">
        <v>146.61000000000001</v>
      </c>
      <c r="D85">
        <v>527.76</v>
      </c>
      <c r="E85">
        <v>89.79</v>
      </c>
      <c r="F85">
        <v>-821.84</v>
      </c>
      <c r="G85">
        <v>434.29</v>
      </c>
      <c r="H85">
        <v>-351.22</v>
      </c>
      <c r="I85">
        <v>2492.41</v>
      </c>
      <c r="J85">
        <v>-1137.8699999999999</v>
      </c>
      <c r="K85">
        <v>771.04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1" customFormat="1" x14ac:dyDescent="0.35">
      <c r="A90" s="1" t="s">
        <v>41</v>
      </c>
      <c r="B90">
        <v>547.95000000000005</v>
      </c>
      <c r="C90">
        <v>811.3</v>
      </c>
      <c r="D90">
        <v>868.4</v>
      </c>
      <c r="E90">
        <v>1073.5</v>
      </c>
      <c r="F90">
        <v>1120.4000000000001</v>
      </c>
      <c r="G90">
        <v>1492.7</v>
      </c>
      <c r="H90">
        <v>1666.5</v>
      </c>
      <c r="I90">
        <v>2537.4</v>
      </c>
      <c r="J90">
        <v>3079.95</v>
      </c>
      <c r="K90">
        <v>2761.65</v>
      </c>
    </row>
    <row r="92" spans="1:11" s="1" customFormat="1" x14ac:dyDescent="0.35">
      <c r="A92" s="1" t="s">
        <v>40</v>
      </c>
    </row>
    <row r="93" spans="1:11" x14ac:dyDescent="0.35">
      <c r="A93" s="3" t="s">
        <v>53</v>
      </c>
      <c r="B93" s="8">
        <v>95.92</v>
      </c>
      <c r="C93" s="8">
        <v>95.92</v>
      </c>
      <c r="D93" s="8">
        <v>95.92</v>
      </c>
      <c r="E93" s="8">
        <v>95.92</v>
      </c>
      <c r="F93" s="8">
        <v>95.92</v>
      </c>
      <c r="G93" s="8">
        <v>95.92</v>
      </c>
      <c r="H93" s="8">
        <v>95.92</v>
      </c>
      <c r="I93" s="8">
        <v>95.92</v>
      </c>
      <c r="J93" s="8">
        <v>95.92</v>
      </c>
      <c r="K93" s="8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6022-29FC-42F0-8FAB-92942DAE9C38}">
  <dimension ref="B2:N30"/>
  <sheetViews>
    <sheetView workbookViewId="0">
      <selection activeCell="E12" sqref="E12"/>
    </sheetView>
  </sheetViews>
  <sheetFormatPr defaultRowHeight="14.5" x14ac:dyDescent="0.35"/>
  <cols>
    <col min="2" max="2" width="26.7265625" customWidth="1"/>
  </cols>
  <sheetData>
    <row r="2" spans="2:14" x14ac:dyDescent="0.35">
      <c r="C2" s="21">
        <v>40969</v>
      </c>
      <c r="D2" s="21">
        <v>41334</v>
      </c>
      <c r="E2" s="21">
        <v>41699</v>
      </c>
      <c r="F2" s="21">
        <v>42064</v>
      </c>
      <c r="G2" s="21">
        <v>42430</v>
      </c>
      <c r="H2" s="21">
        <v>42795</v>
      </c>
      <c r="I2" s="21">
        <v>43160</v>
      </c>
      <c r="J2" s="21">
        <v>43525</v>
      </c>
      <c r="K2" s="21">
        <v>43891</v>
      </c>
      <c r="L2" s="21">
        <v>44256</v>
      </c>
      <c r="M2" s="21">
        <v>44621</v>
      </c>
      <c r="N2" s="21">
        <v>44986</v>
      </c>
    </row>
    <row r="3" spans="2:14" x14ac:dyDescent="0.35">
      <c r="B3" t="s">
        <v>108</v>
      </c>
      <c r="C3" s="22">
        <v>6256</v>
      </c>
      <c r="D3" s="22">
        <v>7102</v>
      </c>
      <c r="E3" s="22">
        <v>7344</v>
      </c>
      <c r="F3" s="22">
        <v>9843</v>
      </c>
      <c r="G3" s="22">
        <v>9799</v>
      </c>
      <c r="H3" s="22">
        <v>10627</v>
      </c>
      <c r="I3" s="22">
        <v>13169</v>
      </c>
      <c r="J3" s="22">
        <v>12583</v>
      </c>
      <c r="K3" s="22">
        <v>14690</v>
      </c>
      <c r="L3" s="22">
        <v>12527</v>
      </c>
      <c r="M3" s="22">
        <v>15776</v>
      </c>
      <c r="N3" s="22">
        <v>18878</v>
      </c>
    </row>
    <row r="4" spans="2:14" x14ac:dyDescent="0.35">
      <c r="B4" t="s">
        <v>83</v>
      </c>
      <c r="C4" s="22">
        <v>9244</v>
      </c>
      <c r="D4" s="22">
        <v>11218</v>
      </c>
      <c r="E4" s="22">
        <v>13172</v>
      </c>
      <c r="F4" s="22">
        <v>14261</v>
      </c>
      <c r="G4" s="22">
        <v>15154</v>
      </c>
      <c r="H4" s="22">
        <v>16075</v>
      </c>
      <c r="I4" s="22">
        <v>17433</v>
      </c>
      <c r="J4" s="22">
        <v>18862</v>
      </c>
      <c r="K4" s="22">
        <v>19416</v>
      </c>
      <c r="L4" s="22">
        <v>17326</v>
      </c>
      <c r="M4" s="22">
        <v>20857</v>
      </c>
      <c r="N4" s="22">
        <v>25895</v>
      </c>
    </row>
    <row r="5" spans="2:14" x14ac:dyDescent="0.35">
      <c r="B5" t="s">
        <v>42</v>
      </c>
      <c r="C5" s="22">
        <v>-357</v>
      </c>
      <c r="D5" s="22">
        <v>-446</v>
      </c>
      <c r="E5" s="22">
        <v>-1546</v>
      </c>
      <c r="F5" s="22">
        <v>558</v>
      </c>
      <c r="G5" s="22">
        <v>-207</v>
      </c>
      <c r="H5" s="22">
        <v>-870</v>
      </c>
      <c r="I5" s="22">
        <v>-964</v>
      </c>
      <c r="J5" s="22">
        <v>-755</v>
      </c>
      <c r="K5" s="22">
        <v>1411</v>
      </c>
      <c r="L5" s="22">
        <v>-66</v>
      </c>
      <c r="M5">
        <v>-732</v>
      </c>
      <c r="N5" s="22">
        <v>-884</v>
      </c>
    </row>
    <row r="6" spans="2:14" x14ac:dyDescent="0.35">
      <c r="B6" t="s">
        <v>29</v>
      </c>
      <c r="C6" s="22">
        <v>-408</v>
      </c>
      <c r="D6" s="22">
        <v>-985</v>
      </c>
      <c r="E6" s="22">
        <v>-755</v>
      </c>
      <c r="F6" s="22">
        <v>-505</v>
      </c>
      <c r="G6" s="22">
        <v>-693</v>
      </c>
      <c r="H6" s="22">
        <v>593</v>
      </c>
      <c r="I6" s="22">
        <v>602</v>
      </c>
      <c r="J6" s="22">
        <v>-359</v>
      </c>
      <c r="K6" s="22">
        <v>-508</v>
      </c>
      <c r="L6" s="22">
        <v>-1460</v>
      </c>
      <c r="M6">
        <v>-466</v>
      </c>
      <c r="N6" s="22">
        <v>-941</v>
      </c>
    </row>
    <row r="7" spans="2:14" x14ac:dyDescent="0.35">
      <c r="B7" t="s">
        <v>84</v>
      </c>
      <c r="C7" s="22">
        <v>193</v>
      </c>
      <c r="D7" s="22">
        <v>0</v>
      </c>
      <c r="E7" s="22">
        <v>456</v>
      </c>
      <c r="F7" s="22">
        <v>-23</v>
      </c>
      <c r="G7" s="22">
        <v>622</v>
      </c>
      <c r="H7" s="22">
        <v>321</v>
      </c>
      <c r="I7" s="22">
        <v>2098</v>
      </c>
      <c r="J7" s="22">
        <v>639</v>
      </c>
      <c r="K7" s="22">
        <v>-607</v>
      </c>
      <c r="L7" s="22">
        <v>1112</v>
      </c>
      <c r="M7" s="22">
        <v>1099</v>
      </c>
      <c r="N7" s="22">
        <v>1058</v>
      </c>
    </row>
    <row r="8" spans="2:14" x14ac:dyDescent="0.35">
      <c r="B8" t="s">
        <v>85</v>
      </c>
      <c r="C8">
        <v>0</v>
      </c>
      <c r="D8">
        <v>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5">
      <c r="B9" t="s">
        <v>86</v>
      </c>
      <c r="C9" s="22">
        <v>-573</v>
      </c>
      <c r="D9" s="22">
        <v>-1101</v>
      </c>
      <c r="E9" s="22">
        <v>-1844</v>
      </c>
      <c r="F9">
        <v>31</v>
      </c>
      <c r="G9" s="22">
        <v>-277</v>
      </c>
      <c r="H9" s="22">
        <v>44</v>
      </c>
      <c r="I9" s="22">
        <v>1736</v>
      </c>
      <c r="J9" s="22">
        <v>-476</v>
      </c>
      <c r="K9">
        <v>296</v>
      </c>
      <c r="L9" s="22">
        <v>-413</v>
      </c>
      <c r="M9" s="22">
        <v>-100</v>
      </c>
      <c r="N9" s="22">
        <v>-767</v>
      </c>
    </row>
    <row r="10" spans="2:14" x14ac:dyDescent="0.35">
      <c r="B10" t="s">
        <v>87</v>
      </c>
      <c r="C10" s="22">
        <v>-2415</v>
      </c>
      <c r="D10" s="22">
        <v>-3015</v>
      </c>
      <c r="E10" s="22">
        <v>-3984</v>
      </c>
      <c r="F10" s="22">
        <v>-4449</v>
      </c>
      <c r="G10" s="22">
        <v>-5078</v>
      </c>
      <c r="H10" s="22">
        <v>-5492</v>
      </c>
      <c r="I10" s="22">
        <v>-6000</v>
      </c>
      <c r="J10" s="22">
        <v>-5803</v>
      </c>
      <c r="K10" s="22">
        <v>-5023</v>
      </c>
      <c r="L10" s="22">
        <v>-4387</v>
      </c>
      <c r="M10" s="22">
        <v>-4982</v>
      </c>
      <c r="N10" s="22">
        <v>-6250</v>
      </c>
    </row>
    <row r="11" spans="2:14" x14ac:dyDescent="0.35">
      <c r="B11" t="s">
        <v>109</v>
      </c>
      <c r="C11" s="22">
        <v>-2694</v>
      </c>
      <c r="D11" s="22">
        <v>-3881</v>
      </c>
      <c r="E11" s="22">
        <v>-3254</v>
      </c>
      <c r="F11" s="22">
        <v>-5275</v>
      </c>
      <c r="G11" s="22">
        <v>-3921</v>
      </c>
      <c r="H11" s="22">
        <v>-3251</v>
      </c>
      <c r="I11" s="22">
        <v>-7114</v>
      </c>
      <c r="J11" s="22">
        <v>-5546</v>
      </c>
      <c r="K11" s="22">
        <v>-6174</v>
      </c>
      <c r="L11" s="22">
        <v>5740</v>
      </c>
      <c r="M11" s="22">
        <v>-2238</v>
      </c>
      <c r="N11" s="22">
        <v>-5732</v>
      </c>
    </row>
    <row r="12" spans="2:14" x14ac:dyDescent="0.35">
      <c r="B12" t="s">
        <v>88</v>
      </c>
      <c r="C12" s="22">
        <v>-2468</v>
      </c>
      <c r="D12" s="22">
        <v>-2644</v>
      </c>
      <c r="E12" s="22">
        <v>-2887</v>
      </c>
      <c r="F12" s="22">
        <v>-3300</v>
      </c>
      <c r="G12" s="22">
        <v>-2348</v>
      </c>
      <c r="H12" s="22">
        <v>-3122</v>
      </c>
      <c r="I12" s="22">
        <v>-2878</v>
      </c>
      <c r="J12" s="22">
        <v>-3169</v>
      </c>
      <c r="K12" s="22">
        <v>-2441</v>
      </c>
      <c r="L12" s="22">
        <v>-1837</v>
      </c>
      <c r="M12" s="22">
        <v>-2142</v>
      </c>
      <c r="N12" s="22">
        <v>-2743</v>
      </c>
    </row>
    <row r="13" spans="2:14" x14ac:dyDescent="0.35">
      <c r="B13" t="s">
        <v>89</v>
      </c>
      <c r="C13" s="22">
        <v>59</v>
      </c>
      <c r="D13" s="22">
        <v>10</v>
      </c>
      <c r="E13" s="22">
        <v>38</v>
      </c>
      <c r="F13" s="22">
        <v>9</v>
      </c>
      <c r="G13" s="22">
        <v>8</v>
      </c>
      <c r="H13" s="22">
        <v>50</v>
      </c>
      <c r="I13" s="22">
        <v>80</v>
      </c>
      <c r="J13" s="22">
        <v>28</v>
      </c>
      <c r="K13" s="22">
        <v>27</v>
      </c>
      <c r="L13" s="22">
        <v>3</v>
      </c>
      <c r="M13" s="22">
        <v>133</v>
      </c>
      <c r="N13" s="22">
        <v>49</v>
      </c>
    </row>
    <row r="14" spans="2:14" x14ac:dyDescent="0.35">
      <c r="B14" t="s">
        <v>90</v>
      </c>
      <c r="C14" s="22">
        <v>-54269</v>
      </c>
      <c r="D14" s="22">
        <v>-75713</v>
      </c>
      <c r="E14" s="22">
        <v>-94242</v>
      </c>
      <c r="F14" s="22">
        <v>-98742</v>
      </c>
      <c r="G14" s="22">
        <v>-154081</v>
      </c>
      <c r="H14" s="22">
        <v>-85683</v>
      </c>
      <c r="I14" s="22">
        <v>-98330</v>
      </c>
      <c r="J14" s="22">
        <v>-94187</v>
      </c>
      <c r="K14" s="22">
        <v>-79835</v>
      </c>
      <c r="L14" s="22">
        <v>-57553</v>
      </c>
      <c r="M14" s="22">
        <v>-69776</v>
      </c>
      <c r="N14" s="22">
        <v>-80932</v>
      </c>
    </row>
    <row r="15" spans="2:14" x14ac:dyDescent="0.35">
      <c r="B15" t="s">
        <v>91</v>
      </c>
      <c r="C15" s="22">
        <v>53879</v>
      </c>
      <c r="D15" s="22">
        <v>75152</v>
      </c>
      <c r="E15" s="22">
        <v>93293</v>
      </c>
      <c r="F15" s="22">
        <v>99658</v>
      </c>
      <c r="G15" s="22">
        <v>150651</v>
      </c>
      <c r="H15" s="22">
        <v>81034</v>
      </c>
      <c r="I15" s="22">
        <v>95017</v>
      </c>
      <c r="J15" s="22">
        <v>92454</v>
      </c>
      <c r="K15" s="22">
        <v>75835</v>
      </c>
      <c r="L15" s="22">
        <v>62797</v>
      </c>
      <c r="M15" s="22">
        <v>70992</v>
      </c>
      <c r="N15" s="22">
        <v>77230</v>
      </c>
    </row>
    <row r="16" spans="2:14" x14ac:dyDescent="0.35">
      <c r="B16" t="s">
        <v>92</v>
      </c>
      <c r="C16">
        <v>302</v>
      </c>
      <c r="D16">
        <v>265</v>
      </c>
      <c r="E16">
        <v>374</v>
      </c>
      <c r="F16">
        <v>559</v>
      </c>
      <c r="G16">
        <v>741</v>
      </c>
      <c r="H16" s="22">
        <v>756</v>
      </c>
      <c r="I16" s="22">
        <v>736</v>
      </c>
      <c r="J16" s="22">
        <v>1184</v>
      </c>
      <c r="K16" s="22">
        <v>1513</v>
      </c>
      <c r="L16" s="22">
        <v>1275</v>
      </c>
      <c r="M16" s="22">
        <v>1035</v>
      </c>
      <c r="N16" s="22">
        <v>1324</v>
      </c>
    </row>
    <row r="17" spans="2:14" x14ac:dyDescent="0.35">
      <c r="B17" t="s">
        <v>93</v>
      </c>
      <c r="C17">
        <v>241</v>
      </c>
      <c r="D17">
        <v>249</v>
      </c>
      <c r="E17">
        <v>192</v>
      </c>
      <c r="F17">
        <v>268</v>
      </c>
      <c r="G17">
        <v>64</v>
      </c>
      <c r="H17">
        <v>4</v>
      </c>
      <c r="I17">
        <v>13</v>
      </c>
      <c r="J17">
        <v>13</v>
      </c>
      <c r="K17" s="22">
        <v>17</v>
      </c>
      <c r="L17">
        <v>7</v>
      </c>
      <c r="M17">
        <v>16</v>
      </c>
      <c r="N17">
        <v>19</v>
      </c>
    </row>
    <row r="18" spans="2:14" x14ac:dyDescent="0.35">
      <c r="B18" t="s">
        <v>94</v>
      </c>
      <c r="C18">
        <v>0</v>
      </c>
      <c r="D18">
        <v>0</v>
      </c>
      <c r="E18">
        <v>0</v>
      </c>
      <c r="F18">
        <v>0</v>
      </c>
      <c r="G18">
        <v>-8</v>
      </c>
      <c r="H18">
        <v>0</v>
      </c>
      <c r="I18" s="22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5"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</v>
      </c>
      <c r="M19">
        <v>-2</v>
      </c>
      <c r="N19">
        <v>-2</v>
      </c>
    </row>
    <row r="20" spans="2:14" x14ac:dyDescent="0.35"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18</v>
      </c>
      <c r="J20">
        <v>18</v>
      </c>
      <c r="K20">
        <v>0</v>
      </c>
      <c r="L20">
        <v>0</v>
      </c>
      <c r="M20">
        <v>0</v>
      </c>
      <c r="N20">
        <v>56</v>
      </c>
    </row>
    <row r="21" spans="2:14" x14ac:dyDescent="0.35">
      <c r="B21" t="s">
        <v>99</v>
      </c>
      <c r="C21">
        <v>-438</v>
      </c>
      <c r="D21" s="22">
        <v>-1200</v>
      </c>
      <c r="E21">
        <v>-21</v>
      </c>
      <c r="F21" s="22">
        <v>-3728</v>
      </c>
      <c r="G21" s="22">
        <v>1052</v>
      </c>
      <c r="H21" s="22">
        <v>3579</v>
      </c>
      <c r="I21" s="22">
        <v>-1769</v>
      </c>
      <c r="J21" s="22">
        <v>-1887</v>
      </c>
      <c r="K21" s="22">
        <v>-1290</v>
      </c>
      <c r="L21" s="22">
        <v>1051</v>
      </c>
      <c r="M21" s="22">
        <v>-2494</v>
      </c>
      <c r="N21">
        <v>-733</v>
      </c>
    </row>
    <row r="22" spans="2:14" x14ac:dyDescent="0.35">
      <c r="B22" t="s">
        <v>110</v>
      </c>
      <c r="C22" s="22">
        <v>-3305</v>
      </c>
      <c r="D22" s="22">
        <v>-3310</v>
      </c>
      <c r="E22" s="22">
        <v>-4122</v>
      </c>
      <c r="F22" s="22">
        <v>-4661</v>
      </c>
      <c r="G22" s="22">
        <v>-5613</v>
      </c>
      <c r="H22" s="22">
        <v>-7301</v>
      </c>
      <c r="I22" s="22">
        <v>-6221</v>
      </c>
      <c r="J22" s="22">
        <v>-6869</v>
      </c>
      <c r="K22" s="22">
        <v>-8181</v>
      </c>
      <c r="L22" s="22">
        <v>-18634</v>
      </c>
      <c r="M22" s="22">
        <v>-13580</v>
      </c>
      <c r="N22" s="22">
        <v>-13006</v>
      </c>
    </row>
    <row r="23" spans="2:14" x14ac:dyDescent="0.35">
      <c r="B23" t="s">
        <v>100</v>
      </c>
      <c r="C23">
        <v>765</v>
      </c>
      <c r="D23">
        <v>922</v>
      </c>
      <c r="E23">
        <v>691</v>
      </c>
      <c r="F23">
        <v>979</v>
      </c>
      <c r="G23">
        <v>532</v>
      </c>
      <c r="H23" s="22">
        <v>1067</v>
      </c>
      <c r="I23">
        <v>913</v>
      </c>
      <c r="J23">
        <v>969</v>
      </c>
      <c r="K23">
        <v>625</v>
      </c>
      <c r="L23">
        <v>291</v>
      </c>
      <c r="M23">
        <v>292</v>
      </c>
      <c r="N23" s="22">
        <v>2477</v>
      </c>
    </row>
    <row r="24" spans="2:14" x14ac:dyDescent="0.35">
      <c r="B24" t="s">
        <v>102</v>
      </c>
      <c r="C24">
        <v>28</v>
      </c>
      <c r="D24" s="22">
        <v>-2</v>
      </c>
      <c r="E24" s="22">
        <v>156</v>
      </c>
      <c r="F24">
        <v>7</v>
      </c>
      <c r="G24" s="22">
        <v>0</v>
      </c>
      <c r="H24" s="22">
        <v>0</v>
      </c>
      <c r="I24" s="22">
        <v>11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</row>
    <row r="25" spans="2:14" x14ac:dyDescent="0.35">
      <c r="B25" t="s">
        <v>103</v>
      </c>
      <c r="C25" s="22">
        <v>-33</v>
      </c>
      <c r="D25" s="22">
        <v>-12</v>
      </c>
      <c r="E25" s="22">
        <v>-15</v>
      </c>
      <c r="F25" s="22">
        <v>-20</v>
      </c>
      <c r="G25" s="22">
        <v>-13</v>
      </c>
      <c r="H25" s="22">
        <v>-13</v>
      </c>
      <c r="I25" s="22">
        <v>-8</v>
      </c>
      <c r="J25" s="22">
        <v>-18</v>
      </c>
      <c r="K25" s="22">
        <v>-3</v>
      </c>
      <c r="L25" s="22">
        <v>-2</v>
      </c>
      <c r="M25" s="22">
        <v>-1</v>
      </c>
      <c r="N25" s="22">
        <v>-1</v>
      </c>
    </row>
    <row r="26" spans="2:14" x14ac:dyDescent="0.35">
      <c r="B26" t="s">
        <v>104</v>
      </c>
      <c r="C26">
        <v>-19</v>
      </c>
      <c r="D26">
        <v>-71</v>
      </c>
      <c r="E26">
        <v>-48</v>
      </c>
      <c r="F26">
        <v>-16</v>
      </c>
      <c r="G26" s="22">
        <v>-28</v>
      </c>
      <c r="H26">
        <v>-25</v>
      </c>
      <c r="I26">
        <v>-49</v>
      </c>
      <c r="J26">
        <v>-98</v>
      </c>
      <c r="K26" s="22">
        <v>-44</v>
      </c>
      <c r="L26" s="22">
        <v>-41</v>
      </c>
      <c r="M26">
        <v>-40</v>
      </c>
      <c r="N26">
        <v>-41</v>
      </c>
    </row>
    <row r="27" spans="2:14" x14ac:dyDescent="0.35">
      <c r="B27" t="s">
        <v>105</v>
      </c>
      <c r="C27" s="22">
        <v>-3503</v>
      </c>
      <c r="D27" s="22">
        <v>-3592</v>
      </c>
      <c r="E27" s="22">
        <v>-4239</v>
      </c>
      <c r="F27" s="22">
        <v>-4876</v>
      </c>
      <c r="G27" s="22">
        <v>-5133</v>
      </c>
      <c r="H27" s="22">
        <v>-6994</v>
      </c>
      <c r="I27" s="22">
        <v>-5952</v>
      </c>
      <c r="J27" s="22">
        <v>-6519</v>
      </c>
      <c r="K27" s="22">
        <v>-7302</v>
      </c>
      <c r="L27" s="22">
        <v>-18881</v>
      </c>
      <c r="M27" s="22">
        <v>-13788</v>
      </c>
      <c r="N27" s="22">
        <v>-15418</v>
      </c>
    </row>
    <row r="28" spans="2:14" x14ac:dyDescent="0.35">
      <c r="B28" t="s">
        <v>106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-49</v>
      </c>
      <c r="L28" s="22">
        <v>-55</v>
      </c>
      <c r="M28" s="22">
        <v>-59</v>
      </c>
      <c r="N28" s="22">
        <v>-59</v>
      </c>
    </row>
    <row r="29" spans="2:14" x14ac:dyDescent="0.35">
      <c r="B29" t="s">
        <v>107</v>
      </c>
      <c r="C29" s="22">
        <v>-542</v>
      </c>
      <c r="D29" s="22">
        <v>-556</v>
      </c>
      <c r="E29" s="22">
        <v>-667</v>
      </c>
      <c r="F29" s="22">
        <v>-734</v>
      </c>
      <c r="G29" s="22">
        <v>-971</v>
      </c>
      <c r="H29" s="22">
        <v>-1335</v>
      </c>
      <c r="I29" s="22">
        <v>-1136</v>
      </c>
      <c r="J29" s="22">
        <v>-1203</v>
      </c>
      <c r="K29" s="22">
        <v>-1409</v>
      </c>
      <c r="L29" s="22">
        <v>55</v>
      </c>
      <c r="M29" s="22">
        <v>15</v>
      </c>
      <c r="N29" s="22">
        <v>35</v>
      </c>
    </row>
    <row r="30" spans="2:14" x14ac:dyDescent="0.35">
      <c r="B30" t="s">
        <v>20</v>
      </c>
      <c r="C30" s="22">
        <v>257</v>
      </c>
      <c r="D30" s="22">
        <v>-90</v>
      </c>
      <c r="E30" s="22">
        <v>-32</v>
      </c>
      <c r="F30" s="22">
        <v>-93</v>
      </c>
      <c r="G30" s="22">
        <v>266</v>
      </c>
      <c r="H30" s="22">
        <v>75</v>
      </c>
      <c r="I30" s="22">
        <v>-166</v>
      </c>
      <c r="J30" s="22">
        <v>169</v>
      </c>
      <c r="K30" s="22">
        <v>334</v>
      </c>
      <c r="L30" s="22">
        <v>-367</v>
      </c>
      <c r="M30" s="22">
        <v>-43</v>
      </c>
      <c r="N30" s="22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FEF4-4887-4445-B4A7-8922D9022A1A}">
  <dimension ref="B1:AA7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9" sqref="G29"/>
    </sheetView>
  </sheetViews>
  <sheetFormatPr defaultRowHeight="14.5" x14ac:dyDescent="0.35"/>
  <cols>
    <col min="1" max="1" width="1.81640625" customWidth="1"/>
    <col min="2" max="2" width="30.54296875" bestFit="1" customWidth="1"/>
    <col min="3" max="13" width="10.54296875" bestFit="1" customWidth="1"/>
    <col min="15" max="15" width="30.54296875" bestFit="1" customWidth="1"/>
  </cols>
  <sheetData>
    <row r="1" spans="2:13" x14ac:dyDescent="0.35">
      <c r="B1" s="100" t="s">
        <v>25</v>
      </c>
    </row>
    <row r="2" spans="2:13" s="2" customFormat="1" x14ac:dyDescent="0.35">
      <c r="B2" s="79" t="s">
        <v>176</v>
      </c>
      <c r="C2" s="80">
        <v>41334</v>
      </c>
      <c r="D2" s="80">
        <v>41699</v>
      </c>
      <c r="E2" s="80">
        <v>42064</v>
      </c>
      <c r="F2" s="80">
        <v>42430</v>
      </c>
      <c r="G2" s="80">
        <v>42795</v>
      </c>
      <c r="H2" s="80">
        <v>43160</v>
      </c>
      <c r="I2" s="80">
        <v>43525</v>
      </c>
      <c r="J2" s="80">
        <v>43891</v>
      </c>
      <c r="K2" s="80">
        <v>44256</v>
      </c>
      <c r="L2" s="80">
        <v>44621</v>
      </c>
      <c r="M2" s="80">
        <v>44986</v>
      </c>
    </row>
    <row r="3" spans="2:13" x14ac:dyDescent="0.35">
      <c r="B3" s="79" t="s">
        <v>164</v>
      </c>
      <c r="C3" s="84">
        <v>96</v>
      </c>
      <c r="D3" s="84">
        <v>96</v>
      </c>
      <c r="E3" s="84">
        <v>96</v>
      </c>
      <c r="F3" s="84">
        <v>96</v>
      </c>
      <c r="G3" s="84">
        <v>96</v>
      </c>
      <c r="H3" s="84">
        <v>96</v>
      </c>
      <c r="I3" s="84">
        <v>96</v>
      </c>
      <c r="J3" s="84">
        <v>96</v>
      </c>
      <c r="K3" s="84">
        <v>96</v>
      </c>
      <c r="L3" s="84">
        <v>96</v>
      </c>
      <c r="M3" s="84">
        <v>96</v>
      </c>
    </row>
    <row r="4" spans="2:13" x14ac:dyDescent="0.35">
      <c r="B4" s="79" t="s">
        <v>11</v>
      </c>
      <c r="C4" s="84">
        <v>3288</v>
      </c>
      <c r="D4" s="84">
        <v>3943</v>
      </c>
      <c r="E4" s="84">
        <v>4646</v>
      </c>
      <c r="F4" s="84">
        <v>6429</v>
      </c>
      <c r="G4" s="84">
        <v>7508</v>
      </c>
      <c r="H4" s="84">
        <v>8314</v>
      </c>
      <c r="I4" s="84">
        <v>9375</v>
      </c>
      <c r="J4" s="84">
        <v>10034</v>
      </c>
      <c r="K4" s="84">
        <v>12710</v>
      </c>
      <c r="L4" s="84">
        <v>13716</v>
      </c>
      <c r="M4" s="84">
        <v>15896</v>
      </c>
    </row>
    <row r="5" spans="2:13" x14ac:dyDescent="0.35">
      <c r="B5" s="77" t="s">
        <v>182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2:13" x14ac:dyDescent="0.35">
      <c r="B6" s="74" t="s">
        <v>183</v>
      </c>
      <c r="C6" s="81">
        <v>47</v>
      </c>
      <c r="D6" s="81">
        <v>41</v>
      </c>
      <c r="E6" s="81">
        <v>78</v>
      </c>
      <c r="F6" s="81">
        <v>73</v>
      </c>
      <c r="G6" s="81">
        <v>41</v>
      </c>
      <c r="H6" s="81">
        <v>28</v>
      </c>
      <c r="I6" s="81">
        <v>19</v>
      </c>
      <c r="J6" s="81">
        <v>19</v>
      </c>
      <c r="K6" s="81">
        <v>15</v>
      </c>
      <c r="L6" s="81">
        <v>45</v>
      </c>
      <c r="M6" s="81">
        <v>76</v>
      </c>
    </row>
    <row r="7" spans="2:13" x14ac:dyDescent="0.35">
      <c r="B7" s="74" t="s">
        <v>184</v>
      </c>
      <c r="C7" s="81">
        <v>190</v>
      </c>
      <c r="D7" s="81">
        <v>199</v>
      </c>
      <c r="E7" s="81">
        <v>332</v>
      </c>
      <c r="F7" s="81">
        <v>231</v>
      </c>
      <c r="G7" s="81">
        <v>504</v>
      </c>
      <c r="H7" s="81">
        <v>492</v>
      </c>
      <c r="I7" s="81">
        <v>597</v>
      </c>
      <c r="J7" s="81">
        <v>321</v>
      </c>
      <c r="K7" s="81">
        <v>334</v>
      </c>
      <c r="L7" s="81">
        <v>731</v>
      </c>
      <c r="M7" s="81">
        <v>896</v>
      </c>
    </row>
    <row r="8" spans="2:13" x14ac:dyDescent="0.35">
      <c r="B8" s="74" t="s">
        <v>185</v>
      </c>
      <c r="C8" s="81">
        <v>0</v>
      </c>
      <c r="D8" s="81">
        <v>0</v>
      </c>
      <c r="E8" s="81">
        <v>0</v>
      </c>
      <c r="F8" s="81">
        <v>0</v>
      </c>
      <c r="G8" s="81">
        <v>0</v>
      </c>
      <c r="H8" s="81">
        <v>0</v>
      </c>
      <c r="I8" s="81">
        <v>693</v>
      </c>
      <c r="J8" s="81">
        <v>764</v>
      </c>
      <c r="K8" s="81">
        <v>745</v>
      </c>
      <c r="L8" s="81">
        <v>811</v>
      </c>
      <c r="M8" s="81">
        <v>960</v>
      </c>
    </row>
    <row r="9" spans="2:13" x14ac:dyDescent="0.35">
      <c r="B9" s="74" t="s">
        <v>186</v>
      </c>
      <c r="C9" s="81">
        <v>14</v>
      </c>
      <c r="D9" s="81">
        <v>9</v>
      </c>
      <c r="E9" s="81">
        <v>8</v>
      </c>
      <c r="F9" s="81">
        <v>20</v>
      </c>
      <c r="G9" s="81">
        <v>15</v>
      </c>
      <c r="H9" s="81">
        <v>13</v>
      </c>
      <c r="I9" s="81">
        <v>11</v>
      </c>
      <c r="J9" s="81">
        <v>15</v>
      </c>
      <c r="K9" s="81">
        <v>0</v>
      </c>
      <c r="L9" s="81">
        <v>0</v>
      </c>
      <c r="M9" s="81">
        <v>0</v>
      </c>
    </row>
    <row r="10" spans="2:13" x14ac:dyDescent="0.35">
      <c r="B10" s="79" t="s">
        <v>187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</row>
    <row r="11" spans="2:13" x14ac:dyDescent="0.35">
      <c r="B11" s="74" t="s">
        <v>188</v>
      </c>
      <c r="C11" s="81">
        <v>161</v>
      </c>
      <c r="D11" s="81">
        <v>246</v>
      </c>
      <c r="E11" s="81">
        <v>264</v>
      </c>
      <c r="F11" s="81">
        <v>384</v>
      </c>
      <c r="G11" s="81">
        <v>375</v>
      </c>
      <c r="H11" s="81">
        <v>328</v>
      </c>
      <c r="I11" s="81">
        <v>361</v>
      </c>
      <c r="J11" s="81">
        <v>404</v>
      </c>
      <c r="K11" s="81">
        <v>423</v>
      </c>
      <c r="L11" s="81">
        <v>388</v>
      </c>
      <c r="M11" s="81">
        <v>454</v>
      </c>
    </row>
    <row r="12" spans="2:13" x14ac:dyDescent="0.35">
      <c r="B12" s="74" t="s">
        <v>189</v>
      </c>
      <c r="C12" s="81">
        <v>1442</v>
      </c>
      <c r="D12" s="81">
        <v>1746</v>
      </c>
      <c r="E12" s="81">
        <v>1549</v>
      </c>
      <c r="F12" s="81">
        <v>1565</v>
      </c>
      <c r="G12" s="81">
        <v>1923</v>
      </c>
      <c r="H12" s="81">
        <v>2160</v>
      </c>
      <c r="I12" s="81">
        <v>2394</v>
      </c>
      <c r="J12" s="81">
        <v>2137</v>
      </c>
      <c r="K12" s="81">
        <v>3379</v>
      </c>
      <c r="L12" s="81">
        <v>4164</v>
      </c>
      <c r="M12" s="81">
        <v>3635</v>
      </c>
    </row>
    <row r="13" spans="2:13" x14ac:dyDescent="0.35">
      <c r="B13" s="74" t="s">
        <v>190</v>
      </c>
      <c r="C13" s="81">
        <v>0</v>
      </c>
      <c r="D13" s="81">
        <v>0</v>
      </c>
      <c r="E13" s="81">
        <v>5</v>
      </c>
      <c r="F13" s="81">
        <v>12</v>
      </c>
      <c r="G13" s="81">
        <v>17</v>
      </c>
      <c r="H13" s="81">
        <v>16</v>
      </c>
      <c r="I13" s="81">
        <v>13</v>
      </c>
      <c r="J13" s="81">
        <v>29</v>
      </c>
      <c r="K13" s="81">
        <v>41</v>
      </c>
      <c r="L13" s="81">
        <v>76</v>
      </c>
      <c r="M13" s="81">
        <v>108</v>
      </c>
    </row>
    <row r="14" spans="2:13" x14ac:dyDescent="0.35">
      <c r="B14" s="74" t="s">
        <v>191</v>
      </c>
      <c r="C14" s="81">
        <v>1547</v>
      </c>
      <c r="D14" s="81">
        <v>1795</v>
      </c>
      <c r="E14" s="81">
        <v>1937</v>
      </c>
      <c r="F14" s="81">
        <v>1750</v>
      </c>
      <c r="G14" s="81">
        <v>1925</v>
      </c>
      <c r="H14" s="81">
        <v>2316</v>
      </c>
      <c r="I14" s="81">
        <v>2690</v>
      </c>
      <c r="J14" s="81">
        <v>2320</v>
      </c>
      <c r="K14" s="81">
        <v>2613</v>
      </c>
      <c r="L14" s="81">
        <v>2932</v>
      </c>
      <c r="M14" s="81">
        <v>3657</v>
      </c>
    </row>
    <row r="15" spans="2:13" x14ac:dyDescent="0.35">
      <c r="B15" s="77" t="s">
        <v>78</v>
      </c>
      <c r="C15" s="83">
        <v>6784</v>
      </c>
      <c r="D15" s="83">
        <v>8075</v>
      </c>
      <c r="E15" s="83">
        <v>8914</v>
      </c>
      <c r="F15" s="83">
        <v>10559</v>
      </c>
      <c r="G15" s="83">
        <v>12405</v>
      </c>
      <c r="H15" s="83">
        <v>13763</v>
      </c>
      <c r="I15" s="83">
        <v>16249</v>
      </c>
      <c r="J15" s="83">
        <v>16138</v>
      </c>
      <c r="K15" s="83">
        <v>20355</v>
      </c>
      <c r="L15" s="83">
        <v>22958</v>
      </c>
      <c r="M15" s="83">
        <v>25779</v>
      </c>
    </row>
    <row r="16" spans="2:13" x14ac:dyDescent="0.35">
      <c r="B16" s="79" t="s">
        <v>192</v>
      </c>
    </row>
    <row r="17" spans="2:13" x14ac:dyDescent="0.35">
      <c r="B17" s="74" t="s">
        <v>193</v>
      </c>
      <c r="C17" s="81">
        <v>238</v>
      </c>
      <c r="D17" s="81">
        <v>247</v>
      </c>
      <c r="E17" s="81">
        <v>251</v>
      </c>
      <c r="F17" s="81">
        <v>429</v>
      </c>
      <c r="G17" s="81">
        <v>408</v>
      </c>
      <c r="H17" s="81">
        <v>586</v>
      </c>
      <c r="I17" s="81">
        <v>605</v>
      </c>
      <c r="J17" s="81">
        <v>640</v>
      </c>
      <c r="K17" s="81">
        <v>644</v>
      </c>
      <c r="L17" s="81">
        <v>644</v>
      </c>
      <c r="M17" s="81">
        <v>799</v>
      </c>
    </row>
    <row r="18" spans="2:13" x14ac:dyDescent="0.35">
      <c r="B18" s="74" t="s">
        <v>194</v>
      </c>
      <c r="C18" s="81">
        <v>874</v>
      </c>
      <c r="D18" s="81">
        <v>931</v>
      </c>
      <c r="E18" s="81">
        <v>962</v>
      </c>
      <c r="F18" s="81">
        <v>923</v>
      </c>
      <c r="G18" s="81">
        <v>931</v>
      </c>
      <c r="H18" s="81">
        <v>957</v>
      </c>
      <c r="I18" s="81">
        <v>2402</v>
      </c>
      <c r="J18" s="81">
        <v>2257</v>
      </c>
      <c r="K18" s="81">
        <v>2249</v>
      </c>
      <c r="L18" s="81">
        <v>2325</v>
      </c>
      <c r="M18" s="81">
        <v>2617</v>
      </c>
    </row>
    <row r="19" spans="2:13" x14ac:dyDescent="0.35">
      <c r="B19" s="74" t="s">
        <v>195</v>
      </c>
      <c r="C19" s="81">
        <v>1956</v>
      </c>
      <c r="D19" s="81">
        <v>2054</v>
      </c>
      <c r="E19" s="81">
        <v>2132</v>
      </c>
      <c r="F19" s="81">
        <v>1793</v>
      </c>
      <c r="G19" s="81">
        <v>1980</v>
      </c>
      <c r="H19" s="81">
        <v>2157</v>
      </c>
      <c r="I19" s="81">
        <v>4006</v>
      </c>
      <c r="J19" s="81">
        <v>4208</v>
      </c>
      <c r="K19" s="81">
        <v>4340</v>
      </c>
      <c r="L19" s="81">
        <v>4531</v>
      </c>
      <c r="M19" s="81">
        <v>4825</v>
      </c>
    </row>
    <row r="20" spans="2:13" x14ac:dyDescent="0.35">
      <c r="B20" s="74" t="s">
        <v>196</v>
      </c>
      <c r="C20" s="81">
        <v>137</v>
      </c>
      <c r="D20" s="81">
        <v>155</v>
      </c>
      <c r="E20" s="81">
        <v>171</v>
      </c>
      <c r="F20" s="81">
        <v>97</v>
      </c>
      <c r="G20" s="81">
        <v>119</v>
      </c>
      <c r="H20" s="81">
        <v>200</v>
      </c>
      <c r="I20" s="81">
        <v>221</v>
      </c>
      <c r="J20" s="81">
        <v>241</v>
      </c>
      <c r="K20" s="81">
        <v>243</v>
      </c>
      <c r="L20" s="81">
        <v>253</v>
      </c>
      <c r="M20" s="81">
        <v>270</v>
      </c>
    </row>
    <row r="21" spans="2:13" x14ac:dyDescent="0.35">
      <c r="B21" s="74" t="s">
        <v>197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</row>
    <row r="22" spans="2:13" x14ac:dyDescent="0.35">
      <c r="B22" s="74" t="s">
        <v>198</v>
      </c>
      <c r="C22" s="81">
        <v>57</v>
      </c>
      <c r="D22" s="81">
        <v>71</v>
      </c>
      <c r="E22" s="81">
        <v>83</v>
      </c>
      <c r="F22" s="81">
        <v>49</v>
      </c>
      <c r="G22" s="81">
        <v>59</v>
      </c>
      <c r="H22" s="81">
        <v>72</v>
      </c>
      <c r="I22" s="81">
        <v>88</v>
      </c>
      <c r="J22" s="81">
        <v>94</v>
      </c>
      <c r="K22" s="81">
        <v>99</v>
      </c>
      <c r="L22" s="81">
        <v>113</v>
      </c>
      <c r="M22" s="81">
        <v>146</v>
      </c>
    </row>
    <row r="23" spans="2:13" x14ac:dyDescent="0.35">
      <c r="B23" s="74" t="s">
        <v>199</v>
      </c>
      <c r="C23" s="81">
        <v>11</v>
      </c>
      <c r="D23" s="81">
        <v>14</v>
      </c>
      <c r="E23" s="81">
        <v>18</v>
      </c>
      <c r="F23" s="81">
        <v>11</v>
      </c>
      <c r="G23" s="81">
        <v>14</v>
      </c>
      <c r="H23" s="81">
        <v>27</v>
      </c>
      <c r="I23" s="81">
        <v>47</v>
      </c>
      <c r="J23" s="81">
        <v>43</v>
      </c>
      <c r="K23" s="81">
        <v>38</v>
      </c>
      <c r="L23" s="81">
        <v>32</v>
      </c>
      <c r="M23" s="81">
        <v>30</v>
      </c>
    </row>
    <row r="24" spans="2:13" x14ac:dyDescent="0.35">
      <c r="B24" s="74" t="s">
        <v>200</v>
      </c>
      <c r="C24" s="81">
        <v>57</v>
      </c>
      <c r="D24" s="81">
        <v>203</v>
      </c>
      <c r="E24" s="81">
        <v>351</v>
      </c>
      <c r="F24" s="81">
        <v>339</v>
      </c>
      <c r="G24" s="81">
        <v>276</v>
      </c>
      <c r="H24" s="81">
        <v>468</v>
      </c>
      <c r="I24" s="81">
        <v>512</v>
      </c>
      <c r="J24" s="81">
        <v>505</v>
      </c>
      <c r="K24" s="81">
        <v>476</v>
      </c>
      <c r="L24" s="81">
        <v>345</v>
      </c>
      <c r="M24" s="81">
        <v>330</v>
      </c>
    </row>
    <row r="25" spans="2:13" x14ac:dyDescent="0.35">
      <c r="B25" s="74" t="s">
        <v>201</v>
      </c>
      <c r="C25" s="81">
        <v>99</v>
      </c>
      <c r="D25" s="81">
        <v>128</v>
      </c>
      <c r="E25" s="81">
        <v>145</v>
      </c>
      <c r="F25" s="81">
        <v>103</v>
      </c>
      <c r="G25" s="81">
        <v>128</v>
      </c>
      <c r="H25" s="81">
        <v>238</v>
      </c>
      <c r="I25" s="81">
        <v>261</v>
      </c>
      <c r="J25" s="81">
        <v>293</v>
      </c>
      <c r="K25" s="81">
        <v>302</v>
      </c>
      <c r="L25" s="81">
        <v>294</v>
      </c>
      <c r="M25" s="81">
        <v>289</v>
      </c>
    </row>
    <row r="26" spans="2:13" s="2" customFormat="1" x14ac:dyDescent="0.35">
      <c r="B26" s="79" t="s">
        <v>202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</row>
    <row r="27" spans="2:13" x14ac:dyDescent="0.35">
      <c r="B27" s="79" t="s">
        <v>203</v>
      </c>
      <c r="C27" s="84">
        <v>979</v>
      </c>
      <c r="D27" s="84">
        <v>1223</v>
      </c>
      <c r="E27" s="84">
        <v>1438</v>
      </c>
      <c r="F27" s="84">
        <v>275</v>
      </c>
      <c r="G27" s="84">
        <v>610</v>
      </c>
      <c r="H27" s="84">
        <v>973</v>
      </c>
      <c r="I27" s="84">
        <v>1592</v>
      </c>
      <c r="J27" s="84">
        <v>2010</v>
      </c>
      <c r="K27" s="84">
        <v>2533</v>
      </c>
      <c r="L27" s="84">
        <v>3019</v>
      </c>
      <c r="M27" s="84">
        <v>3536</v>
      </c>
    </row>
    <row r="28" spans="2:13" x14ac:dyDescent="0.35">
      <c r="B28" s="79" t="s">
        <v>204</v>
      </c>
      <c r="C28" s="84">
        <v>59</v>
      </c>
      <c r="D28" s="84">
        <v>72</v>
      </c>
      <c r="E28" s="84">
        <v>196</v>
      </c>
      <c r="F28" s="84">
        <v>107</v>
      </c>
      <c r="G28" s="84">
        <v>258</v>
      </c>
      <c r="H28" s="84">
        <v>1405</v>
      </c>
      <c r="I28" s="84">
        <v>210</v>
      </c>
      <c r="J28" s="84">
        <v>140</v>
      </c>
      <c r="K28" s="84">
        <v>183</v>
      </c>
      <c r="L28" s="84">
        <v>426</v>
      </c>
      <c r="M28" s="84">
        <v>1020</v>
      </c>
    </row>
    <row r="29" spans="2:13" x14ac:dyDescent="0.35">
      <c r="B29" s="79" t="s">
        <v>15</v>
      </c>
      <c r="C29" s="84">
        <v>296</v>
      </c>
      <c r="D29" s="84">
        <v>1424</v>
      </c>
      <c r="E29" s="84">
        <v>1588</v>
      </c>
      <c r="F29" s="84">
        <v>2712</v>
      </c>
      <c r="G29" s="84">
        <v>2652</v>
      </c>
      <c r="H29" s="84">
        <v>2141</v>
      </c>
      <c r="I29" s="84">
        <v>2569</v>
      </c>
      <c r="J29" s="84">
        <v>2019</v>
      </c>
      <c r="K29" s="84">
        <v>4737</v>
      </c>
      <c r="L29" s="84">
        <v>3248</v>
      </c>
      <c r="M29" s="84">
        <v>4262</v>
      </c>
    </row>
    <row r="30" spans="2:13" x14ac:dyDescent="0.35">
      <c r="B30" s="79" t="s">
        <v>205</v>
      </c>
    </row>
    <row r="31" spans="2:13" x14ac:dyDescent="0.35">
      <c r="B31" s="74" t="s">
        <v>206</v>
      </c>
      <c r="C31" s="81">
        <v>1830</v>
      </c>
      <c r="D31" s="81">
        <v>2070</v>
      </c>
      <c r="E31" s="81">
        <v>2259</v>
      </c>
      <c r="F31" s="81">
        <v>1998</v>
      </c>
      <c r="G31" s="81">
        <v>2627</v>
      </c>
      <c r="H31" s="81">
        <v>2658</v>
      </c>
      <c r="I31" s="81">
        <v>3150</v>
      </c>
      <c r="J31" s="81">
        <v>3390</v>
      </c>
      <c r="K31" s="81">
        <v>3799</v>
      </c>
      <c r="L31" s="81">
        <v>6153</v>
      </c>
      <c r="M31" s="81">
        <v>6211</v>
      </c>
    </row>
    <row r="32" spans="2:13" x14ac:dyDescent="0.35">
      <c r="B32" s="74" t="s">
        <v>207</v>
      </c>
      <c r="C32" s="81">
        <v>981</v>
      </c>
      <c r="D32" s="81">
        <v>1110</v>
      </c>
      <c r="E32" s="81">
        <v>1182</v>
      </c>
      <c r="F32" s="81">
        <v>1187</v>
      </c>
      <c r="G32" s="81">
        <v>1447</v>
      </c>
      <c r="H32" s="81">
        <v>1731</v>
      </c>
      <c r="I32" s="81">
        <v>1907</v>
      </c>
      <c r="J32" s="81">
        <v>1795</v>
      </c>
      <c r="K32" s="81">
        <v>2602</v>
      </c>
      <c r="L32" s="81">
        <v>3871</v>
      </c>
      <c r="M32" s="81">
        <v>4637</v>
      </c>
    </row>
    <row r="33" spans="2:27" x14ac:dyDescent="0.35">
      <c r="B33" s="74" t="s">
        <v>208</v>
      </c>
      <c r="C33" s="81">
        <v>737</v>
      </c>
      <c r="D33" s="81">
        <v>229</v>
      </c>
      <c r="E33" s="81">
        <v>204</v>
      </c>
      <c r="F33" s="81">
        <v>424</v>
      </c>
      <c r="G33" s="81">
        <v>801</v>
      </c>
      <c r="H33" s="81">
        <v>405</v>
      </c>
      <c r="I33" s="81">
        <v>445</v>
      </c>
      <c r="J33" s="81">
        <v>783</v>
      </c>
      <c r="K33" s="81">
        <v>611</v>
      </c>
      <c r="L33" s="81">
        <v>864</v>
      </c>
      <c r="M33" s="81">
        <v>844</v>
      </c>
    </row>
    <row r="34" spans="2:27" x14ac:dyDescent="0.35">
      <c r="B34" s="74" t="s">
        <v>209</v>
      </c>
      <c r="C34" s="81">
        <v>4</v>
      </c>
      <c r="D34" s="81">
        <v>7</v>
      </c>
      <c r="E34" s="81">
        <v>9</v>
      </c>
      <c r="F34" s="81">
        <v>9</v>
      </c>
      <c r="G34" s="81">
        <v>14</v>
      </c>
      <c r="H34" s="81">
        <v>13</v>
      </c>
      <c r="I34" s="81">
        <v>16</v>
      </c>
      <c r="J34" s="81">
        <v>12</v>
      </c>
      <c r="K34" s="81">
        <v>11</v>
      </c>
      <c r="L34" s="81">
        <v>8</v>
      </c>
      <c r="M34" s="81">
        <v>12</v>
      </c>
    </row>
    <row r="35" spans="2:27" x14ac:dyDescent="0.35">
      <c r="B35" s="74" t="s">
        <v>210</v>
      </c>
      <c r="C35" s="81">
        <v>436</v>
      </c>
      <c r="D35" s="81">
        <v>603</v>
      </c>
      <c r="E35" s="81">
        <v>817</v>
      </c>
      <c r="F35" s="81">
        <v>705</v>
      </c>
      <c r="G35" s="81">
        <v>1303</v>
      </c>
      <c r="H35" s="81">
        <v>1678</v>
      </c>
      <c r="I35" s="81">
        <v>1456</v>
      </c>
      <c r="J35" s="81">
        <v>1727</v>
      </c>
      <c r="K35" s="81">
        <v>2555</v>
      </c>
      <c r="L35" s="81">
        <v>2869</v>
      </c>
      <c r="M35" s="81">
        <v>3024</v>
      </c>
    </row>
    <row r="36" spans="2:27" x14ac:dyDescent="0.35">
      <c r="B36" s="77" t="s">
        <v>178</v>
      </c>
      <c r="C36" s="83">
        <v>6784</v>
      </c>
      <c r="D36" s="83">
        <v>8075</v>
      </c>
      <c r="E36" s="83">
        <v>8914</v>
      </c>
      <c r="F36" s="83">
        <v>10559</v>
      </c>
      <c r="G36" s="83">
        <v>12405</v>
      </c>
      <c r="H36" s="83">
        <v>13763</v>
      </c>
      <c r="I36" s="83">
        <v>16249</v>
      </c>
      <c r="J36" s="83">
        <v>16138</v>
      </c>
      <c r="K36" s="83">
        <v>20355</v>
      </c>
      <c r="L36" s="83">
        <v>22958</v>
      </c>
      <c r="M36" s="83">
        <v>25779</v>
      </c>
    </row>
    <row r="39" spans="2:27" x14ac:dyDescent="0.35">
      <c r="B39" s="100" t="s">
        <v>220</v>
      </c>
    </row>
    <row r="40" spans="2:27" x14ac:dyDescent="0.35">
      <c r="C40" s="80">
        <v>41334</v>
      </c>
      <c r="D40" s="80">
        <v>41699</v>
      </c>
      <c r="E40" s="80">
        <v>42064</v>
      </c>
      <c r="F40" s="80">
        <v>42430</v>
      </c>
      <c r="G40" s="80">
        <v>42795</v>
      </c>
      <c r="H40" s="80">
        <v>43160</v>
      </c>
      <c r="I40" s="80">
        <v>43525</v>
      </c>
      <c r="J40" s="80">
        <v>43891</v>
      </c>
      <c r="K40" s="80">
        <v>44256</v>
      </c>
      <c r="L40" s="80">
        <v>44621</v>
      </c>
      <c r="M40" s="80">
        <v>44986</v>
      </c>
      <c r="P40" s="130">
        <v>41334</v>
      </c>
      <c r="Q40" s="130">
        <v>41699</v>
      </c>
      <c r="R40" s="130">
        <v>42064</v>
      </c>
      <c r="S40" s="130">
        <v>42430</v>
      </c>
      <c r="T40" s="130">
        <v>42795</v>
      </c>
      <c r="U40" s="130">
        <v>43160</v>
      </c>
      <c r="V40" s="130">
        <v>43525</v>
      </c>
      <c r="W40" s="130">
        <v>43891</v>
      </c>
      <c r="X40" s="130">
        <v>44256</v>
      </c>
      <c r="Y40" s="130">
        <v>44621</v>
      </c>
      <c r="Z40" s="130">
        <v>44986</v>
      </c>
      <c r="AA40" s="126"/>
    </row>
    <row r="41" spans="2:27" x14ac:dyDescent="0.35">
      <c r="B41" s="77" t="s">
        <v>221</v>
      </c>
      <c r="C41" s="78">
        <v>1187</v>
      </c>
      <c r="D41" s="78">
        <v>1402</v>
      </c>
      <c r="E41" s="78">
        <v>1188</v>
      </c>
      <c r="F41" s="78">
        <v>2243</v>
      </c>
      <c r="G41" s="78">
        <v>1527</v>
      </c>
      <c r="H41" s="78">
        <v>2113</v>
      </c>
      <c r="I41" s="78">
        <v>2470</v>
      </c>
      <c r="J41" s="78">
        <v>3038</v>
      </c>
      <c r="K41" s="78">
        <v>3683</v>
      </c>
      <c r="L41" s="78">
        <v>986</v>
      </c>
      <c r="M41" s="78">
        <v>4193</v>
      </c>
      <c r="O41" s="127" t="s">
        <v>221</v>
      </c>
      <c r="P41" s="129">
        <v>1187</v>
      </c>
      <c r="Q41" s="129">
        <v>1402</v>
      </c>
      <c r="R41" s="129">
        <v>1188</v>
      </c>
      <c r="S41" s="129">
        <v>2243</v>
      </c>
      <c r="T41" s="129">
        <v>1527</v>
      </c>
      <c r="U41" s="129">
        <v>2113</v>
      </c>
      <c r="V41" s="129">
        <v>2470</v>
      </c>
      <c r="W41" s="129">
        <v>3038</v>
      </c>
      <c r="X41" s="129">
        <v>3683</v>
      </c>
      <c r="Y41" s="128">
        <v>986</v>
      </c>
      <c r="Z41" s="129">
        <v>4193</v>
      </c>
    </row>
    <row r="42" spans="2:27" x14ac:dyDescent="0.35">
      <c r="B42" s="77" t="s">
        <v>83</v>
      </c>
      <c r="C42" s="78">
        <v>1784</v>
      </c>
      <c r="D42" s="78">
        <v>2051</v>
      </c>
      <c r="E42" s="78">
        <v>2271</v>
      </c>
      <c r="F42" s="78">
        <v>2848</v>
      </c>
      <c r="G42" s="78">
        <v>3056</v>
      </c>
      <c r="H42" s="78">
        <v>3274</v>
      </c>
      <c r="I42" s="78">
        <v>3861</v>
      </c>
      <c r="J42" s="78">
        <v>4380</v>
      </c>
      <c r="K42" s="78">
        <v>4970</v>
      </c>
      <c r="L42" s="78">
        <v>4957</v>
      </c>
      <c r="M42" s="78">
        <v>6460</v>
      </c>
      <c r="O42" s="127" t="s">
        <v>83</v>
      </c>
      <c r="P42" s="129">
        <v>1784</v>
      </c>
      <c r="Q42" s="129">
        <v>2051</v>
      </c>
      <c r="R42" s="129">
        <v>2271</v>
      </c>
      <c r="S42" s="129">
        <v>2848</v>
      </c>
      <c r="T42" s="129">
        <v>3056</v>
      </c>
      <c r="U42" s="129">
        <v>3274</v>
      </c>
      <c r="V42" s="129">
        <v>3861</v>
      </c>
      <c r="W42" s="129">
        <v>4380</v>
      </c>
      <c r="X42" s="129">
        <v>4970</v>
      </c>
      <c r="Y42" s="129">
        <v>4957</v>
      </c>
      <c r="Z42" s="129">
        <v>6460</v>
      </c>
    </row>
    <row r="43" spans="2:27" x14ac:dyDescent="0.35">
      <c r="B43" s="74" t="s">
        <v>42</v>
      </c>
      <c r="C43" s="76">
        <v>-299</v>
      </c>
      <c r="D43" s="75">
        <v>-254</v>
      </c>
      <c r="E43" s="76">
        <v>-155</v>
      </c>
      <c r="F43" s="76">
        <v>-146</v>
      </c>
      <c r="G43" s="76">
        <v>-475</v>
      </c>
      <c r="H43" s="76">
        <v>-483</v>
      </c>
      <c r="I43" s="76">
        <v>-205</v>
      </c>
      <c r="J43" s="76">
        <v>160</v>
      </c>
      <c r="K43" s="76">
        <v>-849</v>
      </c>
      <c r="L43" s="75">
        <v>-1326</v>
      </c>
      <c r="M43" s="76">
        <v>-834</v>
      </c>
      <c r="O43" s="74" t="s">
        <v>42</v>
      </c>
      <c r="P43" s="75">
        <v>-299</v>
      </c>
      <c r="Q43" s="75">
        <v>-254</v>
      </c>
      <c r="R43" s="75">
        <v>-155</v>
      </c>
      <c r="S43" s="75">
        <v>-146</v>
      </c>
      <c r="T43" s="75">
        <v>-475</v>
      </c>
      <c r="U43" s="75">
        <v>-483</v>
      </c>
      <c r="V43" s="75">
        <v>-205</v>
      </c>
      <c r="W43" s="75">
        <v>160</v>
      </c>
      <c r="X43" s="75">
        <v>-849</v>
      </c>
      <c r="Y43" s="76">
        <v>-1326</v>
      </c>
      <c r="Z43" s="75">
        <v>-834</v>
      </c>
    </row>
    <row r="44" spans="2:27" x14ac:dyDescent="0.35">
      <c r="B44" s="74" t="s">
        <v>29</v>
      </c>
      <c r="C44" s="76">
        <v>-247</v>
      </c>
      <c r="D44" s="76">
        <v>-231</v>
      </c>
      <c r="E44" s="76">
        <v>-144</v>
      </c>
      <c r="F44" s="76">
        <v>202</v>
      </c>
      <c r="G44" s="76">
        <v>-629</v>
      </c>
      <c r="H44" s="76">
        <v>-39</v>
      </c>
      <c r="I44" s="76">
        <v>-492</v>
      </c>
      <c r="J44" s="76">
        <v>-251</v>
      </c>
      <c r="K44" s="76">
        <v>-409</v>
      </c>
      <c r="L44" s="75">
        <v>-2354</v>
      </c>
      <c r="M44" s="76">
        <v>-56</v>
      </c>
      <c r="O44" s="74" t="s">
        <v>29</v>
      </c>
      <c r="P44" s="75">
        <v>-247</v>
      </c>
      <c r="Q44" s="75">
        <v>-231</v>
      </c>
      <c r="R44" s="75">
        <v>-144</v>
      </c>
      <c r="S44" s="75">
        <v>202</v>
      </c>
      <c r="T44" s="75">
        <v>-629</v>
      </c>
      <c r="U44" s="75">
        <v>-39</v>
      </c>
      <c r="V44" s="75">
        <v>-492</v>
      </c>
      <c r="W44" s="75">
        <v>-251</v>
      </c>
      <c r="X44" s="75">
        <v>-409</v>
      </c>
      <c r="Y44" s="76">
        <v>-2354</v>
      </c>
      <c r="Z44" s="75">
        <v>-56</v>
      </c>
    </row>
    <row r="45" spans="2:27" x14ac:dyDescent="0.35">
      <c r="B45" s="74" t="s">
        <v>84</v>
      </c>
      <c r="C45" s="76">
        <v>388</v>
      </c>
      <c r="D45" s="76">
        <v>317</v>
      </c>
      <c r="E45" s="76">
        <v>-151</v>
      </c>
      <c r="F45" s="76">
        <v>142</v>
      </c>
      <c r="G45" s="76">
        <v>501</v>
      </c>
      <c r="H45" s="76">
        <v>442</v>
      </c>
      <c r="I45" s="76">
        <v>287</v>
      </c>
      <c r="J45" s="76">
        <v>-241</v>
      </c>
      <c r="K45" s="76">
        <v>1143</v>
      </c>
      <c r="L45" s="76">
        <v>644</v>
      </c>
      <c r="M45" s="76">
        <v>-539</v>
      </c>
      <c r="O45" s="74" t="s">
        <v>84</v>
      </c>
      <c r="P45" s="75">
        <v>388</v>
      </c>
      <c r="Q45" s="75">
        <v>317</v>
      </c>
      <c r="R45" s="75">
        <v>-151</v>
      </c>
      <c r="S45" s="75">
        <v>142</v>
      </c>
      <c r="T45" s="75">
        <v>501</v>
      </c>
      <c r="U45" s="75">
        <v>442</v>
      </c>
      <c r="V45" s="75">
        <v>287</v>
      </c>
      <c r="W45" s="75">
        <v>-241</v>
      </c>
      <c r="X45" s="76">
        <v>1143</v>
      </c>
      <c r="Y45" s="75">
        <v>644</v>
      </c>
      <c r="Z45" s="75">
        <v>-539</v>
      </c>
    </row>
    <row r="46" spans="2:27" x14ac:dyDescent="0.35">
      <c r="B46" s="74" t="s">
        <v>222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O46" s="74"/>
      <c r="P46" s="75"/>
      <c r="Q46" s="75"/>
      <c r="R46" s="75"/>
      <c r="S46" s="75"/>
      <c r="T46" s="75"/>
      <c r="U46" s="75"/>
      <c r="V46" s="75"/>
      <c r="W46" s="75"/>
      <c r="X46" s="76"/>
      <c r="Y46" s="75"/>
      <c r="Z46" s="75"/>
    </row>
    <row r="47" spans="2:27" x14ac:dyDescent="0.35">
      <c r="B47" s="74" t="s">
        <v>85</v>
      </c>
      <c r="C47" s="75">
        <v>0</v>
      </c>
      <c r="D47" s="76">
        <v>0</v>
      </c>
      <c r="E47" s="75">
        <v>0</v>
      </c>
      <c r="F47" s="76">
        <v>0</v>
      </c>
      <c r="G47" s="76">
        <v>0</v>
      </c>
      <c r="H47" s="75">
        <v>0</v>
      </c>
      <c r="I47" s="76">
        <v>0</v>
      </c>
      <c r="J47" s="75">
        <v>0</v>
      </c>
      <c r="K47" s="76">
        <v>-92</v>
      </c>
      <c r="L47" s="76">
        <v>242</v>
      </c>
      <c r="M47" s="76">
        <v>657</v>
      </c>
      <c r="O47" s="74" t="s">
        <v>85</v>
      </c>
      <c r="P47" s="75">
        <v>0</v>
      </c>
      <c r="Q47" s="75">
        <v>0</v>
      </c>
      <c r="R47" s="75">
        <v>0</v>
      </c>
      <c r="S47" s="75">
        <v>0</v>
      </c>
      <c r="T47" s="75">
        <v>0</v>
      </c>
      <c r="U47" s="75">
        <v>0</v>
      </c>
      <c r="V47" s="75">
        <v>0</v>
      </c>
      <c r="W47" s="75">
        <v>0</v>
      </c>
      <c r="X47" s="75">
        <v>-92</v>
      </c>
      <c r="Y47" s="75">
        <v>242</v>
      </c>
      <c r="Z47" s="75">
        <v>657</v>
      </c>
    </row>
    <row r="48" spans="2:27" x14ac:dyDescent="0.35">
      <c r="B48" s="77" t="s">
        <v>86</v>
      </c>
      <c r="C48" s="99">
        <v>-159</v>
      </c>
      <c r="D48" s="78">
        <v>-168</v>
      </c>
      <c r="E48" s="78">
        <v>-450</v>
      </c>
      <c r="F48" s="78">
        <v>198</v>
      </c>
      <c r="G48" s="78">
        <v>-603</v>
      </c>
      <c r="H48" s="78">
        <v>-80</v>
      </c>
      <c r="I48" s="78">
        <v>-410</v>
      </c>
      <c r="J48" s="78">
        <v>-331</v>
      </c>
      <c r="K48" s="99">
        <v>-206</v>
      </c>
      <c r="L48" s="78">
        <v>-2795</v>
      </c>
      <c r="M48" s="78">
        <v>-772</v>
      </c>
      <c r="O48" s="127" t="s">
        <v>86</v>
      </c>
      <c r="P48" s="128">
        <v>-159</v>
      </c>
      <c r="Q48" s="128">
        <v>-168</v>
      </c>
      <c r="R48" s="128">
        <v>-450</v>
      </c>
      <c r="S48" s="128">
        <v>198</v>
      </c>
      <c r="T48" s="128">
        <v>-603</v>
      </c>
      <c r="U48" s="128">
        <v>-80</v>
      </c>
      <c r="V48" s="128">
        <v>-410</v>
      </c>
      <c r="W48" s="128">
        <v>-331</v>
      </c>
      <c r="X48" s="128">
        <v>-206</v>
      </c>
      <c r="Y48" s="129">
        <v>-2795</v>
      </c>
      <c r="Z48" s="128">
        <v>-772</v>
      </c>
    </row>
    <row r="49" spans="2:26" x14ac:dyDescent="0.35">
      <c r="B49" s="74" t="s">
        <v>87</v>
      </c>
      <c r="C49" s="76">
        <v>-438</v>
      </c>
      <c r="D49" s="76">
        <v>-480</v>
      </c>
      <c r="E49" s="76">
        <v>-633</v>
      </c>
      <c r="F49" s="76">
        <v>-802</v>
      </c>
      <c r="G49" s="76">
        <v>-925</v>
      </c>
      <c r="H49" s="76">
        <v>-1081</v>
      </c>
      <c r="I49" s="76">
        <v>-982</v>
      </c>
      <c r="J49" s="76">
        <v>-1011</v>
      </c>
      <c r="K49" s="76">
        <v>-1080</v>
      </c>
      <c r="L49" s="76">
        <v>-1176</v>
      </c>
      <c r="M49" s="76">
        <v>-1494</v>
      </c>
      <c r="O49" s="74" t="s">
        <v>87</v>
      </c>
      <c r="P49" s="75">
        <v>-438</v>
      </c>
      <c r="Q49" s="75">
        <v>-480</v>
      </c>
      <c r="R49" s="75">
        <v>-633</v>
      </c>
      <c r="S49" s="75">
        <v>-802</v>
      </c>
      <c r="T49" s="75">
        <v>-925</v>
      </c>
      <c r="U49" s="76">
        <v>-1081</v>
      </c>
      <c r="V49" s="75">
        <v>-982</v>
      </c>
      <c r="W49" s="76">
        <v>-1011</v>
      </c>
      <c r="X49" s="76">
        <v>-1080</v>
      </c>
      <c r="Y49" s="76">
        <v>-1176</v>
      </c>
      <c r="Z49" s="76">
        <v>-1494</v>
      </c>
    </row>
    <row r="50" spans="2:26" x14ac:dyDescent="0.35">
      <c r="B50" s="74" t="s">
        <v>296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0</v>
      </c>
      <c r="M50" s="76">
        <v>0</v>
      </c>
      <c r="O50" s="74" t="s">
        <v>296</v>
      </c>
      <c r="P50" s="75">
        <v>0</v>
      </c>
      <c r="Q50" s="75">
        <v>0</v>
      </c>
      <c r="R50" s="75">
        <v>0</v>
      </c>
      <c r="S50" s="75">
        <v>0</v>
      </c>
      <c r="T50" s="75">
        <v>0</v>
      </c>
      <c r="U50" s="75">
        <v>0</v>
      </c>
      <c r="V50" s="75">
        <v>0</v>
      </c>
      <c r="W50" s="75">
        <v>0</v>
      </c>
      <c r="X50" s="75">
        <v>0</v>
      </c>
      <c r="Y50" s="75">
        <v>0</v>
      </c>
      <c r="Z50" s="75">
        <v>0</v>
      </c>
    </row>
    <row r="51" spans="2:26" x14ac:dyDescent="0.35">
      <c r="B51" s="77" t="s">
        <v>223</v>
      </c>
      <c r="C51" s="76">
        <v>-463</v>
      </c>
      <c r="D51" s="76">
        <v>-586</v>
      </c>
      <c r="E51" s="76">
        <v>-465</v>
      </c>
      <c r="F51" s="76">
        <v>-866</v>
      </c>
      <c r="G51" s="76">
        <v>-681</v>
      </c>
      <c r="H51" s="76">
        <v>-1556</v>
      </c>
      <c r="I51" s="76">
        <v>-918</v>
      </c>
      <c r="J51" s="76">
        <v>-518</v>
      </c>
      <c r="K51" s="76">
        <v>-541</v>
      </c>
      <c r="L51" s="76">
        <v>-317</v>
      </c>
      <c r="M51" s="78">
        <v>-1282</v>
      </c>
      <c r="O51" s="127" t="s">
        <v>223</v>
      </c>
      <c r="P51" s="128">
        <v>-463</v>
      </c>
      <c r="Q51" s="128">
        <v>-586</v>
      </c>
      <c r="R51" s="128">
        <v>-465</v>
      </c>
      <c r="S51" s="128">
        <v>-866</v>
      </c>
      <c r="T51" s="128">
        <v>-681</v>
      </c>
      <c r="U51" s="129">
        <v>-1556</v>
      </c>
      <c r="V51" s="128">
        <v>-918</v>
      </c>
      <c r="W51" s="128">
        <v>-518</v>
      </c>
      <c r="X51" s="128">
        <v>-541</v>
      </c>
      <c r="Y51" s="128">
        <v>-317</v>
      </c>
      <c r="Z51" s="129">
        <v>-1282</v>
      </c>
    </row>
    <row r="52" spans="2:26" x14ac:dyDescent="0.35">
      <c r="B52" s="74" t="s">
        <v>88</v>
      </c>
      <c r="C52" s="75">
        <v>-644</v>
      </c>
      <c r="D52" s="75">
        <v>-251</v>
      </c>
      <c r="E52" s="75">
        <v>-454</v>
      </c>
      <c r="F52" s="75">
        <v>-817</v>
      </c>
      <c r="G52" s="75">
        <v>-684</v>
      </c>
      <c r="H52" s="75">
        <v>-1426</v>
      </c>
      <c r="I52" s="75">
        <v>-1151</v>
      </c>
      <c r="J52" s="75">
        <v>-404</v>
      </c>
      <c r="K52" s="75">
        <v>-282</v>
      </c>
      <c r="L52" s="75">
        <v>-551</v>
      </c>
      <c r="M52" s="76">
        <v>-1446</v>
      </c>
      <c r="O52" s="74" t="s">
        <v>88</v>
      </c>
      <c r="P52" s="75">
        <v>-644</v>
      </c>
      <c r="Q52" s="75">
        <v>-251</v>
      </c>
      <c r="R52" s="75">
        <v>-454</v>
      </c>
      <c r="S52" s="75">
        <v>-817</v>
      </c>
      <c r="T52" s="75">
        <v>-684</v>
      </c>
      <c r="U52" s="76">
        <v>-1426</v>
      </c>
      <c r="V52" s="76">
        <v>-1151</v>
      </c>
      <c r="W52" s="75">
        <v>-404</v>
      </c>
      <c r="X52" s="75">
        <v>-282</v>
      </c>
      <c r="Y52" s="75">
        <v>-551</v>
      </c>
      <c r="Z52" s="76">
        <v>-1446</v>
      </c>
    </row>
    <row r="53" spans="2:26" x14ac:dyDescent="0.35">
      <c r="B53" s="74" t="s">
        <v>89</v>
      </c>
      <c r="C53" s="75">
        <v>7</v>
      </c>
      <c r="D53" s="75">
        <v>16</v>
      </c>
      <c r="E53" s="76">
        <v>16</v>
      </c>
      <c r="F53" s="76">
        <v>15</v>
      </c>
      <c r="G53" s="75">
        <v>17</v>
      </c>
      <c r="H53" s="75">
        <v>17</v>
      </c>
      <c r="I53" s="75">
        <v>17</v>
      </c>
      <c r="J53" s="76">
        <v>37</v>
      </c>
      <c r="K53" s="76">
        <v>28</v>
      </c>
      <c r="L53" s="76">
        <v>40</v>
      </c>
      <c r="M53" s="75">
        <v>26</v>
      </c>
      <c r="O53" s="74" t="s">
        <v>89</v>
      </c>
      <c r="P53" s="75">
        <v>7</v>
      </c>
      <c r="Q53" s="75">
        <v>16</v>
      </c>
      <c r="R53" s="75">
        <v>16</v>
      </c>
      <c r="S53" s="75">
        <v>15</v>
      </c>
      <c r="T53" s="75">
        <v>17</v>
      </c>
      <c r="U53" s="75">
        <v>17</v>
      </c>
      <c r="V53" s="75">
        <v>17</v>
      </c>
      <c r="W53" s="75">
        <v>37</v>
      </c>
      <c r="X53" s="75">
        <v>28</v>
      </c>
      <c r="Y53" s="75">
        <v>40</v>
      </c>
      <c r="Z53" s="75">
        <v>26</v>
      </c>
    </row>
    <row r="54" spans="2:26" x14ac:dyDescent="0.35">
      <c r="B54" s="74" t="s">
        <v>90</v>
      </c>
      <c r="C54" s="75">
        <v>-247</v>
      </c>
      <c r="D54" s="75">
        <v>-872</v>
      </c>
      <c r="E54" s="75">
        <v>-243</v>
      </c>
      <c r="F54" s="75">
        <v>-282</v>
      </c>
      <c r="G54" s="76">
        <v>-153</v>
      </c>
      <c r="H54" s="76">
        <v>-320</v>
      </c>
      <c r="I54" s="76">
        <v>-573</v>
      </c>
      <c r="J54" s="75">
        <v>-25</v>
      </c>
      <c r="K54" s="75">
        <v>-140</v>
      </c>
      <c r="L54" s="75">
        <v>0</v>
      </c>
      <c r="M54" s="75">
        <v>-146</v>
      </c>
      <c r="O54" s="74" t="s">
        <v>90</v>
      </c>
      <c r="P54" s="75">
        <v>-247</v>
      </c>
      <c r="Q54" s="75">
        <v>-872</v>
      </c>
      <c r="R54" s="75">
        <v>-243</v>
      </c>
      <c r="S54" s="75">
        <v>-282</v>
      </c>
      <c r="T54" s="75">
        <v>-153</v>
      </c>
      <c r="U54" s="75">
        <v>-320</v>
      </c>
      <c r="V54" s="75">
        <v>-573</v>
      </c>
      <c r="W54" s="75">
        <v>-25</v>
      </c>
      <c r="X54" s="75">
        <v>-140</v>
      </c>
      <c r="Y54" s="75">
        <v>0</v>
      </c>
      <c r="Z54" s="75">
        <v>-146</v>
      </c>
    </row>
    <row r="55" spans="2:26" x14ac:dyDescent="0.35">
      <c r="B55" s="74" t="s">
        <v>91</v>
      </c>
      <c r="C55" s="75">
        <v>330</v>
      </c>
      <c r="D55" s="75">
        <v>463</v>
      </c>
      <c r="E55" s="75">
        <v>278</v>
      </c>
      <c r="F55" s="75">
        <v>205</v>
      </c>
      <c r="G55" s="75">
        <v>357</v>
      </c>
      <c r="H55" s="75">
        <v>362</v>
      </c>
      <c r="I55" s="75">
        <v>733</v>
      </c>
      <c r="J55" s="76">
        <v>134</v>
      </c>
      <c r="K55" s="75">
        <v>272</v>
      </c>
      <c r="L55" s="75">
        <v>207</v>
      </c>
      <c r="M55" s="76">
        <v>446</v>
      </c>
      <c r="O55" s="74" t="s">
        <v>91</v>
      </c>
      <c r="P55" s="75">
        <v>330</v>
      </c>
      <c r="Q55" s="75">
        <v>463</v>
      </c>
      <c r="R55" s="75">
        <v>278</v>
      </c>
      <c r="S55" s="75">
        <v>205</v>
      </c>
      <c r="T55" s="75">
        <v>357</v>
      </c>
      <c r="U55" s="75">
        <v>362</v>
      </c>
      <c r="V55" s="75">
        <v>733</v>
      </c>
      <c r="W55" s="75">
        <v>134</v>
      </c>
      <c r="X55" s="75">
        <v>272</v>
      </c>
      <c r="Y55" s="75">
        <v>207</v>
      </c>
      <c r="Z55" s="75">
        <v>446</v>
      </c>
    </row>
    <row r="56" spans="2:26" x14ac:dyDescent="0.35">
      <c r="B56" s="74" t="s">
        <v>92</v>
      </c>
      <c r="C56" s="75">
        <v>11</v>
      </c>
      <c r="D56" s="75">
        <v>14</v>
      </c>
      <c r="E56" s="75">
        <v>11</v>
      </c>
      <c r="F56" s="75">
        <v>15</v>
      </c>
      <c r="G56" s="75">
        <v>32</v>
      </c>
      <c r="H56" s="76">
        <v>39</v>
      </c>
      <c r="I56" s="75">
        <v>40</v>
      </c>
      <c r="J56" s="75">
        <v>65</v>
      </c>
      <c r="K56" s="75">
        <v>73</v>
      </c>
      <c r="L56" s="75">
        <v>77</v>
      </c>
      <c r="M56" s="75">
        <v>87</v>
      </c>
      <c r="O56" s="74" t="s">
        <v>92</v>
      </c>
      <c r="P56" s="75">
        <v>11</v>
      </c>
      <c r="Q56" s="75">
        <v>14</v>
      </c>
      <c r="R56" s="75">
        <v>11</v>
      </c>
      <c r="S56" s="75">
        <v>15</v>
      </c>
      <c r="T56" s="75">
        <v>32</v>
      </c>
      <c r="U56" s="75">
        <v>39</v>
      </c>
      <c r="V56" s="75">
        <v>40</v>
      </c>
      <c r="W56" s="75">
        <v>65</v>
      </c>
      <c r="X56" s="75">
        <v>73</v>
      </c>
      <c r="Y56" s="75">
        <v>77</v>
      </c>
      <c r="Z56" s="75">
        <v>87</v>
      </c>
    </row>
    <row r="57" spans="2:26" x14ac:dyDescent="0.35">
      <c r="B57" s="74" t="s">
        <v>93</v>
      </c>
      <c r="C57" s="75">
        <v>33</v>
      </c>
      <c r="D57" s="75">
        <v>65</v>
      </c>
      <c r="E57" s="75">
        <v>71</v>
      </c>
      <c r="F57" s="75">
        <v>69</v>
      </c>
      <c r="G57" s="75">
        <v>74</v>
      </c>
      <c r="H57" s="75">
        <v>38</v>
      </c>
      <c r="I57" s="75">
        <v>40</v>
      </c>
      <c r="J57" s="75">
        <v>27</v>
      </c>
      <c r="K57" s="75">
        <v>8</v>
      </c>
      <c r="L57" s="75">
        <v>15</v>
      </c>
      <c r="M57" s="75">
        <v>56</v>
      </c>
      <c r="O57" s="74" t="s">
        <v>93</v>
      </c>
      <c r="P57" s="75">
        <v>33</v>
      </c>
      <c r="Q57" s="75">
        <v>65</v>
      </c>
      <c r="R57" s="75">
        <v>71</v>
      </c>
      <c r="S57" s="75">
        <v>69</v>
      </c>
      <c r="T57" s="75">
        <v>74</v>
      </c>
      <c r="U57" s="75">
        <v>38</v>
      </c>
      <c r="V57" s="75">
        <v>40</v>
      </c>
      <c r="W57" s="75">
        <v>27</v>
      </c>
      <c r="X57" s="75">
        <v>8</v>
      </c>
      <c r="Y57" s="75">
        <v>15</v>
      </c>
      <c r="Z57" s="75">
        <v>56</v>
      </c>
    </row>
    <row r="58" spans="2:26" x14ac:dyDescent="0.35">
      <c r="B58" s="74" t="s">
        <v>94</v>
      </c>
      <c r="C58" s="75">
        <v>0</v>
      </c>
      <c r="D58" s="75">
        <v>0</v>
      </c>
      <c r="E58" s="75">
        <v>0</v>
      </c>
      <c r="F58" s="75">
        <v>0</v>
      </c>
      <c r="G58" s="75">
        <v>0</v>
      </c>
      <c r="H58" s="75">
        <v>0</v>
      </c>
      <c r="I58" s="75">
        <v>0</v>
      </c>
      <c r="J58" s="75">
        <v>0</v>
      </c>
      <c r="K58" s="75">
        <v>0</v>
      </c>
      <c r="L58" s="75">
        <v>0</v>
      </c>
      <c r="M58" s="75">
        <v>0</v>
      </c>
      <c r="O58" s="74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2:26" x14ac:dyDescent="0.35">
      <c r="B59" s="74" t="s">
        <v>95</v>
      </c>
      <c r="C59" s="75">
        <v>0</v>
      </c>
      <c r="D59" s="75">
        <v>0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75">
        <v>0</v>
      </c>
      <c r="L59" s="75">
        <v>0</v>
      </c>
      <c r="M59" s="75">
        <v>-180</v>
      </c>
      <c r="O59" s="74" t="s">
        <v>95</v>
      </c>
      <c r="P59" s="75">
        <v>0</v>
      </c>
      <c r="Q59" s="75">
        <v>0</v>
      </c>
      <c r="R59" s="75">
        <v>0</v>
      </c>
      <c r="S59" s="75">
        <v>0</v>
      </c>
      <c r="T59" s="75">
        <v>0</v>
      </c>
      <c r="U59" s="75">
        <v>0</v>
      </c>
      <c r="V59" s="75">
        <v>0</v>
      </c>
      <c r="W59" s="75">
        <v>0</v>
      </c>
      <c r="X59" s="75">
        <v>0</v>
      </c>
      <c r="Y59" s="75">
        <v>0</v>
      </c>
      <c r="Z59" s="75">
        <v>-180</v>
      </c>
    </row>
    <row r="60" spans="2:26" x14ac:dyDescent="0.35">
      <c r="B60" s="74" t="s">
        <v>96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141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O60" s="74" t="s">
        <v>96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141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</row>
    <row r="61" spans="2:26" x14ac:dyDescent="0.35">
      <c r="B61" s="74" t="s">
        <v>97</v>
      </c>
      <c r="C61" s="75">
        <v>0</v>
      </c>
      <c r="D61" s="75">
        <v>0</v>
      </c>
      <c r="E61" s="75">
        <v>0</v>
      </c>
      <c r="F61" s="75">
        <v>0</v>
      </c>
      <c r="G61" s="75">
        <v>0</v>
      </c>
      <c r="H61" s="75">
        <v>-525</v>
      </c>
      <c r="I61" s="75">
        <v>0</v>
      </c>
      <c r="J61" s="75">
        <v>0</v>
      </c>
      <c r="K61" s="75">
        <v>0</v>
      </c>
      <c r="L61" s="75">
        <v>0</v>
      </c>
      <c r="M61" s="75">
        <v>0</v>
      </c>
      <c r="O61" s="74" t="s">
        <v>97</v>
      </c>
      <c r="P61" s="75">
        <v>0</v>
      </c>
      <c r="Q61" s="75">
        <v>0</v>
      </c>
      <c r="R61" s="75">
        <v>0</v>
      </c>
      <c r="S61" s="75">
        <v>0</v>
      </c>
      <c r="T61" s="75">
        <v>0</v>
      </c>
      <c r="U61" s="75">
        <v>-525</v>
      </c>
      <c r="V61" s="75">
        <v>0</v>
      </c>
      <c r="W61" s="75">
        <v>0</v>
      </c>
      <c r="X61" s="75">
        <v>0</v>
      </c>
      <c r="Y61" s="75">
        <v>0</v>
      </c>
      <c r="Z61" s="75">
        <v>0</v>
      </c>
    </row>
    <row r="62" spans="2:26" x14ac:dyDescent="0.35">
      <c r="B62" s="74" t="s">
        <v>98</v>
      </c>
      <c r="C62" s="75">
        <v>0</v>
      </c>
      <c r="D62" s="75">
        <v>0</v>
      </c>
      <c r="E62" s="75">
        <v>0</v>
      </c>
      <c r="F62" s="75">
        <v>0</v>
      </c>
      <c r="G62" s="75">
        <v>0</v>
      </c>
      <c r="H62" s="75">
        <v>0</v>
      </c>
      <c r="I62" s="75">
        <v>0</v>
      </c>
      <c r="J62" s="75">
        <v>0</v>
      </c>
      <c r="K62" s="75">
        <v>0</v>
      </c>
      <c r="L62" s="75">
        <v>0</v>
      </c>
      <c r="M62" s="75">
        <v>0</v>
      </c>
      <c r="O62" s="74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2:26" x14ac:dyDescent="0.35">
      <c r="B63" s="74" t="s">
        <v>99</v>
      </c>
      <c r="C63" s="76">
        <v>46</v>
      </c>
      <c r="D63" s="76">
        <v>-21</v>
      </c>
      <c r="E63" s="75">
        <v>-144</v>
      </c>
      <c r="F63" s="76">
        <v>-70</v>
      </c>
      <c r="G63" s="76">
        <v>-324</v>
      </c>
      <c r="H63" s="76">
        <v>118</v>
      </c>
      <c r="I63" s="76">
        <v>-24</v>
      </c>
      <c r="J63" s="76">
        <v>-353</v>
      </c>
      <c r="K63" s="76">
        <v>-500</v>
      </c>
      <c r="L63" s="75">
        <v>-105</v>
      </c>
      <c r="M63" s="75">
        <v>-126</v>
      </c>
      <c r="O63" s="74" t="s">
        <v>99</v>
      </c>
      <c r="P63" s="75">
        <v>46</v>
      </c>
      <c r="Q63" s="75">
        <v>-21</v>
      </c>
      <c r="R63" s="75">
        <v>-144</v>
      </c>
      <c r="S63" s="75">
        <v>-70</v>
      </c>
      <c r="T63" s="75">
        <v>-324</v>
      </c>
      <c r="U63" s="75">
        <v>118</v>
      </c>
      <c r="V63" s="75">
        <v>-24</v>
      </c>
      <c r="W63" s="75">
        <v>-353</v>
      </c>
      <c r="X63" s="75">
        <v>-500</v>
      </c>
      <c r="Y63" s="75">
        <v>-105</v>
      </c>
      <c r="Z63" s="75">
        <v>-126</v>
      </c>
    </row>
    <row r="64" spans="2:26" x14ac:dyDescent="0.35">
      <c r="B64" s="77" t="s">
        <v>224</v>
      </c>
      <c r="C64">
        <v>-601</v>
      </c>
      <c r="D64">
        <v>-626</v>
      </c>
      <c r="E64">
        <v>-576</v>
      </c>
      <c r="F64">
        <v>-849</v>
      </c>
      <c r="G64">
        <v>-756</v>
      </c>
      <c r="H64">
        <v>-1379</v>
      </c>
      <c r="I64">
        <v>-1117</v>
      </c>
      <c r="J64">
        <v>-2871</v>
      </c>
      <c r="K64">
        <v>-650</v>
      </c>
      <c r="L64" s="76">
        <v>-1808</v>
      </c>
      <c r="M64" s="75">
        <v>-2140</v>
      </c>
      <c r="O64" s="127" t="s">
        <v>224</v>
      </c>
      <c r="P64" s="128">
        <v>-601</v>
      </c>
      <c r="Q64" s="128">
        <v>-626</v>
      </c>
      <c r="R64" s="128">
        <v>-576</v>
      </c>
      <c r="S64" s="128">
        <v>-849</v>
      </c>
      <c r="T64" s="128">
        <v>-756</v>
      </c>
      <c r="U64" s="129">
        <v>-1379</v>
      </c>
      <c r="V64" s="129">
        <v>-1117</v>
      </c>
      <c r="W64" s="129">
        <v>-2871</v>
      </c>
      <c r="X64" s="128">
        <v>-650</v>
      </c>
      <c r="Y64" s="129">
        <v>-1808</v>
      </c>
      <c r="Z64" s="129">
        <v>-2140</v>
      </c>
    </row>
    <row r="65" spans="2:26" x14ac:dyDescent="0.35">
      <c r="B65" s="74" t="s">
        <v>100</v>
      </c>
      <c r="C65" s="75">
        <v>0</v>
      </c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0</v>
      </c>
      <c r="M65" s="75">
        <v>0</v>
      </c>
      <c r="O65" s="127"/>
      <c r="P65" s="128"/>
      <c r="Q65" s="128"/>
      <c r="R65" s="128"/>
      <c r="S65" s="128"/>
      <c r="T65" s="128"/>
      <c r="U65" s="129"/>
      <c r="V65" s="129"/>
      <c r="W65" s="129"/>
      <c r="X65" s="128"/>
      <c r="Y65" s="129"/>
      <c r="Z65" s="129"/>
    </row>
    <row r="66" spans="2:26" x14ac:dyDescent="0.35">
      <c r="B66" s="74" t="s">
        <v>101</v>
      </c>
      <c r="C66" s="75">
        <v>0</v>
      </c>
      <c r="D66" s="75">
        <v>0</v>
      </c>
      <c r="E66" s="75">
        <v>0</v>
      </c>
      <c r="F66" s="75">
        <v>0</v>
      </c>
      <c r="G66" s="75">
        <v>0</v>
      </c>
      <c r="H66" s="75">
        <v>0</v>
      </c>
      <c r="I66" s="75">
        <v>0</v>
      </c>
      <c r="J66" s="75">
        <v>0</v>
      </c>
      <c r="K66" s="75">
        <v>0</v>
      </c>
      <c r="L66" s="75">
        <v>0</v>
      </c>
      <c r="M66" s="75">
        <v>0</v>
      </c>
      <c r="O66" s="127"/>
      <c r="P66" s="128"/>
      <c r="Q66" s="128"/>
      <c r="R66" s="128"/>
      <c r="S66" s="128"/>
      <c r="T66" s="128"/>
      <c r="U66" s="129"/>
      <c r="V66" s="129"/>
      <c r="W66" s="129"/>
      <c r="X66" s="128"/>
      <c r="Y66" s="129"/>
      <c r="Z66" s="129"/>
    </row>
    <row r="67" spans="2:26" x14ac:dyDescent="0.35">
      <c r="B67" s="74" t="s">
        <v>102</v>
      </c>
      <c r="C67" s="76">
        <v>33</v>
      </c>
      <c r="D67" s="76">
        <v>44</v>
      </c>
      <c r="E67" s="76">
        <v>239</v>
      </c>
      <c r="F67" s="76">
        <v>8</v>
      </c>
      <c r="G67" s="76">
        <v>271</v>
      </c>
      <c r="H67" s="76">
        <v>10</v>
      </c>
      <c r="I67" s="76">
        <v>243</v>
      </c>
      <c r="J67" s="76">
        <v>18</v>
      </c>
      <c r="K67" s="76">
        <v>155</v>
      </c>
      <c r="L67" s="76">
        <v>418</v>
      </c>
      <c r="M67" s="76">
        <v>254</v>
      </c>
      <c r="O67" s="74" t="s">
        <v>102</v>
      </c>
      <c r="P67" s="75">
        <v>33</v>
      </c>
      <c r="Q67" s="75">
        <v>44</v>
      </c>
      <c r="R67" s="75">
        <v>239</v>
      </c>
      <c r="S67" s="75">
        <v>8</v>
      </c>
      <c r="T67" s="75">
        <v>271</v>
      </c>
      <c r="U67" s="75">
        <v>10</v>
      </c>
      <c r="V67" s="75">
        <v>243</v>
      </c>
      <c r="W67" s="75">
        <v>18</v>
      </c>
      <c r="X67" s="75">
        <v>155</v>
      </c>
      <c r="Y67" s="75">
        <v>418</v>
      </c>
      <c r="Z67" s="75">
        <v>254</v>
      </c>
    </row>
    <row r="68" spans="2:26" x14ac:dyDescent="0.35">
      <c r="B68" s="74" t="s">
        <v>103</v>
      </c>
      <c r="C68" s="76">
        <v>-135</v>
      </c>
      <c r="D68" s="76">
        <v>-81</v>
      </c>
      <c r="E68" s="76">
        <v>-86</v>
      </c>
      <c r="F68" s="76">
        <v>-119</v>
      </c>
      <c r="G68" s="76">
        <v>-58</v>
      </c>
      <c r="H68" s="76">
        <v>-54</v>
      </c>
      <c r="I68" s="76">
        <v>-26</v>
      </c>
      <c r="J68" s="76">
        <v>-279</v>
      </c>
      <c r="K68" s="75">
        <v>-14</v>
      </c>
      <c r="L68" s="76">
        <v>-8</v>
      </c>
      <c r="M68" s="76">
        <v>-25</v>
      </c>
      <c r="O68" s="74" t="s">
        <v>103</v>
      </c>
      <c r="P68" s="75">
        <v>-135</v>
      </c>
      <c r="Q68" s="75">
        <v>-81</v>
      </c>
      <c r="R68" s="75">
        <v>-86</v>
      </c>
      <c r="S68" s="75">
        <v>-119</v>
      </c>
      <c r="T68" s="75">
        <v>-58</v>
      </c>
      <c r="U68" s="75">
        <v>-54</v>
      </c>
      <c r="V68" s="75">
        <v>-26</v>
      </c>
      <c r="W68" s="75">
        <v>-279</v>
      </c>
      <c r="X68" s="75">
        <v>-14</v>
      </c>
      <c r="Y68" s="75">
        <v>-8</v>
      </c>
      <c r="Z68" s="75">
        <v>-25</v>
      </c>
    </row>
    <row r="69" spans="2:26" x14ac:dyDescent="0.35">
      <c r="B69" s="74" t="s">
        <v>104</v>
      </c>
      <c r="C69" s="76">
        <v>-37</v>
      </c>
      <c r="D69" s="76">
        <v>-42</v>
      </c>
      <c r="E69" s="76">
        <v>-35</v>
      </c>
      <c r="F69" s="76">
        <v>-40</v>
      </c>
      <c r="G69" s="76">
        <v>-36</v>
      </c>
      <c r="H69" s="76">
        <v>-35</v>
      </c>
      <c r="I69" s="76">
        <v>-106</v>
      </c>
      <c r="J69" s="76">
        <v>-101</v>
      </c>
      <c r="K69" s="76">
        <v>-89</v>
      </c>
      <c r="L69" s="75">
        <v>-94</v>
      </c>
      <c r="M69" s="76">
        <v>-142</v>
      </c>
      <c r="O69" s="74" t="s">
        <v>104</v>
      </c>
      <c r="P69" s="75">
        <v>-37</v>
      </c>
      <c r="Q69" s="75">
        <v>-42</v>
      </c>
      <c r="R69" s="75">
        <v>-35</v>
      </c>
      <c r="S69" s="75">
        <v>-40</v>
      </c>
      <c r="T69" s="75">
        <v>-36</v>
      </c>
      <c r="U69" s="75">
        <v>-35</v>
      </c>
      <c r="V69" s="75">
        <v>-106</v>
      </c>
      <c r="W69" s="75">
        <v>-101</v>
      </c>
      <c r="X69" s="75">
        <v>-89</v>
      </c>
      <c r="Y69" s="75">
        <v>-94</v>
      </c>
      <c r="Z69" s="75">
        <v>-142</v>
      </c>
    </row>
    <row r="70" spans="2:26" x14ac:dyDescent="0.35">
      <c r="B70" s="74" t="s">
        <v>105</v>
      </c>
      <c r="C70" s="76">
        <v>-462</v>
      </c>
      <c r="D70" s="75">
        <v>-547</v>
      </c>
      <c r="E70" s="75">
        <v>-695</v>
      </c>
      <c r="F70" s="75">
        <v>-764</v>
      </c>
      <c r="G70" s="75">
        <v>-947</v>
      </c>
      <c r="H70" s="75">
        <v>-1218</v>
      </c>
      <c r="I70" s="75">
        <v>-1049</v>
      </c>
      <c r="J70" s="75">
        <v>-2121</v>
      </c>
      <c r="K70" s="76">
        <v>-499</v>
      </c>
      <c r="L70" s="76">
        <v>-1763</v>
      </c>
      <c r="M70" s="75">
        <v>-1936</v>
      </c>
      <c r="O70" s="74" t="s">
        <v>105</v>
      </c>
      <c r="P70" s="75">
        <v>-462</v>
      </c>
      <c r="Q70" s="75">
        <v>-547</v>
      </c>
      <c r="R70" s="75">
        <v>-695</v>
      </c>
      <c r="S70" s="75">
        <v>-764</v>
      </c>
      <c r="T70" s="75">
        <v>-947</v>
      </c>
      <c r="U70" s="76">
        <v>-1218</v>
      </c>
      <c r="V70" s="76">
        <v>-1049</v>
      </c>
      <c r="W70" s="76">
        <v>-2121</v>
      </c>
      <c r="X70" s="75">
        <v>-499</v>
      </c>
      <c r="Y70" s="76">
        <v>-1763</v>
      </c>
      <c r="Z70" s="76">
        <v>-1936</v>
      </c>
    </row>
    <row r="71" spans="2:26" x14ac:dyDescent="0.35">
      <c r="B71" s="74" t="s">
        <v>106</v>
      </c>
      <c r="C71" s="75">
        <v>0</v>
      </c>
      <c r="D71" s="75">
        <v>0</v>
      </c>
      <c r="E71" s="75">
        <v>0</v>
      </c>
      <c r="F71" s="75">
        <v>0</v>
      </c>
      <c r="G71" s="75">
        <v>0</v>
      </c>
      <c r="H71" s="75">
        <v>0</v>
      </c>
      <c r="I71" s="75">
        <v>-180</v>
      </c>
      <c r="J71" s="76">
        <v>-179</v>
      </c>
      <c r="K71" s="76">
        <v>-203</v>
      </c>
      <c r="L71" s="76">
        <v>-221</v>
      </c>
      <c r="M71" s="76">
        <v>-256</v>
      </c>
      <c r="O71" s="74" t="s">
        <v>106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-180</v>
      </c>
      <c r="W71" s="75">
        <v>-179</v>
      </c>
      <c r="X71" s="75">
        <v>-203</v>
      </c>
      <c r="Y71" s="75">
        <v>-221</v>
      </c>
      <c r="Z71" s="75">
        <v>-256</v>
      </c>
    </row>
    <row r="72" spans="2:26" x14ac:dyDescent="0.35">
      <c r="B72" s="74" t="s">
        <v>107</v>
      </c>
      <c r="C72" s="76">
        <v>0</v>
      </c>
      <c r="D72" s="75">
        <v>0</v>
      </c>
      <c r="E72" s="75">
        <v>0</v>
      </c>
      <c r="F72" s="75">
        <v>66</v>
      </c>
      <c r="G72" s="75">
        <v>13</v>
      </c>
      <c r="H72" s="75">
        <v>-82</v>
      </c>
      <c r="I72" s="75">
        <v>0</v>
      </c>
      <c r="J72" s="75">
        <v>-209</v>
      </c>
      <c r="K72" s="75">
        <v>0</v>
      </c>
      <c r="L72" s="76">
        <v>-140</v>
      </c>
      <c r="M72" s="76">
        <v>-36</v>
      </c>
      <c r="O72" s="74" t="s">
        <v>107</v>
      </c>
      <c r="P72" s="75">
        <v>0</v>
      </c>
      <c r="Q72" s="75">
        <v>0</v>
      </c>
      <c r="R72" s="75">
        <v>0</v>
      </c>
      <c r="S72" s="75">
        <v>66</v>
      </c>
      <c r="T72" s="75">
        <v>13</v>
      </c>
      <c r="U72" s="75">
        <v>-82</v>
      </c>
      <c r="V72" s="75">
        <v>0</v>
      </c>
      <c r="W72" s="75">
        <v>-209</v>
      </c>
      <c r="X72" s="75">
        <v>0</v>
      </c>
      <c r="Y72" s="75">
        <v>-140</v>
      </c>
      <c r="Z72" s="75">
        <v>-36</v>
      </c>
    </row>
    <row r="73" spans="2:26" x14ac:dyDescent="0.35">
      <c r="B73" s="77" t="s">
        <v>20</v>
      </c>
      <c r="C73" s="78">
        <v>123</v>
      </c>
      <c r="D73" s="78">
        <v>190</v>
      </c>
      <c r="E73" s="78">
        <v>147</v>
      </c>
      <c r="F73" s="78">
        <v>528</v>
      </c>
      <c r="G73" s="78">
        <v>90</v>
      </c>
      <c r="H73" s="99">
        <v>-822</v>
      </c>
      <c r="I73" s="78">
        <v>434</v>
      </c>
      <c r="J73" s="78">
        <v>-351</v>
      </c>
      <c r="K73" s="76">
        <v>2492</v>
      </c>
      <c r="L73" s="75">
        <v>-1138</v>
      </c>
      <c r="M73" s="76">
        <v>771</v>
      </c>
      <c r="O73" s="127" t="s">
        <v>20</v>
      </c>
      <c r="P73" s="128">
        <v>123</v>
      </c>
      <c r="Q73" s="128">
        <v>190</v>
      </c>
      <c r="R73" s="128">
        <v>147</v>
      </c>
      <c r="S73" s="128">
        <v>528</v>
      </c>
      <c r="T73" s="128">
        <v>90</v>
      </c>
      <c r="U73" s="128">
        <v>-822</v>
      </c>
      <c r="V73" s="128">
        <v>434</v>
      </c>
      <c r="W73" s="128">
        <v>-351</v>
      </c>
      <c r="X73" s="129">
        <v>2492</v>
      </c>
      <c r="Y73" s="129">
        <v>-1138</v>
      </c>
      <c r="Z73" s="128">
        <v>771</v>
      </c>
    </row>
    <row r="74" spans="2:26" x14ac:dyDescent="0.35">
      <c r="K74" s="75"/>
      <c r="L74" s="76"/>
      <c r="M74" s="75"/>
    </row>
    <row r="75" spans="2:26" x14ac:dyDescent="0.35">
      <c r="K75" s="78"/>
      <c r="L75" s="76"/>
      <c r="M75" s="76"/>
    </row>
    <row r="76" spans="2:26" x14ac:dyDescent="0.35">
      <c r="L76" s="78"/>
      <c r="M76" s="76"/>
    </row>
    <row r="77" spans="2:26" x14ac:dyDescent="0.35">
      <c r="M77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7E64-8D28-40CD-8CE9-91CA9D7F753C}">
  <dimension ref="B1:F26"/>
  <sheetViews>
    <sheetView workbookViewId="0">
      <selection activeCell="G33" sqref="G33"/>
    </sheetView>
  </sheetViews>
  <sheetFormatPr defaultRowHeight="14.5" x14ac:dyDescent="0.35"/>
  <cols>
    <col min="1" max="1" width="1.81640625" customWidth="1"/>
    <col min="3" max="3" width="8.7265625" style="41"/>
    <col min="5" max="5" width="14.54296875" bestFit="1" customWidth="1"/>
    <col min="6" max="6" width="8.7265625" style="41"/>
  </cols>
  <sheetData>
    <row r="1" spans="2:6" x14ac:dyDescent="0.35">
      <c r="B1" t="s">
        <v>290</v>
      </c>
      <c r="C1" s="41" t="s">
        <v>347</v>
      </c>
    </row>
    <row r="2" spans="2:6" x14ac:dyDescent="0.35">
      <c r="B2" t="s">
        <v>120</v>
      </c>
      <c r="C2" s="41" t="s">
        <v>291</v>
      </c>
    </row>
    <row r="3" spans="2:6" x14ac:dyDescent="0.35">
      <c r="B3">
        <v>2000</v>
      </c>
      <c r="C3" s="41">
        <v>-0.14649999999999999</v>
      </c>
      <c r="E3" t="s">
        <v>292</v>
      </c>
      <c r="F3" s="41">
        <f>AVERAGE(C3:C26)</f>
        <v>0.15609166666666666</v>
      </c>
    </row>
    <row r="4" spans="2:6" ht="16.5" x14ac:dyDescent="0.35">
      <c r="B4">
        <v>2001</v>
      </c>
      <c r="C4" s="41">
        <v>-0.1618</v>
      </c>
      <c r="E4" t="s">
        <v>293</v>
      </c>
      <c r="F4" s="41" t="s">
        <v>295</v>
      </c>
    </row>
    <row r="5" spans="2:6" x14ac:dyDescent="0.35">
      <c r="B5">
        <v>2002</v>
      </c>
      <c r="C5" s="41">
        <v>3.2500000000000001E-2</v>
      </c>
      <c r="E5" t="s">
        <v>294</v>
      </c>
      <c r="F5" s="41">
        <f>SUM(F3:F4)</f>
        <v>0.15609166666666666</v>
      </c>
    </row>
    <row r="6" spans="2:6" x14ac:dyDescent="0.35">
      <c r="B6">
        <v>2003</v>
      </c>
      <c r="C6" s="41">
        <v>0.71900000000000008</v>
      </c>
    </row>
    <row r="7" spans="2:6" x14ac:dyDescent="0.35">
      <c r="B7">
        <v>2004</v>
      </c>
      <c r="C7" s="41">
        <v>0.10679999999999999</v>
      </c>
    </row>
    <row r="8" spans="2:6" x14ac:dyDescent="0.35">
      <c r="B8">
        <v>2005</v>
      </c>
      <c r="C8" s="41">
        <v>0.36340000000000006</v>
      </c>
    </row>
    <row r="9" spans="2:6" x14ac:dyDescent="0.35">
      <c r="B9">
        <v>2006</v>
      </c>
      <c r="C9" s="41">
        <v>0.39829999999999999</v>
      </c>
    </row>
    <row r="10" spans="2:6" x14ac:dyDescent="0.35">
      <c r="B10">
        <v>2007</v>
      </c>
      <c r="C10" s="41">
        <v>0.54770000000000008</v>
      </c>
    </row>
    <row r="11" spans="2:6" x14ac:dyDescent="0.35">
      <c r="B11">
        <v>2008</v>
      </c>
      <c r="C11" s="41">
        <v>-0.51790000000000003</v>
      </c>
    </row>
    <row r="12" spans="2:6" x14ac:dyDescent="0.35">
      <c r="B12">
        <v>2009</v>
      </c>
      <c r="C12" s="41">
        <v>0.75760000000000005</v>
      </c>
    </row>
    <row r="13" spans="2:6" x14ac:dyDescent="0.35">
      <c r="B13">
        <v>2010</v>
      </c>
      <c r="C13" s="41">
        <v>0.17949999999999999</v>
      </c>
    </row>
    <row r="14" spans="2:6" x14ac:dyDescent="0.35">
      <c r="B14">
        <v>2011</v>
      </c>
      <c r="C14" s="41">
        <v>-0.2462</v>
      </c>
    </row>
    <row r="15" spans="2:6" x14ac:dyDescent="0.35">
      <c r="B15">
        <v>2012</v>
      </c>
      <c r="C15" s="41">
        <v>0.27699999999999997</v>
      </c>
    </row>
    <row r="16" spans="2:6" x14ac:dyDescent="0.35">
      <c r="B16">
        <v>2013</v>
      </c>
      <c r="C16" s="41">
        <v>6.7599999999999993E-2</v>
      </c>
    </row>
    <row r="17" spans="2:3" x14ac:dyDescent="0.35">
      <c r="B17">
        <v>2014</v>
      </c>
      <c r="C17" s="41">
        <v>0.31390000000000001</v>
      </c>
    </row>
    <row r="18" spans="2:3" x14ac:dyDescent="0.35">
      <c r="B18">
        <v>2015</v>
      </c>
      <c r="C18" s="41">
        <v>-4.0599999999999997E-2</v>
      </c>
    </row>
    <row r="19" spans="2:3" x14ac:dyDescent="0.35">
      <c r="B19">
        <v>2016</v>
      </c>
      <c r="C19" s="41">
        <v>3.0099999999999998E-2</v>
      </c>
    </row>
    <row r="20" spans="2:3" x14ac:dyDescent="0.35">
      <c r="B20">
        <v>2017</v>
      </c>
      <c r="C20" s="41">
        <v>0.28649999999999998</v>
      </c>
    </row>
    <row r="21" spans="2:3" x14ac:dyDescent="0.35">
      <c r="B21">
        <v>2018</v>
      </c>
      <c r="C21" s="41">
        <v>3.15E-2</v>
      </c>
    </row>
    <row r="22" spans="2:3" x14ac:dyDescent="0.35">
      <c r="B22">
        <v>2019</v>
      </c>
      <c r="C22" s="41">
        <v>0.1202</v>
      </c>
    </row>
    <row r="23" spans="2:3" x14ac:dyDescent="0.35">
      <c r="B23">
        <v>2020</v>
      </c>
      <c r="C23" s="41">
        <v>0.14899999999999999</v>
      </c>
    </row>
    <row r="24" spans="2:3" x14ac:dyDescent="0.35">
      <c r="B24">
        <v>2021</v>
      </c>
      <c r="C24" s="41">
        <v>0.2412</v>
      </c>
    </row>
    <row r="25" spans="2:3" x14ac:dyDescent="0.35">
      <c r="B25">
        <v>2022</v>
      </c>
      <c r="C25" s="41">
        <v>4.3200000000000002E-2</v>
      </c>
    </row>
    <row r="26" spans="2:3" x14ac:dyDescent="0.35">
      <c r="B26">
        <v>2023</v>
      </c>
      <c r="C26" s="41">
        <v>0.19420000000000001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3F6-A72B-4332-9CD2-6FAD2BD0EBF3}">
  <dimension ref="B2:G20"/>
  <sheetViews>
    <sheetView workbookViewId="0">
      <selection activeCell="K18" sqref="K18"/>
    </sheetView>
  </sheetViews>
  <sheetFormatPr defaultRowHeight="14.5" x14ac:dyDescent="0.35"/>
  <cols>
    <col min="1" max="1" width="1.81640625" customWidth="1"/>
    <col min="3" max="3" width="13.7265625" bestFit="1" customWidth="1"/>
  </cols>
  <sheetData>
    <row r="2" spans="2:7" x14ac:dyDescent="0.35"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</row>
    <row r="3" spans="2:7" x14ac:dyDescent="0.35">
      <c r="B3">
        <v>1</v>
      </c>
      <c r="C3" t="s">
        <v>243</v>
      </c>
      <c r="D3">
        <v>2844.4</v>
      </c>
      <c r="E3">
        <v>2326.77</v>
      </c>
      <c r="F3">
        <v>272834.21999999997</v>
      </c>
      <c r="G3">
        <v>0.14000000000000001</v>
      </c>
    </row>
    <row r="4" spans="2:7" x14ac:dyDescent="0.35">
      <c r="B4">
        <v>2</v>
      </c>
      <c r="C4" t="s">
        <v>244</v>
      </c>
      <c r="D4">
        <v>545.95000000000005</v>
      </c>
      <c r="E4">
        <v>1154.17</v>
      </c>
      <c r="F4">
        <v>63646.64</v>
      </c>
      <c r="G4">
        <v>0.24</v>
      </c>
    </row>
    <row r="5" spans="2:7" x14ac:dyDescent="0.35">
      <c r="B5">
        <v>3</v>
      </c>
      <c r="C5" t="s">
        <v>245</v>
      </c>
      <c r="D5">
        <v>273.14999999999998</v>
      </c>
      <c r="E5">
        <v>323.27</v>
      </c>
      <c r="F5">
        <v>22080.89</v>
      </c>
      <c r="G5">
        <v>0.06</v>
      </c>
    </row>
    <row r="6" spans="2:7" x14ac:dyDescent="0.35">
      <c r="B6">
        <v>4</v>
      </c>
      <c r="C6" t="s">
        <v>246</v>
      </c>
      <c r="D6">
        <v>2449</v>
      </c>
      <c r="E6">
        <v>62.8</v>
      </c>
      <c r="F6">
        <v>11152.82</v>
      </c>
      <c r="G6">
        <v>0.05</v>
      </c>
    </row>
    <row r="20" spans="4:4" x14ac:dyDescent="0.35">
      <c r="D20" s="1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602E-72C3-4119-9FAE-963D6208D356}">
  <dimension ref="B2:L6"/>
  <sheetViews>
    <sheetView workbookViewId="0">
      <selection activeCell="H27" sqref="H27"/>
    </sheetView>
  </sheetViews>
  <sheetFormatPr defaultRowHeight="14.5" x14ac:dyDescent="0.35"/>
  <cols>
    <col min="1" max="1" width="1.81640625" customWidth="1"/>
    <col min="3" max="3" width="13.08984375" bestFit="1" customWidth="1"/>
    <col min="4" max="4" width="7.81640625" bestFit="1" customWidth="1"/>
    <col min="5" max="5" width="15.7265625" bestFit="1" customWidth="1"/>
    <col min="6" max="6" width="10.08984375" bestFit="1" customWidth="1"/>
    <col min="7" max="7" width="13.81640625" bestFit="1" customWidth="1"/>
    <col min="8" max="8" width="10.26953125" bestFit="1" customWidth="1"/>
    <col min="9" max="9" width="14" bestFit="1" customWidth="1"/>
    <col min="10" max="10" width="13.7265625" bestFit="1" customWidth="1"/>
    <col min="11" max="11" width="12.54296875" bestFit="1" customWidth="1"/>
    <col min="12" max="12" width="13.7265625" bestFit="1" customWidth="1"/>
  </cols>
  <sheetData>
    <row r="2" spans="2:12" x14ac:dyDescent="0.35">
      <c r="B2" s="27" t="s">
        <v>237</v>
      </c>
      <c r="C2" s="27" t="s">
        <v>238</v>
      </c>
      <c r="D2" s="26" t="s">
        <v>239</v>
      </c>
      <c r="E2" s="26" t="s">
        <v>348</v>
      </c>
      <c r="F2" s="26" t="s">
        <v>240</v>
      </c>
      <c r="G2" s="26" t="s">
        <v>349</v>
      </c>
      <c r="H2" s="26" t="s">
        <v>350</v>
      </c>
      <c r="I2" s="26" t="s">
        <v>351</v>
      </c>
      <c r="J2" s="26" t="s">
        <v>352</v>
      </c>
      <c r="K2" s="26" t="s">
        <v>353</v>
      </c>
      <c r="L2" s="26" t="s">
        <v>241</v>
      </c>
    </row>
    <row r="3" spans="2:12" x14ac:dyDescent="0.35">
      <c r="B3" s="27">
        <v>1</v>
      </c>
      <c r="C3" s="27" t="s">
        <v>243</v>
      </c>
      <c r="D3" s="26">
        <v>2808.55</v>
      </c>
      <c r="E3" s="26">
        <v>95.92</v>
      </c>
      <c r="F3" s="26">
        <v>2326.77</v>
      </c>
      <c r="G3" s="26">
        <v>843.82</v>
      </c>
      <c r="H3" s="26">
        <v>35551.31</v>
      </c>
      <c r="I3" s="26">
        <v>7648.17</v>
      </c>
      <c r="J3" s="26">
        <v>847.56</v>
      </c>
      <c r="K3" s="26">
        <v>5540.8</v>
      </c>
      <c r="L3" s="26">
        <v>269395.5</v>
      </c>
    </row>
    <row r="4" spans="2:12" x14ac:dyDescent="0.35">
      <c r="B4" s="27">
        <v>2</v>
      </c>
      <c r="C4" s="27" t="s">
        <v>244</v>
      </c>
      <c r="D4" s="26">
        <v>504.55</v>
      </c>
      <c r="E4" s="26">
        <v>116.58</v>
      </c>
      <c r="F4" s="26">
        <v>1154.17</v>
      </c>
      <c r="G4" s="26">
        <v>244.69</v>
      </c>
      <c r="H4" s="26">
        <v>11122.27</v>
      </c>
      <c r="I4" s="26">
        <v>1610.48</v>
      </c>
      <c r="J4" s="26">
        <v>318.39999999999998</v>
      </c>
      <c r="K4" s="26">
        <v>1133.21</v>
      </c>
      <c r="L4" s="26">
        <v>58820.24</v>
      </c>
    </row>
    <row r="5" spans="2:12" x14ac:dyDescent="0.35">
      <c r="B5" s="27">
        <v>3</v>
      </c>
      <c r="C5" s="27" t="s">
        <v>245</v>
      </c>
      <c r="D5" s="26">
        <v>273.35000000000002</v>
      </c>
      <c r="E5" s="26">
        <v>80.84</v>
      </c>
      <c r="F5" s="26">
        <v>323.27</v>
      </c>
      <c r="G5" s="26">
        <v>126.86</v>
      </c>
      <c r="H5" s="26">
        <v>7765.64</v>
      </c>
      <c r="I5" s="26">
        <v>897.6</v>
      </c>
      <c r="J5" s="26">
        <v>188.31</v>
      </c>
      <c r="K5" s="26">
        <v>1157.81</v>
      </c>
      <c r="L5" s="26">
        <v>22097.06</v>
      </c>
    </row>
    <row r="6" spans="2:12" x14ac:dyDescent="0.35">
      <c r="B6" s="27">
        <v>4</v>
      </c>
      <c r="C6" s="27" t="s">
        <v>246</v>
      </c>
      <c r="D6" s="26">
        <v>2406.25</v>
      </c>
      <c r="E6" s="26">
        <v>4.55</v>
      </c>
      <c r="F6" s="26">
        <v>62.8</v>
      </c>
      <c r="G6" s="26">
        <v>563.20000000000005</v>
      </c>
      <c r="H6" s="26">
        <v>3939.6</v>
      </c>
      <c r="I6" s="26">
        <v>573.6</v>
      </c>
      <c r="J6" s="26">
        <v>83</v>
      </c>
      <c r="K6" s="26">
        <v>413.3</v>
      </c>
      <c r="L6" s="26">
        <v>10958.14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99DF-92FC-4C7C-B9AC-AB44460ED2ED}">
  <sheetPr>
    <tabColor rgb="FF3333FF"/>
  </sheetPr>
  <dimension ref="A1"/>
  <sheetViews>
    <sheetView workbookViewId="0">
      <selection activeCell="Q32" sqref="Q32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5B9C-EFB0-4572-B731-8EE723526F48}">
  <dimension ref="B2:Z115"/>
  <sheetViews>
    <sheetView showGridLines="0" workbookViewId="0">
      <selection activeCell="T92" sqref="T92"/>
    </sheetView>
  </sheetViews>
  <sheetFormatPr defaultRowHeight="14.5" x14ac:dyDescent="0.35"/>
  <cols>
    <col min="1" max="1" width="1.81640625" customWidth="1"/>
    <col min="2" max="2" width="14.08984375" customWidth="1"/>
    <col min="3" max="3" width="11.26953125" bestFit="1" customWidth="1"/>
    <col min="5" max="5" width="2.6328125" customWidth="1"/>
    <col min="6" max="6" width="11.26953125" bestFit="1" customWidth="1"/>
    <col min="8" max="8" width="2.6328125" customWidth="1"/>
    <col min="9" max="9" width="11.26953125" bestFit="1" customWidth="1"/>
    <col min="11" max="11" width="2.6328125" customWidth="1"/>
    <col min="12" max="12" width="11.26953125" bestFit="1" customWidth="1"/>
    <col min="14" max="14" width="2.6328125" customWidth="1"/>
    <col min="15" max="15" width="11.26953125" bestFit="1" customWidth="1"/>
    <col min="17" max="17" width="2.6328125" customWidth="1"/>
    <col min="18" max="18" width="17.26953125" bestFit="1" customWidth="1"/>
  </cols>
  <sheetData>
    <row r="2" spans="2:24" ht="18.5" x14ac:dyDescent="0.45">
      <c r="B2" s="109" t="s">
        <v>247</v>
      </c>
      <c r="D2" s="41"/>
      <c r="I2" s="26"/>
      <c r="J2" s="26"/>
    </row>
    <row r="3" spans="2:24" x14ac:dyDescent="0.35">
      <c r="B3" s="124" t="s">
        <v>250</v>
      </c>
      <c r="C3" s="123" t="s">
        <v>251</v>
      </c>
      <c r="F3" s="2" t="s">
        <v>248</v>
      </c>
      <c r="G3" s="114">
        <f>SLOPE(G12:G115,$D$12:$D$115)</f>
        <v>0.80326144915602748</v>
      </c>
      <c r="I3" s="2" t="s">
        <v>248</v>
      </c>
      <c r="J3" s="114">
        <f>SLOPE(J12:J115,$D$12:$D$115)</f>
        <v>0.81931339203399278</v>
      </c>
      <c r="L3" s="2" t="s">
        <v>248</v>
      </c>
      <c r="M3" s="114">
        <f>SLOPE(M12:M115,$D$12:$D$115)</f>
        <v>0.87775696819667481</v>
      </c>
      <c r="O3" s="2" t="s">
        <v>248</v>
      </c>
      <c r="P3" s="114">
        <f>SLOPE(P12:P115,$D$12:$D$115)</f>
        <v>0.39819146073727574</v>
      </c>
      <c r="R3" s="188" t="s">
        <v>249</v>
      </c>
      <c r="S3" s="188"/>
      <c r="X3" s="42"/>
    </row>
    <row r="4" spans="2:24" x14ac:dyDescent="0.35">
      <c r="B4" s="124" t="s">
        <v>253</v>
      </c>
      <c r="C4" s="122">
        <v>0.75</v>
      </c>
      <c r="F4" s="2" t="s">
        <v>252</v>
      </c>
      <c r="G4" s="115">
        <f>_xlfn.COVARIANCE.S($D$12:$D$115,G12:G115)/_xlfn.VAR.S($D$12:$D$115)</f>
        <v>0.80326144915602726</v>
      </c>
      <c r="I4" s="2" t="s">
        <v>252</v>
      </c>
      <c r="J4" s="115">
        <f>_xlfn.COVARIANCE.S($D$12:$D$115,J12:J115)/_xlfn.VAR.S($D$12:$D$115)</f>
        <v>0.81931339203399256</v>
      </c>
      <c r="L4" s="2" t="s">
        <v>252</v>
      </c>
      <c r="M4" s="115">
        <f>_xlfn.COVARIANCE.S($D$12:$D$115,M12:M115)/_xlfn.VAR.S($D$12:$D$115)</f>
        <v>0.87775696819667459</v>
      </c>
      <c r="O4" s="2" t="s">
        <v>252</v>
      </c>
      <c r="P4" s="115">
        <f>_xlfn.COVARIANCE.S($D$12:$D$115,P12:P115)/_xlfn.VAR.S($D$12:$D$115)</f>
        <v>0.39819146073727563</v>
      </c>
      <c r="R4" s="102"/>
      <c r="S4" s="102"/>
      <c r="X4" s="42"/>
    </row>
    <row r="5" spans="2:24" x14ac:dyDescent="0.35">
      <c r="B5" s="124" t="s">
        <v>286</v>
      </c>
      <c r="C5" s="122">
        <v>1</v>
      </c>
      <c r="D5" s="41"/>
      <c r="F5" s="2" t="s">
        <v>254</v>
      </c>
      <c r="G5" s="116">
        <f>S22</f>
        <v>0.8032614491560276</v>
      </c>
      <c r="I5" s="2" t="s">
        <v>254</v>
      </c>
      <c r="J5" s="116">
        <f>S43</f>
        <v>0.81931339203399256</v>
      </c>
      <c r="L5" s="2" t="s">
        <v>254</v>
      </c>
      <c r="M5" s="116">
        <f>S64</f>
        <v>0.8777569681966737</v>
      </c>
      <c r="O5" s="2" t="s">
        <v>254</v>
      </c>
      <c r="P5" s="116">
        <f>S86</f>
        <v>0.39819146073727552</v>
      </c>
      <c r="R5" t="s">
        <v>255</v>
      </c>
    </row>
    <row r="6" spans="2:24" ht="15" thickBot="1" x14ac:dyDescent="0.4">
      <c r="B6" s="124" t="s">
        <v>287</v>
      </c>
      <c r="C6" s="122">
        <v>0.25</v>
      </c>
      <c r="D6" s="41"/>
      <c r="F6" s="2" t="s">
        <v>256</v>
      </c>
      <c r="G6" s="117">
        <f>(G5*0.75)+(1*0.25)</f>
        <v>0.85244608686702072</v>
      </c>
      <c r="I6" s="2" t="s">
        <v>256</v>
      </c>
      <c r="J6" s="117">
        <f>(J5*0.75)+(1*0.25)</f>
        <v>0.86448504402549442</v>
      </c>
      <c r="L6" s="2" t="s">
        <v>256</v>
      </c>
      <c r="M6" s="117">
        <f>(M5*0.75)+(1*0.25)</f>
        <v>0.90831772614750528</v>
      </c>
      <c r="O6" s="2" t="s">
        <v>256</v>
      </c>
      <c r="P6" s="117">
        <f>(P5*0.75)+(1*0.25)</f>
        <v>0.54864359555295661</v>
      </c>
    </row>
    <row r="7" spans="2:24" x14ac:dyDescent="0.35">
      <c r="B7" s="124" t="s">
        <v>288</v>
      </c>
      <c r="C7" s="122" t="s">
        <v>289</v>
      </c>
      <c r="D7" s="41"/>
      <c r="I7" s="26"/>
      <c r="J7" s="26"/>
      <c r="R7" s="121" t="s">
        <v>257</v>
      </c>
      <c r="S7" s="121"/>
    </row>
    <row r="8" spans="2:24" x14ac:dyDescent="0.35">
      <c r="B8" s="188" t="s">
        <v>258</v>
      </c>
      <c r="C8" s="188"/>
      <c r="D8" s="188"/>
      <c r="F8" s="188" t="s">
        <v>243</v>
      </c>
      <c r="G8" s="188"/>
      <c r="I8" s="188" t="s">
        <v>244</v>
      </c>
      <c r="J8" s="188"/>
      <c r="L8" s="188" t="s">
        <v>284</v>
      </c>
      <c r="M8" s="188"/>
      <c r="O8" s="188" t="s">
        <v>285</v>
      </c>
      <c r="P8" s="188"/>
      <c r="R8" t="s">
        <v>259</v>
      </c>
      <c r="S8">
        <v>0.44288694342509971</v>
      </c>
    </row>
    <row r="9" spans="2:24" x14ac:dyDescent="0.35">
      <c r="D9" s="41"/>
      <c r="I9" s="26"/>
      <c r="J9" s="26"/>
      <c r="R9" t="s">
        <v>260</v>
      </c>
      <c r="S9">
        <v>0.19614884465642746</v>
      </c>
    </row>
    <row r="10" spans="2:24" x14ac:dyDescent="0.35">
      <c r="B10" s="110" t="s">
        <v>261</v>
      </c>
      <c r="C10" s="53" t="s">
        <v>262</v>
      </c>
      <c r="D10" s="111" t="s">
        <v>263</v>
      </c>
      <c r="E10" s="67"/>
      <c r="F10" s="53" t="s">
        <v>262</v>
      </c>
      <c r="G10" s="111" t="s">
        <v>263</v>
      </c>
      <c r="H10" s="67"/>
      <c r="I10" s="53" t="s">
        <v>262</v>
      </c>
      <c r="J10" s="111" t="s">
        <v>263</v>
      </c>
      <c r="K10" s="67"/>
      <c r="L10" s="53" t="s">
        <v>262</v>
      </c>
      <c r="M10" s="111" t="s">
        <v>263</v>
      </c>
      <c r="N10" s="67"/>
      <c r="O10" s="53" t="s">
        <v>262</v>
      </c>
      <c r="P10" s="111" t="s">
        <v>263</v>
      </c>
      <c r="Q10" s="67"/>
      <c r="R10" t="s">
        <v>264</v>
      </c>
      <c r="S10">
        <v>0.18826795097658852</v>
      </c>
    </row>
    <row r="11" spans="2:24" x14ac:dyDescent="0.35">
      <c r="B11" s="112">
        <v>44648</v>
      </c>
      <c r="C11" s="34">
        <v>17670.449218999998</v>
      </c>
      <c r="D11" s="54"/>
      <c r="E11" s="26"/>
      <c r="F11" s="34">
        <v>3066.0390630000002</v>
      </c>
      <c r="G11" s="26"/>
      <c r="H11" s="26"/>
      <c r="I11" s="34">
        <v>587.68774399999995</v>
      </c>
      <c r="J11" s="26"/>
      <c r="K11" s="26"/>
      <c r="L11" s="34">
        <v>310.381439</v>
      </c>
      <c r="M11" s="26"/>
      <c r="N11" s="26"/>
      <c r="O11" s="34">
        <v>1806.8557129999999</v>
      </c>
      <c r="P11" s="26"/>
      <c r="Q11" s="26"/>
      <c r="R11" t="s">
        <v>265</v>
      </c>
      <c r="S11">
        <v>2.7701321003887367E-2</v>
      </c>
    </row>
    <row r="12" spans="2:24" ht="15" thickBot="1" x14ac:dyDescent="0.4">
      <c r="B12" s="112">
        <v>44655</v>
      </c>
      <c r="C12" s="34">
        <v>17784.349609000001</v>
      </c>
      <c r="D12" s="54">
        <f>C12/C11-1</f>
        <v>6.4458117950692007E-3</v>
      </c>
      <c r="E12" s="26"/>
      <c r="F12" s="34">
        <v>3156.716797</v>
      </c>
      <c r="G12" s="54">
        <f>F12/F11-1</f>
        <v>2.9574878902969726E-2</v>
      </c>
      <c r="H12" s="26"/>
      <c r="I12" s="34">
        <v>606.68273899999997</v>
      </c>
      <c r="J12" s="113">
        <f>I12/I11-1</f>
        <v>3.2321577562114401E-2</v>
      </c>
      <c r="K12" s="26"/>
      <c r="L12" s="34">
        <v>306.68170199999997</v>
      </c>
      <c r="M12" s="113">
        <f>L12/L11-1</f>
        <v>-1.1919968577760343E-2</v>
      </c>
      <c r="N12" s="26"/>
      <c r="O12" s="34">
        <v>1799.431763</v>
      </c>
      <c r="P12" s="113">
        <f>O12/O11-1</f>
        <v>-4.1087674829738408E-3</v>
      </c>
      <c r="Q12" s="26"/>
      <c r="R12" s="119" t="s">
        <v>266</v>
      </c>
      <c r="S12" s="119">
        <v>104</v>
      </c>
    </row>
    <row r="13" spans="2:24" x14ac:dyDescent="0.35">
      <c r="B13" s="112">
        <v>44662</v>
      </c>
      <c r="C13" s="34">
        <v>17475.650390999999</v>
      </c>
      <c r="D13" s="54">
        <f t="shared" ref="D13:D76" si="0">C13/C12-1</f>
        <v>-1.7357914390289553E-2</v>
      </c>
      <c r="E13" s="26"/>
      <c r="F13" s="34">
        <v>3033.0566410000001</v>
      </c>
      <c r="G13" s="54">
        <f t="shared" ref="G13:G76" si="1">F13/F12-1</f>
        <v>-3.9173661735357745E-2</v>
      </c>
      <c r="H13" s="26"/>
      <c r="I13" s="34">
        <v>598.052368</v>
      </c>
      <c r="J13" s="113">
        <f t="shared" ref="J13:J76" si="2">I13/I12-1</f>
        <v>-1.422550938934819E-2</v>
      </c>
      <c r="K13" s="26"/>
      <c r="L13" s="34">
        <v>307.24328600000001</v>
      </c>
      <c r="M13" s="113">
        <f t="shared" ref="M13:M76" si="3">L13/L12-1</f>
        <v>1.8311623952056433E-3</v>
      </c>
      <c r="N13" s="26"/>
      <c r="O13" s="34">
        <v>1781.106567</v>
      </c>
      <c r="P13" s="113">
        <f t="shared" ref="P13:P76" si="4">O13/O12-1</f>
        <v>-1.0183879365032622E-2</v>
      </c>
      <c r="Q13" s="26"/>
    </row>
    <row r="14" spans="2:24" ht="15" thickBot="1" x14ac:dyDescent="0.4">
      <c r="B14" s="112">
        <v>44669</v>
      </c>
      <c r="C14" s="34">
        <v>17171.949218999998</v>
      </c>
      <c r="D14" s="54">
        <f t="shared" si="0"/>
        <v>-1.7378533285170805E-2</v>
      </c>
      <c r="E14" s="26"/>
      <c r="F14" s="34">
        <v>3115.5129390000002</v>
      </c>
      <c r="G14" s="54">
        <f t="shared" si="1"/>
        <v>2.7185874765864648E-2</v>
      </c>
      <c r="H14" s="26"/>
      <c r="I14" s="34">
        <v>591.85833700000001</v>
      </c>
      <c r="J14" s="113">
        <f t="shared" si="2"/>
        <v>-1.0357004388618973E-2</v>
      </c>
      <c r="K14" s="26"/>
      <c r="L14" s="34">
        <v>310.381439</v>
      </c>
      <c r="M14" s="113">
        <f t="shared" si="3"/>
        <v>1.0213902607460135E-2</v>
      </c>
      <c r="N14" s="26"/>
      <c r="O14" s="34">
        <v>1774.7163089999999</v>
      </c>
      <c r="P14" s="113">
        <f t="shared" si="4"/>
        <v>-3.5878021665842752E-3</v>
      </c>
      <c r="Q14" s="26"/>
      <c r="R14" t="s">
        <v>267</v>
      </c>
    </row>
    <row r="15" spans="2:24" x14ac:dyDescent="0.35">
      <c r="B15" s="112">
        <v>44676</v>
      </c>
      <c r="C15" s="34">
        <v>17102.550781000002</v>
      </c>
      <c r="D15" s="54">
        <f t="shared" si="0"/>
        <v>-4.041383835634127E-3</v>
      </c>
      <c r="E15" s="26"/>
      <c r="F15" s="34">
        <v>3187.188232</v>
      </c>
      <c r="G15" s="54">
        <f t="shared" si="1"/>
        <v>2.3005936551496298E-2</v>
      </c>
      <c r="H15" s="26"/>
      <c r="I15" s="34">
        <v>592.932007</v>
      </c>
      <c r="J15" s="113">
        <f t="shared" si="2"/>
        <v>1.8140658547485256E-3</v>
      </c>
      <c r="K15" s="26"/>
      <c r="L15" s="34">
        <v>310.21627799999999</v>
      </c>
      <c r="M15" s="113">
        <f t="shared" si="3"/>
        <v>-5.3212266987401335E-4</v>
      </c>
      <c r="N15" s="26"/>
      <c r="O15" s="34">
        <v>1765.2717290000001</v>
      </c>
      <c r="P15" s="113">
        <f t="shared" si="4"/>
        <v>-5.321740692923238E-3</v>
      </c>
      <c r="Q15" s="26"/>
      <c r="R15" s="120"/>
      <c r="S15" s="120" t="s">
        <v>268</v>
      </c>
      <c r="T15" s="120" t="s">
        <v>269</v>
      </c>
      <c r="U15" s="120" t="s">
        <v>270</v>
      </c>
      <c r="V15" s="120" t="s">
        <v>271</v>
      </c>
      <c r="W15" s="120" t="s">
        <v>272</v>
      </c>
    </row>
    <row r="16" spans="2:24" x14ac:dyDescent="0.35">
      <c r="B16" s="112">
        <v>44683</v>
      </c>
      <c r="C16" s="34">
        <v>16411.25</v>
      </c>
      <c r="D16" s="54">
        <f t="shared" si="0"/>
        <v>-4.0420916730619982E-2</v>
      </c>
      <c r="E16" s="26"/>
      <c r="F16" s="34">
        <v>2969.6518550000001</v>
      </c>
      <c r="G16" s="54">
        <f t="shared" si="1"/>
        <v>-6.8253382343688274E-2</v>
      </c>
      <c r="H16" s="26"/>
      <c r="I16" s="34">
        <v>550.60620100000006</v>
      </c>
      <c r="J16" s="113">
        <f t="shared" si="2"/>
        <v>-7.1383911646382026E-2</v>
      </c>
      <c r="K16" s="26"/>
      <c r="L16" s="34">
        <v>298.159088</v>
      </c>
      <c r="M16" s="113">
        <f t="shared" si="3"/>
        <v>-3.8867044881506829E-2</v>
      </c>
      <c r="N16" s="26"/>
      <c r="O16" s="34">
        <v>1720.398682</v>
      </c>
      <c r="P16" s="113">
        <f t="shared" si="4"/>
        <v>-2.5419909163457821E-2</v>
      </c>
      <c r="Q16" s="26"/>
      <c r="R16" t="s">
        <v>273</v>
      </c>
      <c r="S16">
        <v>1</v>
      </c>
      <c r="T16">
        <v>1.9099027135130273E-2</v>
      </c>
      <c r="U16">
        <v>1.9099027135130273E-2</v>
      </c>
      <c r="V16">
        <v>24.889162654004483</v>
      </c>
      <c r="W16">
        <v>2.5033929819305427E-6</v>
      </c>
    </row>
    <row r="17" spans="2:26" x14ac:dyDescent="0.35">
      <c r="B17" s="112">
        <v>44690</v>
      </c>
      <c r="C17" s="34">
        <v>15782.150390999999</v>
      </c>
      <c r="D17" s="54">
        <f t="shared" si="0"/>
        <v>-3.8333436453652281E-2</v>
      </c>
      <c r="E17" s="26"/>
      <c r="F17" s="34">
        <v>3016.6640630000002</v>
      </c>
      <c r="G17" s="54">
        <f t="shared" si="1"/>
        <v>1.5830881967138888E-2</v>
      </c>
      <c r="H17" s="26"/>
      <c r="I17" s="34">
        <v>542.18237299999998</v>
      </c>
      <c r="J17" s="113">
        <f t="shared" si="2"/>
        <v>-1.5299188393993579E-2</v>
      </c>
      <c r="K17" s="26"/>
      <c r="L17" s="34">
        <v>263.01159699999999</v>
      </c>
      <c r="M17" s="113">
        <f t="shared" si="3"/>
        <v>-0.11788166926510057</v>
      </c>
      <c r="N17" s="26"/>
      <c r="O17" s="34">
        <v>1658.1872559999999</v>
      </c>
      <c r="P17" s="113">
        <f t="shared" si="4"/>
        <v>-3.6161051883437878E-2</v>
      </c>
      <c r="Q17" s="26"/>
      <c r="R17" t="s">
        <v>274</v>
      </c>
      <c r="S17">
        <v>102</v>
      </c>
      <c r="T17">
        <v>7.8271044906761969E-2</v>
      </c>
      <c r="U17">
        <v>7.6736318536041145E-4</v>
      </c>
    </row>
    <row r="18" spans="2:26" ht="15" thickBot="1" x14ac:dyDescent="0.4">
      <c r="B18" s="112">
        <v>44697</v>
      </c>
      <c r="C18" s="34">
        <v>16266.150390999999</v>
      </c>
      <c r="D18" s="54">
        <f t="shared" si="0"/>
        <v>3.0667557209187901E-2</v>
      </c>
      <c r="E18" s="26"/>
      <c r="F18" s="34">
        <v>3061.904297</v>
      </c>
      <c r="G18" s="54">
        <f t="shared" si="1"/>
        <v>1.4996775595559564E-2</v>
      </c>
      <c r="H18" s="26"/>
      <c r="I18" s="34">
        <v>520.58599900000002</v>
      </c>
      <c r="J18" s="113">
        <f t="shared" si="2"/>
        <v>-3.9832305651146593E-2</v>
      </c>
      <c r="K18" s="26"/>
      <c r="L18" s="34">
        <v>263.40798999999998</v>
      </c>
      <c r="M18" s="113">
        <f t="shared" si="3"/>
        <v>1.5071312615921872E-3</v>
      </c>
      <c r="N18" s="26"/>
      <c r="O18" s="34">
        <v>1677.311279</v>
      </c>
      <c r="P18" s="113">
        <f t="shared" si="4"/>
        <v>1.1533090084248077E-2</v>
      </c>
      <c r="Q18" s="26"/>
      <c r="R18" s="119" t="s">
        <v>12</v>
      </c>
      <c r="S18" s="119">
        <v>103</v>
      </c>
      <c r="T18" s="119">
        <v>9.7370072041892242E-2</v>
      </c>
      <c r="U18" s="119"/>
      <c r="V18" s="119"/>
      <c r="W18" s="119"/>
    </row>
    <row r="19" spans="2:26" ht="15" thickBot="1" x14ac:dyDescent="0.4">
      <c r="B19" s="112">
        <v>44704</v>
      </c>
      <c r="C19" s="34">
        <v>16352.450194999999</v>
      </c>
      <c r="D19" s="54">
        <f t="shared" si="0"/>
        <v>5.3054842064996777E-3</v>
      </c>
      <c r="E19" s="26"/>
      <c r="F19" s="34">
        <v>2791.054443</v>
      </c>
      <c r="G19" s="54">
        <f t="shared" si="1"/>
        <v>-8.8457975079552331E-2</v>
      </c>
      <c r="H19" s="26"/>
      <c r="I19" s="34">
        <v>475.08062699999999</v>
      </c>
      <c r="J19" s="113">
        <f t="shared" si="2"/>
        <v>-8.7411824535065907E-2</v>
      </c>
      <c r="K19" s="26"/>
      <c r="L19" s="34">
        <v>267.47109999999998</v>
      </c>
      <c r="M19" s="113">
        <f t="shared" si="3"/>
        <v>1.5425158515502968E-2</v>
      </c>
      <c r="N19" s="26"/>
      <c r="O19" s="34">
        <v>1633.4719239999999</v>
      </c>
      <c r="P19" s="113">
        <f t="shared" si="4"/>
        <v>-2.6136684078185368E-2</v>
      </c>
      <c r="Q19" s="26"/>
    </row>
    <row r="20" spans="2:26" x14ac:dyDescent="0.35">
      <c r="B20" s="112">
        <v>44711</v>
      </c>
      <c r="C20" s="34">
        <v>16584.300781000002</v>
      </c>
      <c r="D20" s="54">
        <f t="shared" si="0"/>
        <v>1.4178339223494207E-2</v>
      </c>
      <c r="E20" s="26"/>
      <c r="F20" s="34">
        <v>2842.2998050000001</v>
      </c>
      <c r="G20" s="54">
        <f t="shared" si="1"/>
        <v>1.8360574129438367E-2</v>
      </c>
      <c r="H20" s="26"/>
      <c r="I20" s="34">
        <v>502.87106299999999</v>
      </c>
      <c r="J20" s="113">
        <f t="shared" si="2"/>
        <v>5.8496251837269808E-2</v>
      </c>
      <c r="K20" s="26"/>
      <c r="L20" s="34">
        <v>272.756439</v>
      </c>
      <c r="M20" s="113">
        <f t="shared" si="3"/>
        <v>1.9760411498662922E-2</v>
      </c>
      <c r="N20" s="26"/>
      <c r="O20" s="34">
        <v>1687.507568</v>
      </c>
      <c r="P20" s="113">
        <f t="shared" si="4"/>
        <v>3.3080240441279773E-2</v>
      </c>
      <c r="Q20" s="26"/>
      <c r="R20" s="120"/>
      <c r="S20" s="120" t="s">
        <v>275</v>
      </c>
      <c r="T20" s="120" t="s">
        <v>265</v>
      </c>
      <c r="U20" s="120" t="s">
        <v>276</v>
      </c>
      <c r="V20" s="120" t="s">
        <v>277</v>
      </c>
      <c r="W20" s="120" t="s">
        <v>278</v>
      </c>
      <c r="X20" s="120" t="s">
        <v>279</v>
      </c>
      <c r="Y20" s="120" t="s">
        <v>280</v>
      </c>
      <c r="Z20" s="120" t="s">
        <v>281</v>
      </c>
    </row>
    <row r="21" spans="2:26" x14ac:dyDescent="0.35">
      <c r="B21" s="112">
        <v>44718</v>
      </c>
      <c r="C21" s="34">
        <v>16201.799805000001</v>
      </c>
      <c r="D21" s="54">
        <f t="shared" si="0"/>
        <v>-2.3064039964724836E-2</v>
      </c>
      <c r="E21" s="26"/>
      <c r="F21" s="34">
        <v>2666.9023440000001</v>
      </c>
      <c r="G21" s="54">
        <f t="shared" si="1"/>
        <v>-6.1709697439887079E-2</v>
      </c>
      <c r="H21" s="26"/>
      <c r="I21" s="34">
        <v>479.62292500000001</v>
      </c>
      <c r="J21" s="113">
        <f t="shared" si="2"/>
        <v>-4.6230812847546932E-2</v>
      </c>
      <c r="K21" s="26"/>
      <c r="L21" s="34">
        <v>263.67227200000002</v>
      </c>
      <c r="M21" s="113">
        <f t="shared" si="3"/>
        <v>-3.3305050591307839E-2</v>
      </c>
      <c r="N21" s="26"/>
      <c r="O21" s="34">
        <v>1678.2039789999999</v>
      </c>
      <c r="P21" s="113">
        <f t="shared" si="4"/>
        <v>-5.5132132005941692E-3</v>
      </c>
      <c r="Q21" s="26"/>
      <c r="R21" t="s">
        <v>282</v>
      </c>
      <c r="S21">
        <v>-2.1650490233142312E-3</v>
      </c>
      <c r="T21">
        <v>2.7435601025482454E-3</v>
      </c>
      <c r="U21">
        <v>-0.78913854349438617</v>
      </c>
      <c r="V21">
        <v>0.43186151891766433</v>
      </c>
      <c r="W21">
        <v>-7.606887478300968E-3</v>
      </c>
      <c r="X21">
        <v>3.2767894316725055E-3</v>
      </c>
      <c r="Y21">
        <v>-7.606887478300968E-3</v>
      </c>
      <c r="Z21">
        <v>3.2767894316725055E-3</v>
      </c>
    </row>
    <row r="22" spans="2:26" ht="15" thickBot="1" x14ac:dyDescent="0.4">
      <c r="B22" s="112">
        <v>44725</v>
      </c>
      <c r="C22" s="34">
        <v>15293.5</v>
      </c>
      <c r="D22" s="54">
        <f t="shared" si="0"/>
        <v>-5.606166079892505E-2</v>
      </c>
      <c r="E22" s="26"/>
      <c r="F22" s="34">
        <v>2554.9777829999998</v>
      </c>
      <c r="G22" s="54">
        <f t="shared" si="1"/>
        <v>-4.1968001285014545E-2</v>
      </c>
      <c r="H22" s="26"/>
      <c r="I22" s="34">
        <v>463.10552999999999</v>
      </c>
      <c r="J22" s="113">
        <f t="shared" si="2"/>
        <v>-3.4438293373904139E-2</v>
      </c>
      <c r="K22" s="26"/>
      <c r="L22" s="34">
        <v>245.60995500000001</v>
      </c>
      <c r="M22" s="113">
        <f t="shared" si="3"/>
        <v>-6.8502906517223794E-2</v>
      </c>
      <c r="N22" s="26"/>
      <c r="O22" s="34">
        <v>1599.0771480000001</v>
      </c>
      <c r="P22" s="113">
        <f t="shared" si="4"/>
        <v>-4.7149710041296311E-2</v>
      </c>
      <c r="Q22" s="26"/>
      <c r="R22" s="119" t="s">
        <v>283</v>
      </c>
      <c r="S22" s="119">
        <v>0.8032614491560276</v>
      </c>
      <c r="T22" s="119">
        <v>0.16100960385193108</v>
      </c>
      <c r="U22" s="119">
        <v>4.9889039531749253</v>
      </c>
      <c r="V22" s="119">
        <v>2.5033929819306358E-6</v>
      </c>
      <c r="W22" s="119">
        <v>0.48389966333263451</v>
      </c>
      <c r="X22" s="119">
        <v>1.1226232349794207</v>
      </c>
      <c r="Y22" s="119">
        <v>0.48389966333263451</v>
      </c>
      <c r="Z22" s="119">
        <v>1.1226232349794207</v>
      </c>
    </row>
    <row r="23" spans="2:26" x14ac:dyDescent="0.35">
      <c r="B23" s="112">
        <v>44732</v>
      </c>
      <c r="C23" s="34">
        <v>15699.25</v>
      </c>
      <c r="D23" s="54">
        <f t="shared" si="0"/>
        <v>2.6530879131657192E-2</v>
      </c>
      <c r="E23" s="26"/>
      <c r="F23" s="34">
        <v>2733.9111330000001</v>
      </c>
      <c r="G23" s="54">
        <f t="shared" si="1"/>
        <v>7.0033231283091801E-2</v>
      </c>
      <c r="H23" s="26"/>
      <c r="I23" s="34">
        <v>490.64825400000001</v>
      </c>
      <c r="J23" s="113">
        <f t="shared" si="2"/>
        <v>5.9473969140467986E-2</v>
      </c>
      <c r="K23" s="26"/>
      <c r="L23" s="34">
        <v>247.166336</v>
      </c>
      <c r="M23" s="113">
        <f t="shared" si="3"/>
        <v>6.3367993369811693E-3</v>
      </c>
      <c r="N23" s="26"/>
      <c r="O23" s="34">
        <v>1673.5992429999999</v>
      </c>
      <c r="P23" s="113">
        <f t="shared" si="4"/>
        <v>4.6603189279020185E-2</v>
      </c>
      <c r="Q23" s="26"/>
    </row>
    <row r="24" spans="2:26" x14ac:dyDescent="0.35">
      <c r="B24" s="112">
        <v>44739</v>
      </c>
      <c r="C24" s="34">
        <v>15752.049805000001</v>
      </c>
      <c r="D24" s="54">
        <f t="shared" si="0"/>
        <v>3.3632055671448668E-3</v>
      </c>
      <c r="E24" s="26"/>
      <c r="F24" s="34">
        <v>2746.04126</v>
      </c>
      <c r="G24" s="54">
        <f t="shared" si="1"/>
        <v>4.4369134217940864E-3</v>
      </c>
      <c r="H24" s="26"/>
      <c r="I24" s="34">
        <v>480.86172499999998</v>
      </c>
      <c r="J24" s="113">
        <f t="shared" si="2"/>
        <v>-1.9946120097678044E-2</v>
      </c>
      <c r="K24" s="26"/>
      <c r="L24" s="34">
        <v>246.66961699999999</v>
      </c>
      <c r="M24" s="113">
        <f t="shared" si="3"/>
        <v>-2.0096547452158608E-3</v>
      </c>
      <c r="N24" s="26"/>
      <c r="O24" s="34">
        <v>1764.1911620000001</v>
      </c>
      <c r="P24" s="113">
        <f t="shared" si="4"/>
        <v>5.4129995205787873E-2</v>
      </c>
      <c r="Q24" s="26"/>
      <c r="R24" s="188" t="s">
        <v>244</v>
      </c>
      <c r="S24" s="188"/>
    </row>
    <row r="25" spans="2:26" x14ac:dyDescent="0.35">
      <c r="B25" s="112">
        <v>44746</v>
      </c>
      <c r="C25" s="34">
        <v>16220.599609000001</v>
      </c>
      <c r="D25" s="54">
        <f t="shared" si="0"/>
        <v>2.9745322659611828E-2</v>
      </c>
      <c r="E25" s="26"/>
      <c r="F25" s="34">
        <v>2851.6489259999998</v>
      </c>
      <c r="G25" s="54">
        <f t="shared" si="1"/>
        <v>3.8458149751180226E-2</v>
      </c>
      <c r="H25" s="26"/>
      <c r="I25" s="34">
        <v>483.33932499999997</v>
      </c>
      <c r="J25" s="113">
        <f t="shared" si="2"/>
        <v>5.1524167368488527E-3</v>
      </c>
      <c r="K25" s="26"/>
      <c r="L25" s="34">
        <v>258.85574300000002</v>
      </c>
      <c r="M25" s="113">
        <f t="shared" si="3"/>
        <v>4.940262261809103E-2</v>
      </c>
      <c r="N25" s="26"/>
      <c r="O25" s="34">
        <v>1782.0463870000001</v>
      </c>
      <c r="P25" s="113">
        <f t="shared" si="4"/>
        <v>1.0120912849239216E-2</v>
      </c>
      <c r="Q25" s="26"/>
      <c r="R25" s="102"/>
      <c r="S25" s="102"/>
    </row>
    <row r="26" spans="2:26" x14ac:dyDescent="0.35">
      <c r="B26" s="112">
        <v>44753</v>
      </c>
      <c r="C26" s="34">
        <v>16049.200194999999</v>
      </c>
      <c r="D26" s="54">
        <f t="shared" si="0"/>
        <v>-1.0566774233481513E-2</v>
      </c>
      <c r="E26" s="26"/>
      <c r="F26" s="34">
        <v>2949.0373540000001</v>
      </c>
      <c r="G26" s="54">
        <f t="shared" si="1"/>
        <v>3.4151619125362132E-2</v>
      </c>
      <c r="H26" s="26"/>
      <c r="I26" s="34">
        <v>473.75921599999998</v>
      </c>
      <c r="J26" s="113">
        <f t="shared" si="2"/>
        <v>-1.9820669464459595E-2</v>
      </c>
      <c r="K26" s="26"/>
      <c r="L26" s="34">
        <v>259.286224</v>
      </c>
      <c r="M26" s="113">
        <f t="shared" si="3"/>
        <v>1.6630150639538321E-3</v>
      </c>
      <c r="N26" s="26"/>
      <c r="O26" s="34">
        <v>1804.459351</v>
      </c>
      <c r="P26" s="113">
        <f t="shared" si="4"/>
        <v>1.2577093482808444E-2</v>
      </c>
      <c r="Q26" s="26"/>
      <c r="R26" t="s">
        <v>255</v>
      </c>
    </row>
    <row r="27" spans="2:26" ht="15" thickBot="1" x14ac:dyDescent="0.4">
      <c r="B27" s="112">
        <v>44760</v>
      </c>
      <c r="C27" s="34">
        <v>16719.449218999998</v>
      </c>
      <c r="D27" s="54">
        <f t="shared" si="0"/>
        <v>4.1762144895470144E-2</v>
      </c>
      <c r="E27" s="26"/>
      <c r="F27" s="34">
        <v>3037.415039</v>
      </c>
      <c r="G27" s="54">
        <f t="shared" si="1"/>
        <v>2.9968316569515929E-2</v>
      </c>
      <c r="H27" s="26"/>
      <c r="I27" s="34">
        <v>486.76663200000002</v>
      </c>
      <c r="J27" s="113">
        <f t="shared" si="2"/>
        <v>2.7455752966291769E-2</v>
      </c>
      <c r="K27" s="26"/>
      <c r="L27" s="34">
        <v>266.33963</v>
      </c>
      <c r="M27" s="113">
        <f t="shared" si="3"/>
        <v>2.7203165255705875E-2</v>
      </c>
      <c r="N27" s="26"/>
      <c r="O27" s="34">
        <v>1808.7822269999999</v>
      </c>
      <c r="P27" s="113">
        <f t="shared" si="4"/>
        <v>2.3956627216923376E-3</v>
      </c>
      <c r="Q27" s="26"/>
    </row>
    <row r="28" spans="2:26" x14ac:dyDescent="0.35">
      <c r="B28" s="112">
        <v>44767</v>
      </c>
      <c r="C28" s="34">
        <v>17158.25</v>
      </c>
      <c r="D28" s="54">
        <f t="shared" si="0"/>
        <v>2.6244930395275645E-2</v>
      </c>
      <c r="E28" s="26"/>
      <c r="F28" s="34">
        <v>3301.1613769999999</v>
      </c>
      <c r="G28" s="54">
        <f t="shared" si="1"/>
        <v>8.6832498889197751E-2</v>
      </c>
      <c r="H28" s="26"/>
      <c r="I28" s="34">
        <v>515.91973900000005</v>
      </c>
      <c r="J28" s="113">
        <f t="shared" si="2"/>
        <v>5.989134234657234E-2</v>
      </c>
      <c r="K28" s="26"/>
      <c r="L28" s="34">
        <v>264.91568000000001</v>
      </c>
      <c r="M28" s="113">
        <f t="shared" si="3"/>
        <v>-5.3463692203822299E-3</v>
      </c>
      <c r="N28" s="26"/>
      <c r="O28" s="34">
        <v>1827.812134</v>
      </c>
      <c r="P28" s="113">
        <f t="shared" si="4"/>
        <v>1.0520839223173262E-2</v>
      </c>
      <c r="Q28" s="26"/>
      <c r="R28" s="121" t="s">
        <v>257</v>
      </c>
      <c r="S28" s="121"/>
    </row>
    <row r="29" spans="2:26" x14ac:dyDescent="0.35">
      <c r="B29" s="112">
        <v>44774</v>
      </c>
      <c r="C29" s="34">
        <v>17397.5</v>
      </c>
      <c r="D29" s="54">
        <f t="shared" si="0"/>
        <v>1.3943729692713402E-2</v>
      </c>
      <c r="E29" s="26"/>
      <c r="F29" s="34">
        <v>3439.9414059999999</v>
      </c>
      <c r="G29" s="54">
        <f t="shared" si="1"/>
        <v>4.2039759088093875E-2</v>
      </c>
      <c r="H29" s="26"/>
      <c r="I29" s="34">
        <v>556.42858899999999</v>
      </c>
      <c r="J29" s="113">
        <f t="shared" si="2"/>
        <v>7.851773626362446E-2</v>
      </c>
      <c r="K29" s="26"/>
      <c r="L29" s="34">
        <v>332.104919</v>
      </c>
      <c r="M29" s="113">
        <f t="shared" si="3"/>
        <v>0.25362499871657262</v>
      </c>
      <c r="N29" s="26"/>
      <c r="O29" s="34">
        <v>1824.2163089999999</v>
      </c>
      <c r="P29" s="113">
        <f t="shared" si="4"/>
        <v>-1.9672836902175916E-3</v>
      </c>
      <c r="Q29" s="26"/>
      <c r="R29" t="s">
        <v>259</v>
      </c>
      <c r="S29">
        <v>0.39570373007180154</v>
      </c>
    </row>
    <row r="30" spans="2:26" x14ac:dyDescent="0.35">
      <c r="B30" s="112">
        <v>44781</v>
      </c>
      <c r="C30" s="34">
        <v>17698.150390999999</v>
      </c>
      <c r="D30" s="54">
        <f t="shared" si="0"/>
        <v>1.7281241040379314E-2</v>
      </c>
      <c r="E30" s="26"/>
      <c r="F30" s="34">
        <v>3394.3415530000002</v>
      </c>
      <c r="G30" s="54">
        <f t="shared" si="1"/>
        <v>-1.3255997012176945E-2</v>
      </c>
      <c r="H30" s="26"/>
      <c r="I30" s="34">
        <v>558.61718800000006</v>
      </c>
      <c r="J30" s="113">
        <f t="shared" si="2"/>
        <v>3.9332971800269956E-3</v>
      </c>
      <c r="K30" s="26"/>
      <c r="L30" s="34">
        <v>327.336456</v>
      </c>
      <c r="M30" s="113">
        <f t="shared" si="3"/>
        <v>-1.4358302835014602E-2</v>
      </c>
      <c r="N30" s="26"/>
      <c r="O30" s="34">
        <v>1834.5006100000001</v>
      </c>
      <c r="P30" s="113">
        <f t="shared" si="4"/>
        <v>5.637654344641696E-3</v>
      </c>
      <c r="Q30" s="26"/>
      <c r="R30" t="s">
        <v>260</v>
      </c>
      <c r="S30">
        <v>0.15658144199273719</v>
      </c>
    </row>
    <row r="31" spans="2:26" x14ac:dyDescent="0.35">
      <c r="B31" s="112">
        <v>44788</v>
      </c>
      <c r="C31" s="34">
        <v>17758.449218999998</v>
      </c>
      <c r="D31" s="54">
        <f t="shared" si="0"/>
        <v>3.4070694771959342E-3</v>
      </c>
      <c r="E31" s="26"/>
      <c r="F31" s="34">
        <v>3448.5070799999999</v>
      </c>
      <c r="G31" s="54">
        <f t="shared" si="1"/>
        <v>1.5957594765950045E-2</v>
      </c>
      <c r="H31" s="26"/>
      <c r="I31" s="34">
        <v>575.71270800000002</v>
      </c>
      <c r="J31" s="113">
        <f t="shared" si="2"/>
        <v>3.0603283191493746E-2</v>
      </c>
      <c r="K31" s="26"/>
      <c r="L31" s="34">
        <v>334.919647</v>
      </c>
      <c r="M31" s="113">
        <f t="shared" si="3"/>
        <v>2.3166350282719517E-2</v>
      </c>
      <c r="N31" s="26"/>
      <c r="O31" s="34">
        <v>1815.8930660000001</v>
      </c>
      <c r="P31" s="113">
        <f t="shared" si="4"/>
        <v>-1.0143111372418634E-2</v>
      </c>
      <c r="Q31" s="26"/>
      <c r="R31" t="s">
        <v>264</v>
      </c>
      <c r="S31">
        <v>0.14831263260050911</v>
      </c>
    </row>
    <row r="32" spans="2:26" x14ac:dyDescent="0.35">
      <c r="B32" s="112">
        <v>44795</v>
      </c>
      <c r="C32" s="34">
        <v>17558.900390999999</v>
      </c>
      <c r="D32" s="54">
        <f t="shared" si="0"/>
        <v>-1.1236838619134604E-2</v>
      </c>
      <c r="E32" s="26"/>
      <c r="F32" s="34">
        <v>3291.0610350000002</v>
      </c>
      <c r="G32" s="54">
        <f t="shared" si="1"/>
        <v>-4.5656291649544656E-2</v>
      </c>
      <c r="H32" s="26"/>
      <c r="I32" s="34">
        <v>547.604736</v>
      </c>
      <c r="J32" s="113">
        <f t="shared" si="2"/>
        <v>-4.8822913945474333E-2</v>
      </c>
      <c r="K32" s="26"/>
      <c r="L32" s="34">
        <v>326.44235200000003</v>
      </c>
      <c r="M32" s="113">
        <f t="shared" si="3"/>
        <v>-2.5311429400855623E-2</v>
      </c>
      <c r="N32" s="26"/>
      <c r="O32" s="34">
        <v>1855.021606</v>
      </c>
      <c r="P32" s="113">
        <f t="shared" si="4"/>
        <v>2.1547821693152391E-2</v>
      </c>
      <c r="Q32" s="26"/>
      <c r="R32" t="s">
        <v>265</v>
      </c>
      <c r="S32">
        <v>3.2392920000229496E-2</v>
      </c>
    </row>
    <row r="33" spans="2:26" ht="15" thickBot="1" x14ac:dyDescent="0.4">
      <c r="B33" s="112">
        <v>44802</v>
      </c>
      <c r="C33" s="34">
        <v>17539.449218999998</v>
      </c>
      <c r="D33" s="54">
        <f t="shared" si="0"/>
        <v>-1.1077670905844661E-3</v>
      </c>
      <c r="E33" s="26"/>
      <c r="F33" s="34">
        <v>3397.5104980000001</v>
      </c>
      <c r="G33" s="54">
        <f t="shared" si="1"/>
        <v>3.2345028508412366E-2</v>
      </c>
      <c r="H33" s="26"/>
      <c r="I33" s="34">
        <v>554.24084500000004</v>
      </c>
      <c r="J33" s="113">
        <f t="shared" si="2"/>
        <v>1.211842879313596E-2</v>
      </c>
      <c r="K33" s="26"/>
      <c r="L33" s="34">
        <v>330.94592299999999</v>
      </c>
      <c r="M33" s="113">
        <f t="shared" si="3"/>
        <v>1.3795915181985752E-2</v>
      </c>
      <c r="N33" s="26"/>
      <c r="O33" s="34">
        <v>1856.3131100000001</v>
      </c>
      <c r="P33" s="113">
        <f t="shared" si="4"/>
        <v>6.9622046224293577E-4</v>
      </c>
      <c r="Q33" s="26"/>
      <c r="R33" s="119" t="s">
        <v>266</v>
      </c>
      <c r="S33" s="119">
        <v>104</v>
      </c>
    </row>
    <row r="34" spans="2:26" x14ac:dyDescent="0.35">
      <c r="B34" s="112">
        <v>44809</v>
      </c>
      <c r="C34" s="34">
        <v>17833.349609000001</v>
      </c>
      <c r="D34" s="54">
        <f t="shared" si="0"/>
        <v>1.6756534730955508E-2</v>
      </c>
      <c r="E34" s="26"/>
      <c r="F34" s="34">
        <v>3408.2048340000001</v>
      </c>
      <c r="G34" s="54">
        <f t="shared" si="1"/>
        <v>3.1476977058040312E-3</v>
      </c>
      <c r="H34" s="26"/>
      <c r="I34" s="34">
        <v>550.79834000000005</v>
      </c>
      <c r="J34" s="113">
        <f t="shared" si="2"/>
        <v>-6.2112076925691095E-3</v>
      </c>
      <c r="K34" s="26"/>
      <c r="L34" s="34">
        <v>340.01928700000002</v>
      </c>
      <c r="M34" s="113">
        <f t="shared" si="3"/>
        <v>2.7416454983795191E-2</v>
      </c>
      <c r="N34" s="26"/>
      <c r="O34" s="34">
        <v>1931.8917240000001</v>
      </c>
      <c r="P34" s="113">
        <f t="shared" si="4"/>
        <v>4.0714367416173625E-2</v>
      </c>
      <c r="Q34" s="26"/>
    </row>
    <row r="35" spans="2:26" ht="15" thickBot="1" x14ac:dyDescent="0.4">
      <c r="B35" s="112">
        <v>44816</v>
      </c>
      <c r="C35" s="34">
        <v>17530.849609000001</v>
      </c>
      <c r="D35" s="54">
        <f t="shared" si="0"/>
        <v>-1.6962601341440453E-2</v>
      </c>
      <c r="E35" s="26"/>
      <c r="F35" s="34">
        <v>3290.0710450000001</v>
      </c>
      <c r="G35" s="54">
        <f t="shared" si="1"/>
        <v>-3.4661587185578213E-2</v>
      </c>
      <c r="H35" s="26"/>
      <c r="I35" s="34">
        <v>530.06048599999997</v>
      </c>
      <c r="J35" s="113">
        <f t="shared" si="2"/>
        <v>-3.7650538307722692E-2</v>
      </c>
      <c r="K35" s="26"/>
      <c r="L35" s="34">
        <v>317.832581</v>
      </c>
      <c r="M35" s="113">
        <f t="shared" si="3"/>
        <v>-6.5251316170191309E-2</v>
      </c>
      <c r="N35" s="26"/>
      <c r="O35" s="34">
        <v>2040.140991</v>
      </c>
      <c r="P35" s="113">
        <f t="shared" si="4"/>
        <v>5.6032781576323965E-2</v>
      </c>
      <c r="Q35" s="26"/>
      <c r="R35" t="s">
        <v>267</v>
      </c>
    </row>
    <row r="36" spans="2:26" x14ac:dyDescent="0.35">
      <c r="B36" s="112">
        <v>44823</v>
      </c>
      <c r="C36" s="34">
        <v>17327.349609000001</v>
      </c>
      <c r="D36" s="54">
        <f t="shared" si="0"/>
        <v>-1.1608108251383698E-2</v>
      </c>
      <c r="E36" s="26"/>
      <c r="F36" s="34">
        <v>3362.060547</v>
      </c>
      <c r="G36" s="54">
        <f t="shared" si="1"/>
        <v>2.1880835099109541E-2</v>
      </c>
      <c r="H36" s="26"/>
      <c r="I36" s="34">
        <v>525.66400099999998</v>
      </c>
      <c r="J36" s="113">
        <f t="shared" si="2"/>
        <v>-8.2943081329778234E-3</v>
      </c>
      <c r="K36" s="26"/>
      <c r="L36" s="34">
        <v>317.30276500000002</v>
      </c>
      <c r="M36" s="113">
        <f t="shared" si="3"/>
        <v>-1.6669656658011567E-3</v>
      </c>
      <c r="N36" s="26"/>
      <c r="O36" s="34">
        <v>2063.2451169999999</v>
      </c>
      <c r="P36" s="113">
        <f t="shared" si="4"/>
        <v>1.1324769269341228E-2</v>
      </c>
      <c r="Q36" s="26"/>
      <c r="R36" s="120"/>
      <c r="S36" s="120" t="s">
        <v>268</v>
      </c>
      <c r="T36" s="120" t="s">
        <v>269</v>
      </c>
      <c r="U36" s="120" t="s">
        <v>270</v>
      </c>
      <c r="V36" s="120" t="s">
        <v>271</v>
      </c>
      <c r="W36" s="120" t="s">
        <v>272</v>
      </c>
    </row>
    <row r="37" spans="2:26" x14ac:dyDescent="0.35">
      <c r="B37" s="112">
        <v>44830</v>
      </c>
      <c r="C37" s="34">
        <v>17094.349609000001</v>
      </c>
      <c r="D37" s="54">
        <f t="shared" si="0"/>
        <v>-1.3446949779265527E-2</v>
      </c>
      <c r="E37" s="26"/>
      <c r="F37" s="34">
        <v>3309.7763669999999</v>
      </c>
      <c r="G37" s="54">
        <f t="shared" si="1"/>
        <v>-1.5551230939803817E-2</v>
      </c>
      <c r="H37" s="26"/>
      <c r="I37" s="34">
        <v>511.81115699999998</v>
      </c>
      <c r="J37" s="113">
        <f t="shared" si="2"/>
        <v>-2.6353039153617086E-2</v>
      </c>
      <c r="K37" s="26"/>
      <c r="L37" s="34">
        <v>324.289917</v>
      </c>
      <c r="M37" s="113">
        <f t="shared" si="3"/>
        <v>2.2020457338277399E-2</v>
      </c>
      <c r="N37" s="26"/>
      <c r="O37" s="34">
        <v>2110.1228030000002</v>
      </c>
      <c r="P37" s="113">
        <f t="shared" si="4"/>
        <v>2.2720366869527053E-2</v>
      </c>
      <c r="Q37" s="26"/>
      <c r="R37" t="s">
        <v>273</v>
      </c>
      <c r="S37">
        <v>1</v>
      </c>
      <c r="T37">
        <v>1.9869983397081667E-2</v>
      </c>
      <c r="U37">
        <v>1.9869983397081667E-2</v>
      </c>
      <c r="V37">
        <v>18.936395140503492</v>
      </c>
      <c r="W37">
        <v>3.215389348489689E-5</v>
      </c>
    </row>
    <row r="38" spans="2:26" x14ac:dyDescent="0.35">
      <c r="B38" s="112">
        <v>44837</v>
      </c>
      <c r="C38" s="34">
        <v>17314.650390999999</v>
      </c>
      <c r="D38" s="54">
        <f t="shared" si="0"/>
        <v>1.2887345060733635E-2</v>
      </c>
      <c r="E38" s="26"/>
      <c r="F38" s="34">
        <v>3311.0141600000002</v>
      </c>
      <c r="G38" s="54">
        <f t="shared" si="1"/>
        <v>3.739808563325564E-4</v>
      </c>
      <c r="H38" s="26"/>
      <c r="I38" s="34">
        <v>519.19378700000004</v>
      </c>
      <c r="J38" s="113">
        <f t="shared" si="2"/>
        <v>1.4424519471739616E-2</v>
      </c>
      <c r="K38" s="26"/>
      <c r="L38" s="34">
        <v>314.98477200000002</v>
      </c>
      <c r="M38" s="113">
        <f t="shared" si="3"/>
        <v>-2.8693907865164903E-2</v>
      </c>
      <c r="N38" s="26"/>
      <c r="O38" s="34">
        <v>2128.0131839999999</v>
      </c>
      <c r="P38" s="113">
        <f t="shared" si="4"/>
        <v>8.4783601099256423E-3</v>
      </c>
      <c r="Q38" s="26"/>
      <c r="R38" t="s">
        <v>274</v>
      </c>
      <c r="S38">
        <v>102</v>
      </c>
      <c r="T38">
        <v>0.10702872914640933</v>
      </c>
      <c r="U38">
        <v>1.049301266141268E-3</v>
      </c>
    </row>
    <row r="39" spans="2:26" ht="15" thickBot="1" x14ac:dyDescent="0.4">
      <c r="B39" s="112">
        <v>44844</v>
      </c>
      <c r="C39" s="34">
        <v>17185.699218999998</v>
      </c>
      <c r="D39" s="54">
        <f t="shared" si="0"/>
        <v>-7.4475180894804094E-3</v>
      </c>
      <c r="E39" s="26"/>
      <c r="F39" s="34">
        <v>3154.360596</v>
      </c>
      <c r="G39" s="54">
        <f t="shared" si="1"/>
        <v>-4.7312864406475419E-2</v>
      </c>
      <c r="H39" s="26"/>
      <c r="I39" s="34">
        <v>507.995361</v>
      </c>
      <c r="J39" s="113">
        <f t="shared" si="2"/>
        <v>-2.1568875206898541E-2</v>
      </c>
      <c r="K39" s="26"/>
      <c r="L39" s="34">
        <v>318.79290800000001</v>
      </c>
      <c r="M39" s="113">
        <f t="shared" si="3"/>
        <v>1.2089905095475473E-2</v>
      </c>
      <c r="N39" s="26"/>
      <c r="O39" s="34">
        <v>1957.483154</v>
      </c>
      <c r="P39" s="113">
        <f t="shared" si="4"/>
        <v>-8.0135795812813826E-2</v>
      </c>
      <c r="Q39" s="26"/>
      <c r="R39" s="119" t="s">
        <v>12</v>
      </c>
      <c r="S39" s="119">
        <v>103</v>
      </c>
      <c r="T39" s="119">
        <v>0.126898712543491</v>
      </c>
      <c r="U39" s="119"/>
      <c r="V39" s="119"/>
      <c r="W39" s="119"/>
    </row>
    <row r="40" spans="2:26" ht="15" thickBot="1" x14ac:dyDescent="0.4">
      <c r="B40" s="112">
        <v>44851</v>
      </c>
      <c r="C40" s="34">
        <v>17576.300781000002</v>
      </c>
      <c r="D40" s="54">
        <f t="shared" si="0"/>
        <v>2.2728290366455628E-2</v>
      </c>
      <c r="E40" s="26"/>
      <c r="F40" s="34">
        <v>3062.170654</v>
      </c>
      <c r="G40" s="54">
        <f t="shared" si="1"/>
        <v>-2.9226189966012339E-2</v>
      </c>
      <c r="H40" s="26"/>
      <c r="I40" s="34">
        <v>485.55694599999998</v>
      </c>
      <c r="J40" s="113">
        <f t="shared" si="2"/>
        <v>-4.4170511627959597E-2</v>
      </c>
      <c r="K40" s="26"/>
      <c r="L40" s="34">
        <v>317.36901899999998</v>
      </c>
      <c r="M40" s="113">
        <f t="shared" si="3"/>
        <v>-4.4665014944436088E-3</v>
      </c>
      <c r="N40" s="26"/>
      <c r="O40" s="34">
        <v>2045.833374</v>
      </c>
      <c r="P40" s="113">
        <f t="shared" si="4"/>
        <v>4.5134600427830796E-2</v>
      </c>
      <c r="Q40" s="26"/>
    </row>
    <row r="41" spans="2:26" x14ac:dyDescent="0.35">
      <c r="B41" s="112">
        <v>44858</v>
      </c>
      <c r="C41" s="34">
        <v>17786.800781000002</v>
      </c>
      <c r="D41" s="54">
        <f t="shared" si="0"/>
        <v>1.197635399068453E-2</v>
      </c>
      <c r="E41" s="26"/>
      <c r="F41" s="34">
        <v>3023.5517580000001</v>
      </c>
      <c r="G41" s="54">
        <f t="shared" si="1"/>
        <v>-1.2611608026990129E-2</v>
      </c>
      <c r="H41" s="26"/>
      <c r="I41" s="34">
        <v>476.84704599999998</v>
      </c>
      <c r="J41" s="113">
        <f t="shared" si="2"/>
        <v>-1.7937957785903014E-2</v>
      </c>
      <c r="K41" s="26"/>
      <c r="L41" s="34">
        <v>315.38214099999999</v>
      </c>
      <c r="M41" s="113">
        <f t="shared" si="3"/>
        <v>-6.2604661483987023E-3</v>
      </c>
      <c r="N41" s="26"/>
      <c r="O41" s="34">
        <v>2038.514893</v>
      </c>
      <c r="P41" s="113">
        <f t="shared" si="4"/>
        <v>-3.5772615174866074E-3</v>
      </c>
      <c r="Q41" s="26"/>
      <c r="R41" s="120"/>
      <c r="S41" s="120" t="s">
        <v>275</v>
      </c>
      <c r="T41" s="120" t="s">
        <v>265</v>
      </c>
      <c r="U41" s="120" t="s">
        <v>276</v>
      </c>
      <c r="V41" s="120" t="s">
        <v>277</v>
      </c>
      <c r="W41" s="120" t="s">
        <v>278</v>
      </c>
      <c r="X41" s="120" t="s">
        <v>279</v>
      </c>
      <c r="Y41" s="120" t="s">
        <v>280</v>
      </c>
      <c r="Z41" s="120" t="s">
        <v>281</v>
      </c>
    </row>
    <row r="42" spans="2:26" x14ac:dyDescent="0.35">
      <c r="B42" s="112">
        <v>44865</v>
      </c>
      <c r="C42" s="34">
        <v>18117.150390999999</v>
      </c>
      <c r="D42" s="54">
        <f t="shared" si="0"/>
        <v>1.8572739081492262E-2</v>
      </c>
      <c r="E42" s="26"/>
      <c r="F42" s="34">
        <v>3150.2514649999998</v>
      </c>
      <c r="G42" s="54">
        <f t="shared" si="1"/>
        <v>4.1904262648974289E-2</v>
      </c>
      <c r="H42" s="26"/>
      <c r="I42" s="34">
        <v>501.234802</v>
      </c>
      <c r="J42" s="113">
        <f t="shared" si="2"/>
        <v>5.1143770742788641E-2</v>
      </c>
      <c r="K42" s="26"/>
      <c r="L42" s="34">
        <v>296.70556599999998</v>
      </c>
      <c r="M42" s="113">
        <f t="shared" si="3"/>
        <v>-5.9218873144754269E-2</v>
      </c>
      <c r="N42" s="26"/>
      <c r="O42" s="34">
        <v>2014.0234379999999</v>
      </c>
      <c r="P42" s="113">
        <f t="shared" si="4"/>
        <v>-1.2014361574742782E-2</v>
      </c>
      <c r="Q42" s="26"/>
      <c r="R42" t="s">
        <v>282</v>
      </c>
      <c r="S42">
        <v>-1.5847610167998157E-3</v>
      </c>
      <c r="T42">
        <v>3.2082196695672098E-3</v>
      </c>
      <c r="U42">
        <v>-0.49396898592470778</v>
      </c>
      <c r="V42">
        <v>0.62239015957888244</v>
      </c>
      <c r="W42">
        <v>-7.94824951981455E-3</v>
      </c>
      <c r="X42">
        <v>4.7787274862149181E-3</v>
      </c>
      <c r="Y42">
        <v>-7.94824951981455E-3</v>
      </c>
      <c r="Z42">
        <v>4.7787274862149181E-3</v>
      </c>
    </row>
    <row r="43" spans="2:26" ht="15" thickBot="1" x14ac:dyDescent="0.4">
      <c r="B43" s="112">
        <v>44872</v>
      </c>
      <c r="C43" s="34">
        <v>18349.699218999998</v>
      </c>
      <c r="D43" s="54">
        <f t="shared" si="0"/>
        <v>1.2835839134808014E-2</v>
      </c>
      <c r="E43" s="26"/>
      <c r="F43" s="34">
        <v>3029.8984380000002</v>
      </c>
      <c r="G43" s="54">
        <f t="shared" si="1"/>
        <v>-3.8204260306565652E-2</v>
      </c>
      <c r="H43" s="26"/>
      <c r="I43" s="34">
        <v>496.13326999999998</v>
      </c>
      <c r="J43" s="113">
        <f t="shared" si="2"/>
        <v>-1.0177928546948767E-2</v>
      </c>
      <c r="K43" s="26"/>
      <c r="L43" s="34">
        <v>296.37445100000002</v>
      </c>
      <c r="M43" s="113">
        <f t="shared" si="3"/>
        <v>-1.1159716498205796E-3</v>
      </c>
      <c r="N43" s="26"/>
      <c r="O43" s="34">
        <v>2172.881836</v>
      </c>
      <c r="P43" s="113">
        <f t="shared" si="4"/>
        <v>7.8876141658883681E-2</v>
      </c>
      <c r="Q43" s="26"/>
      <c r="R43" s="119" t="s">
        <v>283</v>
      </c>
      <c r="S43" s="119">
        <v>0.81931339203399256</v>
      </c>
      <c r="T43" s="119">
        <v>0.18827879060757924</v>
      </c>
      <c r="U43" s="119">
        <v>4.3515968494913988</v>
      </c>
      <c r="V43" s="119">
        <v>3.2153893484897128E-5</v>
      </c>
      <c r="W43" s="119">
        <v>0.44586330357590565</v>
      </c>
      <c r="X43" s="119">
        <v>1.1927634804920795</v>
      </c>
      <c r="Y43" s="119">
        <v>0.44586330357590565</v>
      </c>
      <c r="Z43" s="119">
        <v>1.1927634804920795</v>
      </c>
    </row>
    <row r="44" spans="2:26" x14ac:dyDescent="0.35">
      <c r="B44" s="112">
        <v>44879</v>
      </c>
      <c r="C44" s="34">
        <v>18307.650390999999</v>
      </c>
      <c r="D44" s="54">
        <f t="shared" si="0"/>
        <v>-2.2915268254892762E-3</v>
      </c>
      <c r="E44" s="26"/>
      <c r="F44" s="34">
        <v>3069.663818</v>
      </c>
      <c r="G44" s="54">
        <f t="shared" si="1"/>
        <v>1.3124327700650085E-2</v>
      </c>
      <c r="H44" s="26"/>
      <c r="I44" s="34">
        <v>500.65414399999997</v>
      </c>
      <c r="J44" s="113">
        <f t="shared" si="2"/>
        <v>9.1122169654134222E-3</v>
      </c>
      <c r="K44" s="26"/>
      <c r="L44" s="34">
        <v>287.49975599999999</v>
      </c>
      <c r="M44" s="113">
        <f t="shared" si="3"/>
        <v>-2.994419718047836E-2</v>
      </c>
      <c r="N44" s="26"/>
      <c r="O44" s="34">
        <v>2238.6064449999999</v>
      </c>
      <c r="P44" s="113">
        <f t="shared" si="4"/>
        <v>3.0247668285998675E-2</v>
      </c>
      <c r="Q44" s="26"/>
    </row>
    <row r="45" spans="2:26" x14ac:dyDescent="0.35">
      <c r="B45" s="112">
        <v>44886</v>
      </c>
      <c r="C45" s="34">
        <v>18512.75</v>
      </c>
      <c r="D45" s="54">
        <f t="shared" si="0"/>
        <v>1.1202945469224623E-2</v>
      </c>
      <c r="E45" s="26"/>
      <c r="F45" s="34">
        <v>3082.2082519999999</v>
      </c>
      <c r="G45" s="54">
        <f t="shared" si="1"/>
        <v>4.0865823568174697E-3</v>
      </c>
      <c r="H45" s="26"/>
      <c r="I45" s="34">
        <v>511.56228599999997</v>
      </c>
      <c r="J45" s="113">
        <f t="shared" si="2"/>
        <v>2.1787779309782263E-2</v>
      </c>
      <c r="K45" s="26"/>
      <c r="L45" s="34">
        <v>288.29452500000002</v>
      </c>
      <c r="M45" s="113">
        <f t="shared" si="3"/>
        <v>2.7644162591915489E-3</v>
      </c>
      <c r="N45" s="26"/>
      <c r="O45" s="34">
        <v>2209.9536130000001</v>
      </c>
      <c r="P45" s="113">
        <f t="shared" si="4"/>
        <v>-1.2799405658818097E-2</v>
      </c>
      <c r="Q45" s="26"/>
      <c r="R45" s="188" t="s">
        <v>284</v>
      </c>
      <c r="S45" s="188"/>
    </row>
    <row r="46" spans="2:26" x14ac:dyDescent="0.35">
      <c r="B46" s="112">
        <v>44893</v>
      </c>
      <c r="C46" s="34">
        <v>18696.099609000001</v>
      </c>
      <c r="D46" s="54">
        <f t="shared" si="0"/>
        <v>9.9039639707769744E-3</v>
      </c>
      <c r="E46" s="26"/>
      <c r="F46" s="34">
        <v>3117.2133789999998</v>
      </c>
      <c r="G46" s="54">
        <f t="shared" si="1"/>
        <v>1.1357158289770242E-2</v>
      </c>
      <c r="H46" s="26"/>
      <c r="I46" s="34">
        <v>511.313446</v>
      </c>
      <c r="J46" s="113">
        <f t="shared" si="2"/>
        <v>-4.8643148021265681E-4</v>
      </c>
      <c r="K46" s="26"/>
      <c r="L46" s="34">
        <v>291.87085000000002</v>
      </c>
      <c r="M46" s="113">
        <f t="shared" si="3"/>
        <v>1.2405108976661916E-2</v>
      </c>
      <c r="N46" s="26"/>
      <c r="O46" s="34">
        <v>2197.133789</v>
      </c>
      <c r="P46" s="113">
        <f t="shared" si="4"/>
        <v>-5.8009470988837908E-3</v>
      </c>
      <c r="Q46" s="26"/>
      <c r="R46" s="102"/>
      <c r="S46" s="102"/>
    </row>
    <row r="47" spans="2:26" x14ac:dyDescent="0.35">
      <c r="B47" s="112">
        <v>44900</v>
      </c>
      <c r="C47" s="34">
        <v>18496.599609000001</v>
      </c>
      <c r="D47" s="54">
        <f t="shared" si="0"/>
        <v>-1.0670674855838058E-2</v>
      </c>
      <c r="E47" s="26"/>
      <c r="F47" s="34">
        <v>3200.0166020000001</v>
      </c>
      <c r="G47" s="54">
        <f t="shared" si="1"/>
        <v>2.6563219431120055E-2</v>
      </c>
      <c r="H47" s="26"/>
      <c r="I47" s="34">
        <v>510.27652</v>
      </c>
      <c r="J47" s="113">
        <f t="shared" si="2"/>
        <v>-2.0279654448985829E-3</v>
      </c>
      <c r="K47" s="26"/>
      <c r="L47" s="34">
        <v>295.81146200000001</v>
      </c>
      <c r="M47" s="113">
        <f t="shared" si="3"/>
        <v>1.3501218090124389E-2</v>
      </c>
      <c r="N47" s="26"/>
      <c r="O47" s="34">
        <v>2153.6523440000001</v>
      </c>
      <c r="P47" s="113">
        <f t="shared" si="4"/>
        <v>-1.9790076151798619E-2</v>
      </c>
      <c r="Q47" s="26"/>
      <c r="R47" t="s">
        <v>255</v>
      </c>
    </row>
    <row r="48" spans="2:26" ht="15" thickBot="1" x14ac:dyDescent="0.4">
      <c r="B48" s="112">
        <v>44907</v>
      </c>
      <c r="C48" s="34">
        <v>18269</v>
      </c>
      <c r="D48" s="54">
        <f t="shared" si="0"/>
        <v>-1.2304943276668867E-2</v>
      </c>
      <c r="E48" s="26"/>
      <c r="F48" s="34">
        <v>3030.3942870000001</v>
      </c>
      <c r="G48" s="54">
        <f t="shared" si="1"/>
        <v>-5.300669843212269E-2</v>
      </c>
      <c r="H48" s="26"/>
      <c r="I48" s="34">
        <v>493.43737800000002</v>
      </c>
      <c r="J48" s="113">
        <f t="shared" si="2"/>
        <v>-3.3000033001714391E-2</v>
      </c>
      <c r="K48" s="26"/>
      <c r="L48" s="34">
        <v>284.58569299999999</v>
      </c>
      <c r="M48" s="113">
        <f t="shared" si="3"/>
        <v>-3.7949067031080808E-2</v>
      </c>
      <c r="N48" s="26"/>
      <c r="O48" s="34">
        <v>2178.0478520000001</v>
      </c>
      <c r="P48" s="113">
        <f t="shared" si="4"/>
        <v>1.1327505141656369E-2</v>
      </c>
      <c r="Q48" s="26"/>
    </row>
    <row r="49" spans="2:26" x14ac:dyDescent="0.35">
      <c r="B49" s="112">
        <v>44914</v>
      </c>
      <c r="C49" s="34">
        <v>17806.800781000002</v>
      </c>
      <c r="D49" s="54">
        <f t="shared" si="0"/>
        <v>-2.529964524604511E-2</v>
      </c>
      <c r="E49" s="26"/>
      <c r="F49" s="34">
        <v>3032.3776859999998</v>
      </c>
      <c r="G49" s="54">
        <f t="shared" si="1"/>
        <v>6.5450195986316295E-4</v>
      </c>
      <c r="H49" s="26"/>
      <c r="I49" s="34">
        <v>477.42770400000001</v>
      </c>
      <c r="J49" s="113">
        <f t="shared" si="2"/>
        <v>-3.2445199155545112E-2</v>
      </c>
      <c r="K49" s="26"/>
      <c r="L49" s="34">
        <v>280.11523399999999</v>
      </c>
      <c r="M49" s="113">
        <f t="shared" si="3"/>
        <v>-1.5708656864911408E-2</v>
      </c>
      <c r="N49" s="26"/>
      <c r="O49" s="34">
        <v>2095.6770019999999</v>
      </c>
      <c r="P49" s="113">
        <f t="shared" si="4"/>
        <v>-3.781865945891083E-2</v>
      </c>
      <c r="Q49" s="26"/>
      <c r="R49" s="121" t="s">
        <v>257</v>
      </c>
      <c r="S49" s="121"/>
    </row>
    <row r="50" spans="2:26" x14ac:dyDescent="0.35">
      <c r="B50" s="112">
        <v>44921</v>
      </c>
      <c r="C50" s="34">
        <v>18105.300781000002</v>
      </c>
      <c r="D50" s="54">
        <f t="shared" si="0"/>
        <v>1.6763258244484991E-2</v>
      </c>
      <c r="E50" s="26"/>
      <c r="F50" s="34">
        <v>3062.1271969999998</v>
      </c>
      <c r="G50" s="54">
        <f t="shared" si="1"/>
        <v>9.8106219213223156E-3</v>
      </c>
      <c r="H50" s="26"/>
      <c r="I50" s="34">
        <v>482.238922</v>
      </c>
      <c r="J50" s="113">
        <f t="shared" si="2"/>
        <v>1.0077374981993126E-2</v>
      </c>
      <c r="K50" s="26"/>
      <c r="L50" s="34">
        <v>290.91055299999999</v>
      </c>
      <c r="M50" s="113">
        <f t="shared" si="3"/>
        <v>3.8538850050547468E-2</v>
      </c>
      <c r="N50" s="26"/>
      <c r="O50" s="34">
        <v>2123.421143</v>
      </c>
      <c r="P50" s="113">
        <f t="shared" si="4"/>
        <v>1.3238748611318796E-2</v>
      </c>
      <c r="Q50" s="26"/>
      <c r="R50" t="s">
        <v>259</v>
      </c>
      <c r="S50">
        <v>0.38272636769896035</v>
      </c>
    </row>
    <row r="51" spans="2:26" x14ac:dyDescent="0.35">
      <c r="B51" s="112">
        <v>44928</v>
      </c>
      <c r="C51" s="34">
        <v>17859.449218999998</v>
      </c>
      <c r="D51" s="54">
        <f t="shared" si="0"/>
        <v>-1.3578982474458767E-2</v>
      </c>
      <c r="E51" s="26"/>
      <c r="F51" s="34">
        <v>2953.54126</v>
      </c>
      <c r="G51" s="54">
        <f t="shared" si="1"/>
        <v>-3.5460949207590908E-2</v>
      </c>
      <c r="H51" s="26"/>
      <c r="I51" s="34">
        <v>471.49667399999998</v>
      </c>
      <c r="J51" s="113">
        <f t="shared" si="2"/>
        <v>-2.2275779722317868E-2</v>
      </c>
      <c r="K51" s="26"/>
      <c r="L51" s="34">
        <v>277.76409899999999</v>
      </c>
      <c r="M51" s="113">
        <f t="shared" si="3"/>
        <v>-4.5190708499323495E-2</v>
      </c>
      <c r="N51" s="26"/>
      <c r="O51" s="34">
        <v>2115.289307</v>
      </c>
      <c r="P51" s="113">
        <f t="shared" si="4"/>
        <v>-3.8295917071407004E-3</v>
      </c>
      <c r="Q51" s="26"/>
      <c r="R51" t="s">
        <v>260</v>
      </c>
      <c r="S51">
        <v>0.1464794725320398</v>
      </c>
    </row>
    <row r="52" spans="2:26" x14ac:dyDescent="0.35">
      <c r="B52" s="112">
        <v>44935</v>
      </c>
      <c r="C52" s="34">
        <v>17956.599609000001</v>
      </c>
      <c r="D52" s="54">
        <f t="shared" si="0"/>
        <v>5.4397192661825855E-3</v>
      </c>
      <c r="E52" s="26"/>
      <c r="F52" s="34">
        <v>2884.8691410000001</v>
      </c>
      <c r="G52" s="54">
        <f t="shared" si="1"/>
        <v>-2.3250773547683568E-2</v>
      </c>
      <c r="H52" s="26"/>
      <c r="I52" s="34">
        <v>466.31219499999997</v>
      </c>
      <c r="J52" s="113">
        <f t="shared" si="2"/>
        <v>-1.0995791244966524E-2</v>
      </c>
      <c r="K52" s="26"/>
      <c r="L52" s="34">
        <v>273.79037499999998</v>
      </c>
      <c r="M52" s="113">
        <f t="shared" si="3"/>
        <v>-1.4306110884401924E-2</v>
      </c>
      <c r="N52" s="26"/>
      <c r="O52" s="34">
        <v>2128.826172</v>
      </c>
      <c r="P52" s="113">
        <f t="shared" si="4"/>
        <v>6.3995336028992433E-3</v>
      </c>
      <c r="Q52" s="26"/>
      <c r="R52" t="s">
        <v>264</v>
      </c>
      <c r="S52">
        <v>0.13811162422353038</v>
      </c>
    </row>
    <row r="53" spans="2:26" x14ac:dyDescent="0.35">
      <c r="B53" s="112">
        <v>44942</v>
      </c>
      <c r="C53" s="34">
        <v>18027.650390999999</v>
      </c>
      <c r="D53" s="54">
        <f t="shared" si="0"/>
        <v>3.9568060516528281E-3</v>
      </c>
      <c r="E53" s="26"/>
      <c r="F53" s="34">
        <v>2764.531982</v>
      </c>
      <c r="G53" s="54">
        <f t="shared" si="1"/>
        <v>-4.171321232209757E-2</v>
      </c>
      <c r="H53" s="26"/>
      <c r="I53" s="34">
        <v>462.16461199999998</v>
      </c>
      <c r="J53" s="113">
        <f t="shared" si="2"/>
        <v>-8.8944339103119718E-3</v>
      </c>
      <c r="K53" s="26"/>
      <c r="L53" s="34">
        <v>277.20114100000001</v>
      </c>
      <c r="M53" s="113">
        <f t="shared" si="3"/>
        <v>1.2457581826972541E-2</v>
      </c>
      <c r="N53" s="26"/>
      <c r="O53" s="34">
        <v>2161.258057</v>
      </c>
      <c r="P53" s="113">
        <f t="shared" si="4"/>
        <v>1.5234632788045266E-2</v>
      </c>
      <c r="Q53" s="26"/>
      <c r="R53" t="s">
        <v>265</v>
      </c>
      <c r="S53">
        <v>3.6094539051367107E-2</v>
      </c>
    </row>
    <row r="54" spans="2:26" ht="15" thickBot="1" x14ac:dyDescent="0.4">
      <c r="B54" s="112">
        <v>44949</v>
      </c>
      <c r="C54" s="34">
        <v>17604.349609000001</v>
      </c>
      <c r="D54" s="54">
        <f t="shared" si="0"/>
        <v>-2.3480640727941093E-2</v>
      </c>
      <c r="E54" s="26"/>
      <c r="F54" s="34">
        <v>2699.9257809999999</v>
      </c>
      <c r="G54" s="54">
        <f t="shared" si="1"/>
        <v>-2.3369670316948477E-2</v>
      </c>
      <c r="H54" s="26"/>
      <c r="I54" s="34">
        <v>447.52368200000001</v>
      </c>
      <c r="J54" s="113">
        <f t="shared" si="2"/>
        <v>-3.167903733832389E-2</v>
      </c>
      <c r="K54" s="26"/>
      <c r="L54" s="34">
        <v>271.77038599999997</v>
      </c>
      <c r="M54" s="113">
        <f t="shared" si="3"/>
        <v>-1.9591387612650668E-2</v>
      </c>
      <c r="N54" s="26"/>
      <c r="O54" s="34">
        <v>2144.4682619999999</v>
      </c>
      <c r="P54" s="113">
        <f t="shared" si="4"/>
        <v>-7.7685285871441634E-3</v>
      </c>
      <c r="Q54" s="26"/>
      <c r="R54" s="119" t="s">
        <v>266</v>
      </c>
      <c r="S54" s="119">
        <v>104</v>
      </c>
    </row>
    <row r="55" spans="2:26" x14ac:dyDescent="0.35">
      <c r="B55" s="112">
        <v>44956</v>
      </c>
      <c r="C55" s="34">
        <v>17854.050781000002</v>
      </c>
      <c r="D55" s="54">
        <f t="shared" si="0"/>
        <v>1.4184061186352848E-2</v>
      </c>
      <c r="E55" s="26"/>
      <c r="F55" s="34">
        <v>2737.360596</v>
      </c>
      <c r="G55" s="54">
        <f t="shared" si="1"/>
        <v>1.3865127428108304E-2</v>
      </c>
      <c r="H55" s="26"/>
      <c r="I55" s="34">
        <v>463.118561</v>
      </c>
      <c r="J55" s="113">
        <f t="shared" si="2"/>
        <v>3.4847047490997429E-2</v>
      </c>
      <c r="K55" s="26"/>
      <c r="L55" s="34">
        <v>276.60507200000001</v>
      </c>
      <c r="M55" s="113">
        <f t="shared" si="3"/>
        <v>1.7789598311863219E-2</v>
      </c>
      <c r="N55" s="26"/>
      <c r="O55" s="34">
        <v>2114.5717770000001</v>
      </c>
      <c r="P55" s="113">
        <f t="shared" si="4"/>
        <v>-1.3941211222271654E-2</v>
      </c>
      <c r="Q55" s="26"/>
    </row>
    <row r="56" spans="2:26" ht="15" thickBot="1" x14ac:dyDescent="0.4">
      <c r="B56" s="112">
        <v>44963</v>
      </c>
      <c r="C56" s="34">
        <v>17856.5</v>
      </c>
      <c r="D56" s="54">
        <f t="shared" si="0"/>
        <v>1.371800175793414E-4</v>
      </c>
      <c r="E56" s="26"/>
      <c r="F56" s="34">
        <v>2781.1918949999999</v>
      </c>
      <c r="G56" s="54">
        <f t="shared" si="1"/>
        <v>1.6012248829784692E-2</v>
      </c>
      <c r="H56" s="26"/>
      <c r="I56" s="34">
        <v>474.15112299999998</v>
      </c>
      <c r="J56" s="113">
        <f t="shared" si="2"/>
        <v>2.3822327432045931E-2</v>
      </c>
      <c r="K56" s="26"/>
      <c r="L56" s="34">
        <v>277.89657599999998</v>
      </c>
      <c r="M56" s="113">
        <f t="shared" si="3"/>
        <v>4.6691262407507761E-3</v>
      </c>
      <c r="N56" s="26"/>
      <c r="O56" s="34">
        <v>2215.0241700000001</v>
      </c>
      <c r="P56" s="113">
        <f t="shared" si="4"/>
        <v>4.7504839557876988E-2</v>
      </c>
      <c r="Q56" s="26"/>
      <c r="R56" t="s">
        <v>267</v>
      </c>
    </row>
    <row r="57" spans="2:26" x14ac:dyDescent="0.35">
      <c r="B57" s="112">
        <v>44970</v>
      </c>
      <c r="C57" s="34">
        <v>17944.199218999998</v>
      </c>
      <c r="D57" s="54">
        <f t="shared" si="0"/>
        <v>4.9113330719905424E-3</v>
      </c>
      <c r="E57" s="26"/>
      <c r="F57" s="34">
        <v>2809.9497070000002</v>
      </c>
      <c r="G57" s="54">
        <f t="shared" si="1"/>
        <v>1.0340103482863183E-2</v>
      </c>
      <c r="H57" s="26"/>
      <c r="I57" s="34">
        <v>471.95291099999997</v>
      </c>
      <c r="J57" s="113">
        <f t="shared" si="2"/>
        <v>-4.6360999549927007E-3</v>
      </c>
      <c r="K57" s="26"/>
      <c r="L57" s="34">
        <v>274.618225</v>
      </c>
      <c r="M57" s="113">
        <f t="shared" si="3"/>
        <v>-1.1797018326702879E-2</v>
      </c>
      <c r="N57" s="26"/>
      <c r="O57" s="34">
        <v>2083.4794919999999</v>
      </c>
      <c r="P57" s="113">
        <f t="shared" si="4"/>
        <v>-5.9387468444644598E-2</v>
      </c>
      <c r="Q57" s="26"/>
      <c r="R57" s="120"/>
      <c r="S57" s="120" t="s">
        <v>268</v>
      </c>
      <c r="T57" s="120" t="s">
        <v>269</v>
      </c>
      <c r="U57" s="120" t="s">
        <v>270</v>
      </c>
      <c r="V57" s="120" t="s">
        <v>271</v>
      </c>
      <c r="W57" s="120" t="s">
        <v>272</v>
      </c>
    </row>
    <row r="58" spans="2:26" x14ac:dyDescent="0.35">
      <c r="B58" s="112">
        <v>44977</v>
      </c>
      <c r="C58" s="34">
        <v>17465.800781000002</v>
      </c>
      <c r="D58" s="54">
        <f t="shared" si="0"/>
        <v>-2.6660339208308015E-2</v>
      </c>
      <c r="E58" s="26"/>
      <c r="F58" s="34">
        <v>2715.6435550000001</v>
      </c>
      <c r="G58" s="54">
        <f t="shared" si="1"/>
        <v>-3.3561508864400458E-2</v>
      </c>
      <c r="H58" s="26"/>
      <c r="I58" s="34">
        <v>462.91116299999999</v>
      </c>
      <c r="J58" s="113">
        <f t="shared" si="2"/>
        <v>-1.9158157073005055E-2</v>
      </c>
      <c r="K58" s="26"/>
      <c r="L58" s="34">
        <v>277.63165300000003</v>
      </c>
      <c r="M58" s="113">
        <f t="shared" si="3"/>
        <v>1.0973153730055696E-2</v>
      </c>
      <c r="N58" s="26"/>
      <c r="O58" s="34">
        <v>2099.360107</v>
      </c>
      <c r="P58" s="113">
        <f t="shared" si="4"/>
        <v>7.6221604584914004E-3</v>
      </c>
      <c r="Q58" s="26"/>
      <c r="R58" t="s">
        <v>273</v>
      </c>
      <c r="S58">
        <v>1</v>
      </c>
      <c r="T58">
        <v>2.280583451474924E-2</v>
      </c>
      <c r="U58">
        <v>2.280583451474924E-2</v>
      </c>
      <c r="V58">
        <v>17.505034404493475</v>
      </c>
      <c r="W58">
        <v>6.0805797383103913E-5</v>
      </c>
    </row>
    <row r="59" spans="2:26" x14ac:dyDescent="0.35">
      <c r="B59" s="112">
        <v>44984</v>
      </c>
      <c r="C59" s="34">
        <v>17594.349609000001</v>
      </c>
      <c r="D59" s="54">
        <f t="shared" si="0"/>
        <v>7.3600305884538031E-3</v>
      </c>
      <c r="E59" s="26"/>
      <c r="F59" s="34">
        <v>2805.2395019999999</v>
      </c>
      <c r="G59" s="54">
        <f t="shared" si="1"/>
        <v>3.2992528358531059E-2</v>
      </c>
      <c r="H59" s="26"/>
      <c r="I59" s="34">
        <v>481.74121100000002</v>
      </c>
      <c r="J59" s="113">
        <f t="shared" si="2"/>
        <v>4.067745499583042E-2</v>
      </c>
      <c r="K59" s="26"/>
      <c r="L59" s="34">
        <v>271.93594400000001</v>
      </c>
      <c r="M59" s="113">
        <f t="shared" si="3"/>
        <v>-2.0515344480551811E-2</v>
      </c>
      <c r="N59" s="26"/>
      <c r="O59" s="34">
        <v>2114.1889649999998</v>
      </c>
      <c r="P59" s="113">
        <f t="shared" si="4"/>
        <v>7.0635132822403079E-3</v>
      </c>
      <c r="Q59" s="26"/>
      <c r="R59" t="s">
        <v>274</v>
      </c>
      <c r="S59">
        <v>102</v>
      </c>
      <c r="T59">
        <v>0.13288720643172786</v>
      </c>
      <c r="U59">
        <v>1.3028157493306651E-3</v>
      </c>
    </row>
    <row r="60" spans="2:26" ht="15" thickBot="1" x14ac:dyDescent="0.4">
      <c r="B60" s="112">
        <v>44991</v>
      </c>
      <c r="C60" s="34">
        <v>17412.900390999999</v>
      </c>
      <c r="D60" s="54">
        <f t="shared" si="0"/>
        <v>-1.0312925571695164E-2</v>
      </c>
      <c r="E60" s="26"/>
      <c r="F60" s="34">
        <v>2806.578125</v>
      </c>
      <c r="G60" s="54">
        <f t="shared" si="1"/>
        <v>4.7718670689111953E-4</v>
      </c>
      <c r="H60" s="26"/>
      <c r="I60" s="34">
        <v>488.66763300000002</v>
      </c>
      <c r="J60" s="113">
        <f t="shared" si="2"/>
        <v>1.4377889708920844E-2</v>
      </c>
      <c r="K60" s="26"/>
      <c r="L60" s="34">
        <v>270.37957799999998</v>
      </c>
      <c r="M60" s="113">
        <f t="shared" si="3"/>
        <v>-5.7232816563596023E-3</v>
      </c>
      <c r="N60" s="26"/>
      <c r="O60" s="34">
        <v>2207.0839839999999</v>
      </c>
      <c r="P60" s="113">
        <f t="shared" si="4"/>
        <v>4.3938843943403194E-2</v>
      </c>
      <c r="Q60" s="26"/>
      <c r="R60" s="119" t="s">
        <v>12</v>
      </c>
      <c r="S60" s="119">
        <v>103</v>
      </c>
      <c r="T60" s="119">
        <v>0.1556930409464771</v>
      </c>
      <c r="U60" s="119"/>
      <c r="V60" s="119"/>
      <c r="W60" s="119"/>
    </row>
    <row r="61" spans="2:26" ht="15" thickBot="1" x14ac:dyDescent="0.4">
      <c r="B61" s="112">
        <v>44998</v>
      </c>
      <c r="C61" s="34">
        <v>17100.050781000002</v>
      </c>
      <c r="D61" s="54">
        <f t="shared" si="0"/>
        <v>-1.7966542217268788E-2</v>
      </c>
      <c r="E61" s="26"/>
      <c r="F61" s="34">
        <v>2838.7570799999999</v>
      </c>
      <c r="G61" s="54">
        <f t="shared" si="1"/>
        <v>1.1465547569604828E-2</v>
      </c>
      <c r="H61" s="26"/>
      <c r="I61" s="34">
        <v>492.27603099999999</v>
      </c>
      <c r="J61" s="113">
        <f t="shared" si="2"/>
        <v>7.3841559299672177E-3</v>
      </c>
      <c r="K61" s="26"/>
      <c r="L61" s="34">
        <v>264.38586400000003</v>
      </c>
      <c r="M61" s="113">
        <f t="shared" si="3"/>
        <v>-2.2167776295589747E-2</v>
      </c>
      <c r="N61" s="26"/>
      <c r="O61" s="34">
        <v>2229.775635</v>
      </c>
      <c r="P61" s="113">
        <f t="shared" si="4"/>
        <v>1.0281281167595191E-2</v>
      </c>
      <c r="Q61" s="26"/>
    </row>
    <row r="62" spans="2:26" x14ac:dyDescent="0.35">
      <c r="B62" s="112">
        <v>45005</v>
      </c>
      <c r="C62" s="34">
        <v>16945.050781000002</v>
      </c>
      <c r="D62" s="54">
        <f t="shared" si="0"/>
        <v>-9.0643005675878907E-3</v>
      </c>
      <c r="E62" s="26"/>
      <c r="F62" s="34">
        <v>2775.142578</v>
      </c>
      <c r="G62" s="54">
        <f t="shared" si="1"/>
        <v>-2.2409279909219926E-2</v>
      </c>
      <c r="H62" s="26"/>
      <c r="I62" s="34">
        <v>475.89312699999999</v>
      </c>
      <c r="J62" s="113">
        <f t="shared" si="2"/>
        <v>-3.3279914048872317E-2</v>
      </c>
      <c r="K62" s="26"/>
      <c r="L62" s="34">
        <v>254.583969</v>
      </c>
      <c r="M62" s="113">
        <f t="shared" si="3"/>
        <v>-3.7074202272781243E-2</v>
      </c>
      <c r="N62" s="26"/>
      <c r="O62" s="34">
        <v>2276.3198240000002</v>
      </c>
      <c r="P62" s="113">
        <f t="shared" si="4"/>
        <v>2.0873933802761258E-2</v>
      </c>
      <c r="Q62" s="26"/>
      <c r="R62" s="120"/>
      <c r="S62" s="120" t="s">
        <v>275</v>
      </c>
      <c r="T62" s="120" t="s">
        <v>265</v>
      </c>
      <c r="U62" s="120" t="s">
        <v>276</v>
      </c>
      <c r="V62" s="120" t="s">
        <v>277</v>
      </c>
      <c r="W62" s="120" t="s">
        <v>278</v>
      </c>
      <c r="X62" s="120" t="s">
        <v>279</v>
      </c>
      <c r="Y62" s="120" t="s">
        <v>280</v>
      </c>
      <c r="Z62" s="120" t="s">
        <v>281</v>
      </c>
    </row>
    <row r="63" spans="2:26" x14ac:dyDescent="0.35">
      <c r="B63" s="112">
        <v>45012</v>
      </c>
      <c r="C63" s="34">
        <v>17359.75</v>
      </c>
      <c r="D63" s="54">
        <f t="shared" si="0"/>
        <v>2.4473176525678486E-2</v>
      </c>
      <c r="E63" s="26"/>
      <c r="F63" s="34">
        <v>2738.6003420000002</v>
      </c>
      <c r="G63" s="54">
        <f t="shared" si="1"/>
        <v>-1.3167696784190164E-2</v>
      </c>
      <c r="H63" s="26"/>
      <c r="I63" s="34">
        <v>482.52923600000003</v>
      </c>
      <c r="J63" s="113">
        <f t="shared" si="2"/>
        <v>1.394453633283943E-2</v>
      </c>
      <c r="K63" s="26"/>
      <c r="L63" s="34">
        <v>256.17346199999997</v>
      </c>
      <c r="M63" s="113">
        <f t="shared" si="3"/>
        <v>6.243492102992354E-3</v>
      </c>
      <c r="N63" s="26"/>
      <c r="O63" s="34">
        <v>2226.1469729999999</v>
      </c>
      <c r="P63" s="113">
        <f t="shared" si="4"/>
        <v>-2.2041213396734149E-2</v>
      </c>
      <c r="Q63" s="26"/>
      <c r="R63" t="s">
        <v>282</v>
      </c>
      <c r="S63">
        <v>-3.0094286247461192E-3</v>
      </c>
      <c r="T63">
        <v>3.5748308626618827E-3</v>
      </c>
      <c r="U63">
        <v>-0.84183804503277815</v>
      </c>
      <c r="V63">
        <v>0.40184805957776559</v>
      </c>
      <c r="W63">
        <v>-1.0100088691000217E-2</v>
      </c>
      <c r="X63">
        <v>4.0812314415079789E-3</v>
      </c>
      <c r="Y63">
        <v>-1.0100088691000217E-2</v>
      </c>
      <c r="Z63">
        <v>4.0812314415079789E-3</v>
      </c>
    </row>
    <row r="64" spans="2:26" ht="15" thickBot="1" x14ac:dyDescent="0.4">
      <c r="B64" s="112">
        <v>45019</v>
      </c>
      <c r="C64" s="34">
        <v>17599.150390999999</v>
      </c>
      <c r="D64" s="54">
        <f t="shared" si="0"/>
        <v>1.3790543700226143E-2</v>
      </c>
      <c r="E64" s="26"/>
      <c r="F64" s="34">
        <v>2786.398193</v>
      </c>
      <c r="G64" s="54">
        <f t="shared" si="1"/>
        <v>1.7453386778259583E-2</v>
      </c>
      <c r="H64" s="26"/>
      <c r="I64" s="34">
        <v>495.38671900000003</v>
      </c>
      <c r="J64" s="113">
        <f t="shared" si="2"/>
        <v>2.6646018605181565E-2</v>
      </c>
      <c r="K64" s="26"/>
      <c r="L64" s="34">
        <v>259.55114700000001</v>
      </c>
      <c r="M64" s="113">
        <f t="shared" si="3"/>
        <v>1.3185147960408372E-2</v>
      </c>
      <c r="N64" s="26"/>
      <c r="O64" s="34">
        <v>2159.2817380000001</v>
      </c>
      <c r="P64" s="113">
        <f t="shared" si="4"/>
        <v>-3.0036307490466707E-2</v>
      </c>
      <c r="Q64" s="26"/>
      <c r="R64" s="119" t="s">
        <v>283</v>
      </c>
      <c r="S64" s="119">
        <v>0.8777569681966737</v>
      </c>
      <c r="T64" s="119">
        <v>0.20979387347856548</v>
      </c>
      <c r="U64" s="119">
        <v>4.183901815828543</v>
      </c>
      <c r="V64" s="119">
        <v>6.0805797383106299E-5</v>
      </c>
      <c r="W64" s="119">
        <v>0.46163181487639809</v>
      </c>
      <c r="X64" s="119">
        <v>1.2938821215169494</v>
      </c>
      <c r="Y64" s="119">
        <v>0.46163181487639809</v>
      </c>
      <c r="Z64" s="119">
        <v>1.2938821215169494</v>
      </c>
    </row>
    <row r="65" spans="2:23" x14ac:dyDescent="0.35">
      <c r="B65" s="112">
        <v>45026</v>
      </c>
      <c r="C65" s="34">
        <v>17828</v>
      </c>
      <c r="D65" s="54">
        <f t="shared" si="0"/>
        <v>1.3003446411653519E-2</v>
      </c>
      <c r="E65" s="26"/>
      <c r="F65" s="34">
        <v>2786.298828</v>
      </c>
      <c r="G65" s="54">
        <f t="shared" si="1"/>
        <v>-3.5660732285003327E-5</v>
      </c>
      <c r="H65" s="26"/>
      <c r="I65" s="34">
        <v>479.95773300000002</v>
      </c>
      <c r="J65" s="113">
        <f t="shared" si="2"/>
        <v>-3.1145336377094157E-2</v>
      </c>
      <c r="K65" s="26"/>
      <c r="L65" s="34">
        <v>252.46464499999999</v>
      </c>
      <c r="M65" s="113">
        <f t="shared" si="3"/>
        <v>-2.7302911514392236E-2</v>
      </c>
      <c r="N65" s="26"/>
      <c r="O65" s="34">
        <v>2229.3403320000002</v>
      </c>
      <c r="P65" s="113">
        <f t="shared" si="4"/>
        <v>3.244532326054439E-2</v>
      </c>
      <c r="Q65" s="26"/>
    </row>
    <row r="66" spans="2:23" x14ac:dyDescent="0.35">
      <c r="B66" s="112">
        <v>45033</v>
      </c>
      <c r="C66" s="34">
        <v>17624.050781000002</v>
      </c>
      <c r="D66" s="54">
        <f t="shared" si="0"/>
        <v>-1.1439826060130054E-2</v>
      </c>
      <c r="E66" s="26"/>
      <c r="F66" s="34">
        <v>2858.0451659999999</v>
      </c>
      <c r="G66" s="54">
        <f t="shared" si="1"/>
        <v>2.5749692487757825E-2</v>
      </c>
      <c r="H66" s="26"/>
      <c r="I66" s="34">
        <v>484.93481400000002</v>
      </c>
      <c r="J66" s="113">
        <f t="shared" si="2"/>
        <v>1.0369831878508373E-2</v>
      </c>
      <c r="K66" s="26"/>
      <c r="L66" s="34">
        <v>253.16004899999999</v>
      </c>
      <c r="M66" s="113">
        <f t="shared" si="3"/>
        <v>2.7544609265981457E-3</v>
      </c>
      <c r="N66" s="26"/>
      <c r="O66" s="34">
        <v>2229.0017090000001</v>
      </c>
      <c r="P66" s="113">
        <f t="shared" si="4"/>
        <v>-1.5189381142910463E-4</v>
      </c>
      <c r="Q66" s="26"/>
    </row>
    <row r="67" spans="2:23" x14ac:dyDescent="0.35">
      <c r="B67" s="112">
        <v>45040</v>
      </c>
      <c r="C67" s="34">
        <v>18065</v>
      </c>
      <c r="D67" s="54">
        <f t="shared" si="0"/>
        <v>2.5019742877464557E-2</v>
      </c>
      <c r="E67" s="26"/>
      <c r="F67" s="34">
        <v>2878.1259770000001</v>
      </c>
      <c r="G67" s="54">
        <f t="shared" si="1"/>
        <v>7.0260649617739368E-3</v>
      </c>
      <c r="H67" s="26"/>
      <c r="I67" s="34">
        <v>506.29486100000003</v>
      </c>
      <c r="J67" s="113">
        <f t="shared" si="2"/>
        <v>4.4047254153214865E-2</v>
      </c>
      <c r="K67" s="26"/>
      <c r="L67" s="34">
        <v>251.76924099999999</v>
      </c>
      <c r="M67" s="113">
        <f t="shared" si="3"/>
        <v>-5.4937894248866526E-3</v>
      </c>
      <c r="N67" s="26"/>
      <c r="O67" s="34">
        <v>2249.5158689999998</v>
      </c>
      <c r="P67" s="113">
        <f t="shared" si="4"/>
        <v>9.2032948728437702E-3</v>
      </c>
      <c r="Q67" s="26"/>
      <c r="R67" s="188" t="s">
        <v>285</v>
      </c>
      <c r="S67" s="188"/>
    </row>
    <row r="68" spans="2:23" x14ac:dyDescent="0.35">
      <c r="B68" s="112">
        <v>45047</v>
      </c>
      <c r="C68" s="34">
        <v>18069</v>
      </c>
      <c r="D68" s="54">
        <f t="shared" si="0"/>
        <v>2.2142264046509652E-4</v>
      </c>
      <c r="E68" s="26"/>
      <c r="F68" s="34">
        <v>2987.8029790000001</v>
      </c>
      <c r="G68" s="54">
        <f t="shared" si="1"/>
        <v>3.8107088736373251E-2</v>
      </c>
      <c r="H68" s="26"/>
      <c r="I68" s="34">
        <v>512.01849400000003</v>
      </c>
      <c r="J68" s="113">
        <f t="shared" si="2"/>
        <v>1.1304939948817649E-2</v>
      </c>
      <c r="K68" s="26"/>
      <c r="L68" s="34">
        <v>261.04129</v>
      </c>
      <c r="M68" s="113">
        <f t="shared" si="3"/>
        <v>3.682756862265002E-2</v>
      </c>
      <c r="N68" s="26"/>
      <c r="O68" s="34">
        <v>2330.6540530000002</v>
      </c>
      <c r="P68" s="113">
        <f t="shared" si="4"/>
        <v>3.6069176091684696E-2</v>
      </c>
      <c r="Q68" s="26"/>
      <c r="R68" s="102"/>
      <c r="S68" s="102"/>
    </row>
    <row r="69" spans="2:23" x14ac:dyDescent="0.35">
      <c r="B69" s="112">
        <v>45054</v>
      </c>
      <c r="C69" s="34">
        <v>18314.800781000002</v>
      </c>
      <c r="D69" s="54">
        <f t="shared" si="0"/>
        <v>1.3603452376999448E-2</v>
      </c>
      <c r="E69" s="26"/>
      <c r="F69" s="34">
        <v>3104.966797</v>
      </c>
      <c r="G69" s="54">
        <f t="shared" si="1"/>
        <v>3.9214037479544217E-2</v>
      </c>
      <c r="H69" s="26"/>
      <c r="I69" s="34">
        <v>525.62255900000002</v>
      </c>
      <c r="J69" s="113">
        <f t="shared" si="2"/>
        <v>2.6569479734456669E-2</v>
      </c>
      <c r="K69" s="26"/>
      <c r="L69" s="34">
        <v>277.06869499999999</v>
      </c>
      <c r="M69" s="113">
        <f t="shared" si="3"/>
        <v>6.1397968880708476E-2</v>
      </c>
      <c r="N69" s="26"/>
      <c r="O69" s="34">
        <v>2390.5520019999999</v>
      </c>
      <c r="P69" s="113">
        <f t="shared" si="4"/>
        <v>2.5700059999423486E-2</v>
      </c>
      <c r="Q69" s="26"/>
      <c r="R69" t="s">
        <v>255</v>
      </c>
    </row>
    <row r="70" spans="2:23" ht="15" thickBot="1" x14ac:dyDescent="0.4">
      <c r="B70" s="112">
        <v>45061</v>
      </c>
      <c r="C70" s="34">
        <v>18203.400390999999</v>
      </c>
      <c r="D70" s="54">
        <f t="shared" si="0"/>
        <v>-6.0825335384249168E-3</v>
      </c>
      <c r="E70" s="26"/>
      <c r="F70" s="34">
        <v>3058.7060550000001</v>
      </c>
      <c r="G70" s="54">
        <f t="shared" si="1"/>
        <v>-1.4898949014429674E-2</v>
      </c>
      <c r="H70" s="26"/>
      <c r="I70" s="34">
        <v>518.65466300000003</v>
      </c>
      <c r="J70" s="113">
        <f t="shared" si="2"/>
        <v>-1.3256462989823858E-2</v>
      </c>
      <c r="K70" s="26"/>
      <c r="L70" s="34">
        <v>270.47891199999998</v>
      </c>
      <c r="M70" s="113">
        <f t="shared" si="3"/>
        <v>-2.3783931995637442E-2</v>
      </c>
      <c r="N70" s="26"/>
      <c r="O70" s="34">
        <v>2355.2810060000002</v>
      </c>
      <c r="P70" s="113">
        <f t="shared" si="4"/>
        <v>-1.4754331204881121E-2</v>
      </c>
      <c r="Q70" s="26"/>
    </row>
    <row r="71" spans="2:23" x14ac:dyDescent="0.35">
      <c r="B71" s="112">
        <v>45068</v>
      </c>
      <c r="C71" s="34">
        <v>18499.349609000001</v>
      </c>
      <c r="D71" s="54">
        <f t="shared" si="0"/>
        <v>1.6257908502980811E-2</v>
      </c>
      <c r="E71" s="26"/>
      <c r="F71" s="34">
        <v>3102.2890630000002</v>
      </c>
      <c r="G71" s="54">
        <f t="shared" si="1"/>
        <v>1.424883830492818E-2</v>
      </c>
      <c r="H71" s="26"/>
      <c r="I71" s="34">
        <v>536.77954099999999</v>
      </c>
      <c r="J71" s="113">
        <f t="shared" si="2"/>
        <v>3.4945946297218589E-2</v>
      </c>
      <c r="K71" s="26"/>
      <c r="L71" s="34">
        <v>271.73727400000001</v>
      </c>
      <c r="M71" s="113">
        <f t="shared" si="3"/>
        <v>4.6523479065163631E-3</v>
      </c>
      <c r="N71" s="26"/>
      <c r="O71" s="34">
        <v>2418.275635</v>
      </c>
      <c r="P71" s="113">
        <f t="shared" si="4"/>
        <v>2.6746120246171401E-2</v>
      </c>
      <c r="Q71" s="26"/>
      <c r="R71" s="121" t="s">
        <v>257</v>
      </c>
      <c r="S71" s="121"/>
    </row>
    <row r="72" spans="2:23" x14ac:dyDescent="0.35">
      <c r="B72" s="112">
        <v>45075</v>
      </c>
      <c r="C72" s="34">
        <v>18534.099609000001</v>
      </c>
      <c r="D72" s="54">
        <f t="shared" si="0"/>
        <v>1.8784444174779757E-3</v>
      </c>
      <c r="E72" s="26"/>
      <c r="F72" s="34">
        <v>3210.2307129999999</v>
      </c>
      <c r="G72" s="54">
        <f t="shared" si="1"/>
        <v>3.4794194805179535E-2</v>
      </c>
      <c r="H72" s="26"/>
      <c r="I72" s="34">
        <v>541.21740699999998</v>
      </c>
      <c r="J72" s="113">
        <f t="shared" si="2"/>
        <v>8.267576651174835E-3</v>
      </c>
      <c r="K72" s="26"/>
      <c r="L72" s="34">
        <v>284.06668100000002</v>
      </c>
      <c r="M72" s="113">
        <f t="shared" si="3"/>
        <v>4.5372527730590306E-2</v>
      </c>
      <c r="N72" s="26"/>
      <c r="O72" s="34">
        <v>2373.7634280000002</v>
      </c>
      <c r="P72" s="113">
        <f t="shared" si="4"/>
        <v>-1.8406589536680285E-2</v>
      </c>
      <c r="Q72" s="26"/>
      <c r="R72" t="s">
        <v>259</v>
      </c>
      <c r="S72">
        <v>0.22815123726741054</v>
      </c>
    </row>
    <row r="73" spans="2:23" x14ac:dyDescent="0.35">
      <c r="B73" s="112">
        <v>45082</v>
      </c>
      <c r="C73" s="34">
        <v>18563.400390999999</v>
      </c>
      <c r="D73" s="54">
        <f t="shared" si="0"/>
        <v>1.5809120819534339E-3</v>
      </c>
      <c r="E73" s="26"/>
      <c r="F73" s="34">
        <v>3154.0039059999999</v>
      </c>
      <c r="G73" s="54">
        <f t="shared" si="1"/>
        <v>-1.7514880401681587E-2</v>
      </c>
      <c r="H73" s="26"/>
      <c r="I73" s="34">
        <v>537.27728300000001</v>
      </c>
      <c r="J73" s="113">
        <f t="shared" si="2"/>
        <v>-7.2801132207486186E-3</v>
      </c>
      <c r="K73" s="26"/>
      <c r="L73" s="34">
        <v>289.06668100000002</v>
      </c>
      <c r="M73" s="113">
        <f t="shared" si="3"/>
        <v>1.7601501106706774E-2</v>
      </c>
      <c r="N73" s="26"/>
      <c r="O73" s="34">
        <v>2280.3842770000001</v>
      </c>
      <c r="P73" s="113">
        <f t="shared" si="4"/>
        <v>-3.9338019070702446E-2</v>
      </c>
      <c r="Q73" s="26"/>
      <c r="R73" t="s">
        <v>260</v>
      </c>
      <c r="S73">
        <v>5.2052987066650264E-2</v>
      </c>
    </row>
    <row r="74" spans="2:23" x14ac:dyDescent="0.35">
      <c r="B74" s="112">
        <v>45089</v>
      </c>
      <c r="C74" s="34">
        <v>18826</v>
      </c>
      <c r="D74" s="54">
        <f t="shared" si="0"/>
        <v>1.4146094113625551E-2</v>
      </c>
      <c r="E74" s="26"/>
      <c r="F74" s="34">
        <v>3311.070068</v>
      </c>
      <c r="G74" s="54">
        <f t="shared" si="1"/>
        <v>4.9798975106278842E-2</v>
      </c>
      <c r="H74" s="26"/>
      <c r="I74" s="34">
        <v>558.72027600000001</v>
      </c>
      <c r="J74" s="113">
        <f t="shared" si="2"/>
        <v>3.9910477659261145E-2</v>
      </c>
      <c r="K74" s="26"/>
      <c r="L74" s="34">
        <v>301.83334400000001</v>
      </c>
      <c r="M74" s="113">
        <f t="shared" si="3"/>
        <v>4.41651142768682E-2</v>
      </c>
      <c r="N74" s="26"/>
      <c r="O74" s="34">
        <v>2373.1342770000001</v>
      </c>
      <c r="P74" s="113">
        <f t="shared" si="4"/>
        <v>4.0672969435668449E-2</v>
      </c>
      <c r="Q74" s="26"/>
      <c r="R74" t="s">
        <v>264</v>
      </c>
      <c r="S74">
        <v>4.2759388900637033E-2</v>
      </c>
    </row>
    <row r="75" spans="2:23" x14ac:dyDescent="0.35">
      <c r="B75" s="112">
        <v>45096</v>
      </c>
      <c r="C75" s="34">
        <v>18665.5</v>
      </c>
      <c r="D75" s="54">
        <f t="shared" si="0"/>
        <v>-8.5254435355359703E-3</v>
      </c>
      <c r="E75" s="26"/>
      <c r="F75" s="34">
        <v>3291.9533689999998</v>
      </c>
      <c r="G75" s="54">
        <f t="shared" si="1"/>
        <v>-5.7735712646961312E-3</v>
      </c>
      <c r="H75" s="26"/>
      <c r="I75" s="34">
        <v>560.462219</v>
      </c>
      <c r="J75" s="113">
        <f t="shared" si="2"/>
        <v>3.1177372199036046E-3</v>
      </c>
      <c r="K75" s="26"/>
      <c r="L75" s="34">
        <v>305.60000600000001</v>
      </c>
      <c r="M75" s="113">
        <f t="shared" si="3"/>
        <v>1.2479277306088443E-2</v>
      </c>
      <c r="N75" s="26"/>
      <c r="O75" s="34">
        <v>2372.9892580000001</v>
      </c>
      <c r="P75" s="113">
        <f t="shared" si="4"/>
        <v>-6.1108636542628325E-5</v>
      </c>
      <c r="Q75" s="26"/>
      <c r="R75" t="s">
        <v>265</v>
      </c>
      <c r="S75">
        <v>2.8947413028339267E-2</v>
      </c>
    </row>
    <row r="76" spans="2:23" ht="15" thickBot="1" x14ac:dyDescent="0.4">
      <c r="B76" s="112">
        <v>45103</v>
      </c>
      <c r="C76" s="34">
        <v>19189.050781000002</v>
      </c>
      <c r="D76" s="54">
        <f t="shared" si="0"/>
        <v>2.804911633762841E-2</v>
      </c>
      <c r="E76" s="26"/>
      <c r="F76" s="34">
        <v>3356.1914059999999</v>
      </c>
      <c r="G76" s="54">
        <f t="shared" si="1"/>
        <v>1.9513653384316765E-2</v>
      </c>
      <c r="H76" s="26"/>
      <c r="I76" s="34">
        <v>562.494507</v>
      </c>
      <c r="J76" s="113">
        <f t="shared" si="2"/>
        <v>3.626092769689393E-3</v>
      </c>
      <c r="K76" s="26"/>
      <c r="L76" s="34">
        <v>300.29998799999998</v>
      </c>
      <c r="M76" s="113">
        <f t="shared" si="3"/>
        <v>-1.7342990497192678E-2</v>
      </c>
      <c r="N76" s="26"/>
      <c r="O76" s="34">
        <v>2354.1682129999999</v>
      </c>
      <c r="P76" s="113">
        <f t="shared" si="4"/>
        <v>-7.9313654440488213E-3</v>
      </c>
      <c r="Q76" s="26"/>
      <c r="R76" s="119" t="s">
        <v>266</v>
      </c>
      <c r="S76" s="119">
        <v>104</v>
      </c>
    </row>
    <row r="77" spans="2:23" x14ac:dyDescent="0.35">
      <c r="B77" s="112">
        <v>45110</v>
      </c>
      <c r="C77" s="34">
        <v>19331.800781000002</v>
      </c>
      <c r="D77" s="54">
        <f t="shared" ref="D77:D115" si="5">C77/C76-1</f>
        <v>7.4391381642151533E-3</v>
      </c>
      <c r="E77" s="26"/>
      <c r="F77" s="34">
        <v>3337.8732909999999</v>
      </c>
      <c r="G77" s="54">
        <f t="shared" ref="G77:G115" si="6">F77/F76-1</f>
        <v>-5.4580066462395216E-3</v>
      </c>
      <c r="H77" s="26"/>
      <c r="I77" s="34">
        <v>558.13952600000005</v>
      </c>
      <c r="J77" s="113">
        <f t="shared" ref="J77:J115" si="7">I77/I76-1</f>
        <v>-7.7422640502335938E-3</v>
      </c>
      <c r="K77" s="26"/>
      <c r="L77" s="34">
        <v>313.79998799999998</v>
      </c>
      <c r="M77" s="113">
        <f t="shared" ref="M77:M115" si="8">L77/L76-1</f>
        <v>4.4955046751450345E-2</v>
      </c>
      <c r="N77" s="26"/>
      <c r="O77" s="34">
        <v>2434.8710940000001</v>
      </c>
      <c r="P77" s="113">
        <f t="shared" ref="P77:P115" si="9">O77/O76-1</f>
        <v>3.4280847287950333E-2</v>
      </c>
      <c r="Q77" s="26"/>
    </row>
    <row r="78" spans="2:23" ht="15" thickBot="1" x14ac:dyDescent="0.4">
      <c r="B78" s="112">
        <v>45117</v>
      </c>
      <c r="C78" s="34">
        <v>19564.5</v>
      </c>
      <c r="D78" s="54">
        <f t="shared" si="5"/>
        <v>1.2037120681933855E-2</v>
      </c>
      <c r="E78" s="26"/>
      <c r="F78" s="34">
        <v>3423.773193</v>
      </c>
      <c r="G78" s="54">
        <f t="shared" si="6"/>
        <v>2.5734919965840097E-2</v>
      </c>
      <c r="H78" s="26"/>
      <c r="I78" s="34">
        <v>554.19940199999996</v>
      </c>
      <c r="J78" s="113">
        <f t="shared" si="7"/>
        <v>-7.0593889456954662E-3</v>
      </c>
      <c r="K78" s="26"/>
      <c r="L78" s="34">
        <v>307.89999399999999</v>
      </c>
      <c r="M78" s="113">
        <f t="shared" si="8"/>
        <v>-1.8801766174701084E-2</v>
      </c>
      <c r="N78" s="26"/>
      <c r="O78" s="34">
        <v>2653.1748050000001</v>
      </c>
      <c r="P78" s="113">
        <f t="shared" si="9"/>
        <v>8.9657194394374029E-2</v>
      </c>
      <c r="Q78" s="26"/>
      <c r="R78" t="s">
        <v>267</v>
      </c>
    </row>
    <row r="79" spans="2:23" x14ac:dyDescent="0.35">
      <c r="B79" s="112">
        <v>45124</v>
      </c>
      <c r="C79" s="34">
        <v>19745</v>
      </c>
      <c r="D79" s="54">
        <f t="shared" si="5"/>
        <v>9.225893838329613E-3</v>
      </c>
      <c r="E79" s="26"/>
      <c r="F79" s="34">
        <v>3511.570068</v>
      </c>
      <c r="G79" s="54">
        <f t="shared" si="6"/>
        <v>2.5643309311347728E-2</v>
      </c>
      <c r="H79" s="26"/>
      <c r="I79" s="34">
        <v>573.31970200000001</v>
      </c>
      <c r="J79" s="113">
        <f t="shared" si="7"/>
        <v>3.4500758988549096E-2</v>
      </c>
      <c r="K79" s="26"/>
      <c r="L79" s="34">
        <v>322.79998799999998</v>
      </c>
      <c r="M79" s="113">
        <f t="shared" si="8"/>
        <v>4.8392316629924936E-2</v>
      </c>
      <c r="N79" s="26"/>
      <c r="O79" s="34">
        <v>2595.5024410000001</v>
      </c>
      <c r="P79" s="113">
        <f t="shared" si="9"/>
        <v>-2.1737114302199156E-2</v>
      </c>
      <c r="Q79" s="26"/>
      <c r="R79" s="120"/>
      <c r="S79" s="120" t="s">
        <v>268</v>
      </c>
      <c r="T79" s="120" t="s">
        <v>269</v>
      </c>
      <c r="U79" s="120" t="s">
        <v>270</v>
      </c>
      <c r="V79" s="120" t="s">
        <v>271</v>
      </c>
      <c r="W79" s="120" t="s">
        <v>272</v>
      </c>
    </row>
    <row r="80" spans="2:23" x14ac:dyDescent="0.35">
      <c r="B80" s="112">
        <v>45131</v>
      </c>
      <c r="C80" s="34">
        <v>19646.050781000002</v>
      </c>
      <c r="D80" s="54">
        <f t="shared" si="5"/>
        <v>-5.0113557356291638E-3</v>
      </c>
      <c r="E80" s="26"/>
      <c r="F80" s="34">
        <v>3384.79126</v>
      </c>
      <c r="G80" s="54">
        <f t="shared" si="6"/>
        <v>-3.6103169108115285E-2</v>
      </c>
      <c r="H80" s="26"/>
      <c r="I80" s="34">
        <v>563.78027299999997</v>
      </c>
      <c r="J80" s="113">
        <f t="shared" si="7"/>
        <v>-1.6638934553831253E-2</v>
      </c>
      <c r="K80" s="26"/>
      <c r="L80" s="34">
        <v>327.60000600000001</v>
      </c>
      <c r="M80" s="113">
        <f t="shared" si="8"/>
        <v>1.4869944790704359E-2</v>
      </c>
      <c r="N80" s="26"/>
      <c r="O80" s="34">
        <v>2631.4025879999999</v>
      </c>
      <c r="P80" s="113">
        <f t="shared" si="9"/>
        <v>1.383167529835494E-2</v>
      </c>
      <c r="Q80" s="26"/>
      <c r="R80" t="s">
        <v>273</v>
      </c>
      <c r="S80">
        <v>1</v>
      </c>
      <c r="T80">
        <v>4.6933320519408905E-3</v>
      </c>
      <c r="U80">
        <v>4.6933320519408905E-3</v>
      </c>
      <c r="V80">
        <v>5.6009509058621099</v>
      </c>
      <c r="W80">
        <v>1.983864948886184E-2</v>
      </c>
    </row>
    <row r="81" spans="2:26" x14ac:dyDescent="0.35">
      <c r="B81" s="112">
        <v>45138</v>
      </c>
      <c r="C81" s="34">
        <v>19517</v>
      </c>
      <c r="D81" s="54">
        <f t="shared" si="5"/>
        <v>-6.568789953694365E-3</v>
      </c>
      <c r="E81" s="26"/>
      <c r="F81" s="34">
        <v>3333.8303219999998</v>
      </c>
      <c r="G81" s="54">
        <f t="shared" si="6"/>
        <v>-1.5055858422418744E-2</v>
      </c>
      <c r="H81" s="26"/>
      <c r="I81" s="34">
        <v>584.51812700000005</v>
      </c>
      <c r="J81" s="113">
        <f t="shared" si="7"/>
        <v>3.6783575079080588E-2</v>
      </c>
      <c r="K81" s="26"/>
      <c r="L81" s="34">
        <v>327.10000600000001</v>
      </c>
      <c r="M81" s="113">
        <f t="shared" si="8"/>
        <v>-1.5262514982982145E-3</v>
      </c>
      <c r="N81" s="26"/>
      <c r="O81" s="34">
        <v>2772.3874510000001</v>
      </c>
      <c r="P81" s="113">
        <f t="shared" si="9"/>
        <v>5.3577838542431477E-2</v>
      </c>
      <c r="Q81" s="26"/>
      <c r="R81" t="s">
        <v>274</v>
      </c>
      <c r="S81">
        <v>102</v>
      </c>
      <c r="T81">
        <v>8.5471177545393115E-2</v>
      </c>
      <c r="U81">
        <v>8.3795272103326585E-4</v>
      </c>
    </row>
    <row r="82" spans="2:26" ht="15" thickBot="1" x14ac:dyDescent="0.4">
      <c r="B82" s="112">
        <v>45145</v>
      </c>
      <c r="C82" s="34">
        <v>19428.300781000002</v>
      </c>
      <c r="D82" s="54">
        <f t="shared" si="5"/>
        <v>-4.5447158374749552E-3</v>
      </c>
      <c r="E82" s="26"/>
      <c r="F82" s="34">
        <v>3179.7993160000001</v>
      </c>
      <c r="G82" s="54">
        <f t="shared" si="6"/>
        <v>-4.6202413177283352E-2</v>
      </c>
      <c r="H82" s="26"/>
      <c r="I82" s="34">
        <v>583.91668700000002</v>
      </c>
      <c r="J82" s="113">
        <f t="shared" si="7"/>
        <v>-1.0289501252713773E-3</v>
      </c>
      <c r="K82" s="26"/>
      <c r="L82" s="34">
        <v>329</v>
      </c>
      <c r="M82" s="113">
        <f t="shared" si="8"/>
        <v>5.8086027671915286E-3</v>
      </c>
      <c r="N82" s="26"/>
      <c r="O82" s="34">
        <v>2768.7045899999998</v>
      </c>
      <c r="P82" s="113">
        <f t="shared" si="9"/>
        <v>-1.3284077586889209E-3</v>
      </c>
      <c r="Q82" s="26"/>
      <c r="R82" s="119" t="s">
        <v>12</v>
      </c>
      <c r="S82" s="119">
        <v>103</v>
      </c>
      <c r="T82" s="119">
        <v>9.0164509597334005E-2</v>
      </c>
      <c r="U82" s="119"/>
      <c r="V82" s="119"/>
      <c r="W82" s="119"/>
    </row>
    <row r="83" spans="2:26" ht="15" thickBot="1" x14ac:dyDescent="0.4">
      <c r="B83" s="112">
        <v>45152</v>
      </c>
      <c r="C83" s="34">
        <v>19310.150390999999</v>
      </c>
      <c r="D83" s="54">
        <f t="shared" si="5"/>
        <v>-6.0813547891717112E-3</v>
      </c>
      <c r="E83" s="26"/>
      <c r="F83" s="34">
        <v>3158.0373540000001</v>
      </c>
      <c r="G83" s="54">
        <f t="shared" si="6"/>
        <v>-6.843816177486084E-3</v>
      </c>
      <c r="H83" s="26"/>
      <c r="I83" s="34">
        <v>587.70831299999998</v>
      </c>
      <c r="J83" s="113">
        <f t="shared" si="7"/>
        <v>6.493436622748705E-3</v>
      </c>
      <c r="K83" s="26"/>
      <c r="L83" s="34">
        <v>328.10000600000001</v>
      </c>
      <c r="M83" s="113">
        <f t="shared" si="8"/>
        <v>-2.7355440729482927E-3</v>
      </c>
      <c r="N83" s="26"/>
      <c r="O83" s="34">
        <v>2776.1687010000001</v>
      </c>
      <c r="P83" s="113">
        <f t="shared" si="9"/>
        <v>2.6958856596543956E-3</v>
      </c>
      <c r="Q83" s="26"/>
    </row>
    <row r="84" spans="2:26" x14ac:dyDescent="0.35">
      <c r="B84" s="112">
        <v>45159</v>
      </c>
      <c r="C84" s="34">
        <v>19265.800781000002</v>
      </c>
      <c r="D84" s="54">
        <f t="shared" si="5"/>
        <v>-2.2966993576947203E-3</v>
      </c>
      <c r="E84" s="26"/>
      <c r="F84" s="34">
        <v>3253.6203609999998</v>
      </c>
      <c r="G84" s="54">
        <f t="shared" si="6"/>
        <v>3.026658531411397E-2</v>
      </c>
      <c r="H84" s="26"/>
      <c r="I84" s="34">
        <v>586.95831299999998</v>
      </c>
      <c r="J84" s="113">
        <f t="shared" si="7"/>
        <v>-1.2761432557786279E-3</v>
      </c>
      <c r="K84" s="26"/>
      <c r="L84" s="34">
        <v>322.20001200000002</v>
      </c>
      <c r="M84" s="113">
        <f t="shared" si="8"/>
        <v>-1.7982303846711845E-2</v>
      </c>
      <c r="N84" s="26"/>
      <c r="O84" s="34">
        <v>2715.2758789999998</v>
      </c>
      <c r="P84" s="113">
        <f t="shared" si="9"/>
        <v>-2.193412164688191E-2</v>
      </c>
      <c r="Q84" s="26"/>
      <c r="R84" s="120"/>
      <c r="S84" s="120" t="s">
        <v>275</v>
      </c>
      <c r="T84" s="120" t="s">
        <v>265</v>
      </c>
      <c r="U84" s="120" t="s">
        <v>276</v>
      </c>
      <c r="V84" s="120" t="s">
        <v>277</v>
      </c>
      <c r="W84" s="120" t="s">
        <v>278</v>
      </c>
      <c r="X84" s="120" t="s">
        <v>279</v>
      </c>
      <c r="Y84" s="120" t="s">
        <v>280</v>
      </c>
      <c r="Z84" s="120" t="s">
        <v>281</v>
      </c>
    </row>
    <row r="85" spans="2:26" x14ac:dyDescent="0.35">
      <c r="B85" s="112">
        <v>45166</v>
      </c>
      <c r="C85" s="34">
        <v>19435.300781000002</v>
      </c>
      <c r="D85" s="54">
        <f t="shared" si="5"/>
        <v>8.797973254616176E-3</v>
      </c>
      <c r="E85" s="26"/>
      <c r="F85" s="34">
        <v>3253.8698730000001</v>
      </c>
      <c r="G85" s="54">
        <f t="shared" si="6"/>
        <v>7.6687496485705609E-5</v>
      </c>
      <c r="H85" s="26"/>
      <c r="I85" s="34">
        <v>599.875</v>
      </c>
      <c r="J85" s="113">
        <f t="shared" si="7"/>
        <v>2.2006140323631573E-2</v>
      </c>
      <c r="K85" s="26"/>
      <c r="L85" s="34">
        <v>340</v>
      </c>
      <c r="M85" s="113">
        <f t="shared" si="8"/>
        <v>5.524515002190622E-2</v>
      </c>
      <c r="N85" s="26"/>
      <c r="O85" s="34">
        <v>2687.6779790000001</v>
      </c>
      <c r="P85" s="113">
        <f t="shared" si="9"/>
        <v>-1.0163939588401449E-2</v>
      </c>
      <c r="Q85" s="26"/>
      <c r="R85" t="s">
        <v>282</v>
      </c>
      <c r="S85">
        <v>2.1505968852367973E-3</v>
      </c>
      <c r="T85">
        <v>2.8669740134556003E-3</v>
      </c>
      <c r="U85">
        <v>0.75012779158212717</v>
      </c>
      <c r="V85">
        <v>0.45490455871307478</v>
      </c>
      <c r="W85">
        <v>-3.53603247687538E-3</v>
      </c>
      <c r="X85">
        <v>7.8372262473489739E-3</v>
      </c>
      <c r="Y85">
        <v>-3.53603247687538E-3</v>
      </c>
      <c r="Z85">
        <v>7.8372262473489739E-3</v>
      </c>
    </row>
    <row r="86" spans="2:26" ht="15" thickBot="1" x14ac:dyDescent="0.4">
      <c r="B86" s="112">
        <v>45173</v>
      </c>
      <c r="C86" s="34">
        <v>19819.949218999998</v>
      </c>
      <c r="D86" s="54">
        <f t="shared" si="5"/>
        <v>1.9791226404688889E-2</v>
      </c>
      <c r="E86" s="26"/>
      <c r="F86" s="34">
        <v>3232.407471</v>
      </c>
      <c r="G86" s="54">
        <f t="shared" si="6"/>
        <v>-6.5959619891658994E-3</v>
      </c>
      <c r="H86" s="26"/>
      <c r="I86" s="34">
        <v>597.41668700000002</v>
      </c>
      <c r="J86" s="113">
        <f t="shared" si="7"/>
        <v>-4.0980420921025162E-3</v>
      </c>
      <c r="K86" s="26"/>
      <c r="L86" s="34">
        <v>337.25</v>
      </c>
      <c r="M86" s="113">
        <f t="shared" si="8"/>
        <v>-8.0882352941176183E-3</v>
      </c>
      <c r="N86" s="26"/>
      <c r="O86" s="34">
        <v>2659.0974120000001</v>
      </c>
      <c r="P86" s="113">
        <f t="shared" si="9"/>
        <v>-1.0633925352409146E-2</v>
      </c>
      <c r="Q86" s="26"/>
      <c r="R86" s="119" t="s">
        <v>283</v>
      </c>
      <c r="S86" s="119">
        <v>0.39819146073727552</v>
      </c>
      <c r="T86" s="119">
        <v>0.16825231921528491</v>
      </c>
      <c r="U86" s="119">
        <v>2.3666328202452602</v>
      </c>
      <c r="V86" s="119">
        <v>1.9838649488862662E-2</v>
      </c>
      <c r="W86" s="119">
        <v>6.4463783331549562E-2</v>
      </c>
      <c r="X86" s="119">
        <v>0.73191913814300147</v>
      </c>
      <c r="Y86" s="119">
        <v>6.4463783331549562E-2</v>
      </c>
      <c r="Z86" s="119">
        <v>0.73191913814300147</v>
      </c>
    </row>
    <row r="87" spans="2:26" x14ac:dyDescent="0.35">
      <c r="B87" s="112">
        <v>45180</v>
      </c>
      <c r="C87" s="34">
        <v>20192.349609000001</v>
      </c>
      <c r="D87" s="54">
        <f t="shared" si="5"/>
        <v>1.8789169734249711E-2</v>
      </c>
      <c r="E87" s="26"/>
      <c r="F87" s="34">
        <v>3191.079346</v>
      </c>
      <c r="G87" s="54">
        <f t="shared" si="6"/>
        <v>-1.278555546315896E-2</v>
      </c>
      <c r="H87" s="26"/>
      <c r="I87" s="34">
        <v>599.75</v>
      </c>
      <c r="J87" s="113">
        <f t="shared" si="7"/>
        <v>3.905670950901996E-3</v>
      </c>
      <c r="K87" s="26"/>
      <c r="L87" s="34">
        <v>326.64999399999999</v>
      </c>
      <c r="M87" s="113">
        <f t="shared" si="8"/>
        <v>-3.1430707190511553E-2</v>
      </c>
      <c r="N87" s="26"/>
      <c r="O87" s="34">
        <v>2548.9504390000002</v>
      </c>
      <c r="P87" s="113">
        <f t="shared" si="9"/>
        <v>-4.142269196417081E-2</v>
      </c>
      <c r="Q87" s="26"/>
    </row>
    <row r="88" spans="2:26" x14ac:dyDescent="0.35">
      <c r="B88" s="112">
        <v>45187</v>
      </c>
      <c r="C88" s="34">
        <v>19674.25</v>
      </c>
      <c r="D88" s="54">
        <f t="shared" si="5"/>
        <v>-2.5658213087251469E-2</v>
      </c>
      <c r="E88" s="26"/>
      <c r="F88" s="34">
        <v>3269.1433109999998</v>
      </c>
      <c r="G88" s="54">
        <f t="shared" si="6"/>
        <v>2.4463185190882974E-2</v>
      </c>
      <c r="H88" s="26"/>
      <c r="I88" s="34">
        <v>669.29998799999998</v>
      </c>
      <c r="J88" s="113">
        <f t="shared" si="7"/>
        <v>0.11596496540225099</v>
      </c>
      <c r="K88" s="26"/>
      <c r="L88" s="34">
        <v>322.45001200000002</v>
      </c>
      <c r="M88" s="113">
        <f t="shared" si="8"/>
        <v>-1.2857743998611504E-2</v>
      </c>
      <c r="N88" s="26"/>
      <c r="O88" s="34">
        <v>2475.0935060000002</v>
      </c>
      <c r="P88" s="113">
        <f t="shared" si="9"/>
        <v>-2.8975429208021541E-2</v>
      </c>
      <c r="Q88" s="26"/>
    </row>
    <row r="89" spans="2:26" x14ac:dyDescent="0.35">
      <c r="B89" s="112">
        <v>45194</v>
      </c>
      <c r="C89" s="34">
        <v>19638.300781000002</v>
      </c>
      <c r="D89" s="54">
        <f t="shared" si="5"/>
        <v>-1.8272218254824502E-3</v>
      </c>
      <c r="E89" s="26"/>
      <c r="F89" s="34">
        <v>3155.5415039999998</v>
      </c>
      <c r="G89" s="54">
        <f t="shared" si="6"/>
        <v>-3.4749717645522926E-2</v>
      </c>
      <c r="H89" s="26"/>
      <c r="I89" s="34">
        <v>568.84997599999997</v>
      </c>
      <c r="J89" s="113">
        <f t="shared" si="7"/>
        <v>-0.15008219602717221</v>
      </c>
      <c r="K89" s="26"/>
      <c r="L89" s="34">
        <v>317.45001200000002</v>
      </c>
      <c r="M89" s="113">
        <f t="shared" si="8"/>
        <v>-1.5506279466350303E-2</v>
      </c>
      <c r="N89" s="26"/>
      <c r="O89" s="34">
        <v>2463.798828</v>
      </c>
      <c r="P89" s="113">
        <f t="shared" si="9"/>
        <v>-4.5633338589512462E-3</v>
      </c>
      <c r="Q89" s="26"/>
    </row>
    <row r="90" spans="2:26" x14ac:dyDescent="0.35">
      <c r="B90" s="112">
        <v>45201</v>
      </c>
      <c r="C90" s="34">
        <v>19653.5</v>
      </c>
      <c r="D90" s="54">
        <f t="shared" si="5"/>
        <v>7.7395794928980521E-4</v>
      </c>
      <c r="E90" s="26"/>
      <c r="F90" s="34">
        <v>3190.1811520000001</v>
      </c>
      <c r="G90" s="54">
        <f t="shared" si="6"/>
        <v>1.0977402121344459E-2</v>
      </c>
      <c r="H90" s="26"/>
      <c r="I90" s="34">
        <v>565.34997599999997</v>
      </c>
      <c r="J90" s="113">
        <f t="shared" si="7"/>
        <v>-6.1527646087129462E-3</v>
      </c>
      <c r="K90" s="26"/>
      <c r="L90" s="34">
        <v>323.79998799999998</v>
      </c>
      <c r="M90" s="113">
        <f t="shared" si="8"/>
        <v>2.0003073743780408E-2</v>
      </c>
      <c r="N90" s="26"/>
      <c r="O90" s="34">
        <v>2463.0622560000002</v>
      </c>
      <c r="P90" s="113">
        <f t="shared" si="9"/>
        <v>-2.9895784981670559E-4</v>
      </c>
      <c r="Q90" s="26"/>
    </row>
    <row r="91" spans="2:26" x14ac:dyDescent="0.35">
      <c r="B91" s="112">
        <v>45208</v>
      </c>
      <c r="C91" s="34">
        <v>19751.050781000002</v>
      </c>
      <c r="D91" s="54">
        <f t="shared" si="5"/>
        <v>4.96353224616497E-3</v>
      </c>
      <c r="E91" s="26"/>
      <c r="F91" s="34">
        <v>3143.3129880000001</v>
      </c>
      <c r="G91" s="54">
        <f t="shared" si="6"/>
        <v>-1.4691380133889043E-2</v>
      </c>
      <c r="H91" s="26"/>
      <c r="I91" s="34">
        <v>568.25</v>
      </c>
      <c r="J91" s="113">
        <f t="shared" si="7"/>
        <v>5.1296084250651575E-3</v>
      </c>
      <c r="K91" s="26"/>
      <c r="L91" s="34">
        <v>322.89999399999999</v>
      </c>
      <c r="M91" s="113">
        <f t="shared" si="8"/>
        <v>-2.7794750875654861E-3</v>
      </c>
      <c r="N91" s="26"/>
      <c r="O91" s="34">
        <v>2437.5754390000002</v>
      </c>
      <c r="P91" s="113">
        <f t="shared" si="9"/>
        <v>-1.0347613803879385E-2</v>
      </c>
      <c r="Q91" s="26"/>
    </row>
    <row r="92" spans="2:26" x14ac:dyDescent="0.35">
      <c r="B92" s="112">
        <v>45215</v>
      </c>
      <c r="C92" s="34">
        <v>19542.650390999999</v>
      </c>
      <c r="D92" s="54">
        <f t="shared" si="5"/>
        <v>-1.0551357105540893E-2</v>
      </c>
      <c r="E92" s="26"/>
      <c r="F92" s="34">
        <v>3100.4377439999998</v>
      </c>
      <c r="G92" s="54">
        <f t="shared" si="6"/>
        <v>-1.3640144702001367E-2</v>
      </c>
      <c r="H92" s="26"/>
      <c r="I92" s="34">
        <v>584.25</v>
      </c>
      <c r="J92" s="113">
        <f t="shared" si="7"/>
        <v>2.8156621205455368E-2</v>
      </c>
      <c r="K92" s="26"/>
      <c r="L92" s="34">
        <v>321.25</v>
      </c>
      <c r="M92" s="113">
        <f t="shared" si="8"/>
        <v>-5.1099226715997093E-3</v>
      </c>
      <c r="N92" s="26"/>
      <c r="O92" s="34">
        <v>2398.2409670000002</v>
      </c>
      <c r="P92" s="113">
        <f t="shared" si="9"/>
        <v>-1.6136719861329363E-2</v>
      </c>
      <c r="Q92" s="26"/>
    </row>
    <row r="93" spans="2:26" x14ac:dyDescent="0.35">
      <c r="B93" s="112">
        <v>45222</v>
      </c>
      <c r="C93" s="34">
        <v>19047.25</v>
      </c>
      <c r="D93" s="54">
        <f t="shared" si="5"/>
        <v>-2.5349703396840506E-2</v>
      </c>
      <c r="E93" s="26"/>
      <c r="F93" s="34">
        <v>2950.0002439999998</v>
      </c>
      <c r="G93" s="54">
        <f t="shared" si="6"/>
        <v>-4.852137421276348E-2</v>
      </c>
      <c r="H93" s="26"/>
      <c r="I93" s="34">
        <v>537.54998799999998</v>
      </c>
      <c r="J93" s="113">
        <f t="shared" si="7"/>
        <v>-7.9931556696619666E-2</v>
      </c>
      <c r="K93" s="26"/>
      <c r="L93" s="34">
        <v>313.54998799999998</v>
      </c>
      <c r="M93" s="113">
        <f t="shared" si="8"/>
        <v>-2.396890894941639E-2</v>
      </c>
      <c r="N93" s="26"/>
      <c r="O93" s="34">
        <v>2378.1071780000002</v>
      </c>
      <c r="P93" s="113">
        <f t="shared" si="9"/>
        <v>-8.3952318707930518E-3</v>
      </c>
      <c r="Q93" s="26"/>
    </row>
    <row r="94" spans="2:26" x14ac:dyDescent="0.35">
      <c r="B94" s="112">
        <v>45229</v>
      </c>
      <c r="C94" s="34">
        <v>19230.599609000001</v>
      </c>
      <c r="D94" s="54">
        <f t="shared" si="5"/>
        <v>9.6260409770438926E-3</v>
      </c>
      <c r="E94" s="26"/>
      <c r="F94" s="34">
        <v>2972.6608890000002</v>
      </c>
      <c r="G94" s="54">
        <f t="shared" si="6"/>
        <v>7.681573940913955E-3</v>
      </c>
      <c r="H94" s="26"/>
      <c r="I94" s="34">
        <v>553.15002400000003</v>
      </c>
      <c r="J94" s="113">
        <f t="shared" si="7"/>
        <v>2.9020623845684268E-2</v>
      </c>
      <c r="K94" s="26"/>
      <c r="L94" s="34">
        <v>305</v>
      </c>
      <c r="M94" s="113">
        <f t="shared" si="8"/>
        <v>-2.7268341021272735E-2</v>
      </c>
      <c r="N94" s="26"/>
      <c r="O94" s="34">
        <v>2398.9284670000002</v>
      </c>
      <c r="P94" s="113">
        <f t="shared" si="9"/>
        <v>8.7554039585007182E-3</v>
      </c>
      <c r="Q94" s="26"/>
    </row>
    <row r="95" spans="2:26" x14ac:dyDescent="0.35">
      <c r="B95" s="112">
        <v>45236</v>
      </c>
      <c r="C95" s="34">
        <v>19425.349609000001</v>
      </c>
      <c r="D95" s="54">
        <f t="shared" si="5"/>
        <v>1.0127089324289962E-2</v>
      </c>
      <c r="E95" s="26"/>
      <c r="F95" s="34">
        <v>3076.4499510000001</v>
      </c>
      <c r="G95" s="54">
        <f t="shared" si="6"/>
        <v>3.4914531416637473E-2</v>
      </c>
      <c r="H95" s="26"/>
      <c r="I95" s="34">
        <v>578.40002400000003</v>
      </c>
      <c r="J95" s="113">
        <f t="shared" si="7"/>
        <v>4.5647652362752034E-2</v>
      </c>
      <c r="K95" s="26"/>
      <c r="L95" s="34">
        <v>304.39999399999999</v>
      </c>
      <c r="M95" s="113">
        <f t="shared" si="8"/>
        <v>-1.9672327868852646E-3</v>
      </c>
      <c r="N95" s="26"/>
      <c r="O95" s="34">
        <v>2408.8969729999999</v>
      </c>
      <c r="P95" s="113">
        <f t="shared" si="9"/>
        <v>4.1553994365099989E-3</v>
      </c>
      <c r="Q95" s="26"/>
    </row>
    <row r="96" spans="2:26" x14ac:dyDescent="0.35">
      <c r="B96" s="112">
        <v>45243</v>
      </c>
      <c r="C96" s="34">
        <v>19731.800781000002</v>
      </c>
      <c r="D96" s="54">
        <f t="shared" si="5"/>
        <v>1.5775838178892609E-2</v>
      </c>
      <c r="E96" s="26"/>
      <c r="F96" s="34">
        <v>3168.8999020000001</v>
      </c>
      <c r="G96" s="54">
        <f t="shared" si="6"/>
        <v>3.005085487249648E-2</v>
      </c>
      <c r="H96" s="26"/>
      <c r="I96" s="34">
        <v>587.79998799999998</v>
      </c>
      <c r="J96" s="113">
        <f t="shared" si="7"/>
        <v>1.6251665992323527E-2</v>
      </c>
      <c r="K96" s="26"/>
      <c r="L96" s="34">
        <v>325.39999399999999</v>
      </c>
      <c r="M96" s="113">
        <f t="shared" si="8"/>
        <v>6.8988174815798553E-2</v>
      </c>
      <c r="N96" s="26"/>
      <c r="O96" s="34">
        <v>2436.790039</v>
      </c>
      <c r="P96" s="113">
        <f t="shared" si="9"/>
        <v>1.1579185956327009E-2</v>
      </c>
      <c r="Q96" s="26"/>
    </row>
    <row r="97" spans="2:17" x14ac:dyDescent="0.35">
      <c r="B97" s="112">
        <v>45250</v>
      </c>
      <c r="C97" s="34">
        <v>19794.699218999998</v>
      </c>
      <c r="D97" s="54">
        <f t="shared" si="5"/>
        <v>3.1876684088845142E-3</v>
      </c>
      <c r="E97" s="26"/>
      <c r="F97" s="34">
        <v>3136.1499020000001</v>
      </c>
      <c r="G97" s="54">
        <f t="shared" si="6"/>
        <v>-1.03348168174483E-2</v>
      </c>
      <c r="H97" s="26"/>
      <c r="I97" s="34">
        <v>573.54998799999998</v>
      </c>
      <c r="J97" s="113">
        <f t="shared" si="7"/>
        <v>-2.4242940270356006E-2</v>
      </c>
      <c r="K97" s="26"/>
      <c r="L97" s="34">
        <v>320.35000600000001</v>
      </c>
      <c r="M97" s="113">
        <f t="shared" si="8"/>
        <v>-1.5519324195193418E-2</v>
      </c>
      <c r="N97" s="26"/>
      <c r="O97" s="34">
        <v>2432.321289</v>
      </c>
      <c r="P97" s="113">
        <f t="shared" si="9"/>
        <v>-1.8338674766718022E-3</v>
      </c>
      <c r="Q97" s="26"/>
    </row>
    <row r="98" spans="2:17" x14ac:dyDescent="0.35">
      <c r="B98" s="112">
        <v>45257</v>
      </c>
      <c r="C98" s="34">
        <v>20267.900390999999</v>
      </c>
      <c r="D98" s="54">
        <f t="shared" si="5"/>
        <v>2.390544896715574E-2</v>
      </c>
      <c r="E98" s="26"/>
      <c r="F98" s="34">
        <v>3173.3999020000001</v>
      </c>
      <c r="G98" s="54">
        <f t="shared" si="6"/>
        <v>1.1877621020680351E-2</v>
      </c>
      <c r="H98" s="26"/>
      <c r="I98" s="34">
        <v>586.15002400000003</v>
      </c>
      <c r="J98" s="113">
        <f t="shared" si="7"/>
        <v>2.1968505385096426E-2</v>
      </c>
      <c r="K98" s="26"/>
      <c r="L98" s="34">
        <v>320.04998799999998</v>
      </c>
      <c r="M98" s="113">
        <f t="shared" si="8"/>
        <v>-9.3653190067377601E-4</v>
      </c>
      <c r="N98" s="26"/>
      <c r="O98" s="34">
        <v>2437.2319339999999</v>
      </c>
      <c r="P98" s="113">
        <f t="shared" si="9"/>
        <v>2.0189129709993203E-3</v>
      </c>
      <c r="Q98" s="26"/>
    </row>
    <row r="99" spans="2:17" x14ac:dyDescent="0.35">
      <c r="B99" s="112">
        <v>45264</v>
      </c>
      <c r="C99" s="34">
        <v>20969.400390999999</v>
      </c>
      <c r="D99" s="54">
        <f t="shared" si="5"/>
        <v>3.4611379889724736E-2</v>
      </c>
      <c r="E99" s="26"/>
      <c r="F99" s="34">
        <v>3232</v>
      </c>
      <c r="G99" s="54">
        <f t="shared" si="6"/>
        <v>1.8466030065441119E-2</v>
      </c>
      <c r="H99" s="26"/>
      <c r="I99" s="34">
        <v>578.95001200000002</v>
      </c>
      <c r="J99" s="113">
        <f t="shared" si="7"/>
        <v>-1.2283565137242047E-2</v>
      </c>
      <c r="K99" s="26"/>
      <c r="L99" s="34">
        <v>330.35000600000001</v>
      </c>
      <c r="M99" s="113">
        <f t="shared" si="8"/>
        <v>3.2182528936698596E-2</v>
      </c>
      <c r="N99" s="26"/>
      <c r="O99" s="34">
        <v>2515.9013669999999</v>
      </c>
      <c r="P99" s="113">
        <f t="shared" si="9"/>
        <v>3.2278188998979385E-2</v>
      </c>
      <c r="Q99" s="26"/>
    </row>
    <row r="100" spans="2:17" x14ac:dyDescent="0.35">
      <c r="B100" s="112">
        <v>45271</v>
      </c>
      <c r="C100" s="34">
        <v>21456.650390999999</v>
      </c>
      <c r="D100" s="54">
        <f t="shared" si="5"/>
        <v>2.3236239039487572E-2</v>
      </c>
      <c r="E100" s="26"/>
      <c r="F100" s="34">
        <v>3313.8999020000001</v>
      </c>
      <c r="G100" s="54">
        <f t="shared" si="6"/>
        <v>2.5340316212871361E-2</v>
      </c>
      <c r="H100" s="26"/>
      <c r="I100" s="34">
        <v>585.79998799999998</v>
      </c>
      <c r="J100" s="113">
        <f t="shared" si="7"/>
        <v>1.18317227014757E-2</v>
      </c>
      <c r="K100" s="26"/>
      <c r="L100" s="34">
        <v>332.89999399999999</v>
      </c>
      <c r="M100" s="113">
        <f t="shared" si="8"/>
        <v>7.7190493527643511E-3</v>
      </c>
      <c r="N100" s="26"/>
      <c r="O100" s="34">
        <v>2508.6335450000001</v>
      </c>
      <c r="P100" s="113">
        <f t="shared" si="9"/>
        <v>-2.888754740280608E-3</v>
      </c>
      <c r="Q100" s="26"/>
    </row>
    <row r="101" spans="2:17" x14ac:dyDescent="0.35">
      <c r="B101" s="112">
        <v>45278</v>
      </c>
      <c r="C101" s="34">
        <v>21349.400390999999</v>
      </c>
      <c r="D101" s="54">
        <f t="shared" si="5"/>
        <v>-4.9984502727874469E-3</v>
      </c>
      <c r="E101" s="26"/>
      <c r="F101" s="34">
        <v>3341.3000489999999</v>
      </c>
      <c r="G101" s="54">
        <f t="shared" si="6"/>
        <v>8.2682482302689486E-3</v>
      </c>
      <c r="H101" s="26"/>
      <c r="I101" s="34">
        <v>583.15002400000003</v>
      </c>
      <c r="J101" s="113">
        <f t="shared" si="7"/>
        <v>-4.523666873137544E-3</v>
      </c>
      <c r="K101" s="26"/>
      <c r="L101" s="34">
        <v>322.45001200000002</v>
      </c>
      <c r="M101" s="113">
        <f t="shared" si="8"/>
        <v>-3.13907545459432E-2</v>
      </c>
      <c r="N101" s="26"/>
      <c r="O101" s="34">
        <v>2520.0263669999999</v>
      </c>
      <c r="P101" s="113">
        <f t="shared" si="9"/>
        <v>4.5414452910856884E-3</v>
      </c>
      <c r="Q101" s="26"/>
    </row>
    <row r="102" spans="2:17" x14ac:dyDescent="0.35">
      <c r="B102" s="112">
        <v>45285</v>
      </c>
      <c r="C102" s="34">
        <v>21731.400390999999</v>
      </c>
      <c r="D102" s="54">
        <f t="shared" si="5"/>
        <v>1.7892774176507364E-2</v>
      </c>
      <c r="E102" s="26"/>
      <c r="F102" s="34">
        <v>3402.3999020000001</v>
      </c>
      <c r="G102" s="54">
        <f t="shared" si="6"/>
        <v>1.8286251490130745E-2</v>
      </c>
      <c r="H102" s="26"/>
      <c r="I102" s="34">
        <v>604.65002400000003</v>
      </c>
      <c r="J102" s="113">
        <f t="shared" si="7"/>
        <v>3.6868728654978256E-2</v>
      </c>
      <c r="K102" s="26"/>
      <c r="L102" s="34">
        <v>333.25</v>
      </c>
      <c r="M102" s="113">
        <f t="shared" si="8"/>
        <v>3.349352643224579E-2</v>
      </c>
      <c r="N102" s="26"/>
      <c r="O102" s="34">
        <v>2560.8833009999998</v>
      </c>
      <c r="P102" s="113">
        <f t="shared" si="9"/>
        <v>1.6212899410508408E-2</v>
      </c>
      <c r="Q102" s="26"/>
    </row>
    <row r="103" spans="2:17" x14ac:dyDescent="0.35">
      <c r="B103" s="112">
        <v>45292</v>
      </c>
      <c r="C103" s="34">
        <v>21710.800781000002</v>
      </c>
      <c r="D103" s="54">
        <f t="shared" si="5"/>
        <v>-9.4791912299074799E-4</v>
      </c>
      <c r="E103" s="26"/>
      <c r="F103" s="34">
        <v>3355.5500489999999</v>
      </c>
      <c r="G103" s="54">
        <f t="shared" si="6"/>
        <v>-1.3769649173943632E-2</v>
      </c>
      <c r="H103" s="26"/>
      <c r="I103" s="34">
        <v>596.34997599999997</v>
      </c>
      <c r="J103" s="113">
        <f t="shared" si="7"/>
        <v>-1.3727028314812539E-2</v>
      </c>
      <c r="K103" s="26"/>
      <c r="L103" s="34">
        <v>336.70001200000002</v>
      </c>
      <c r="M103" s="113">
        <f t="shared" si="8"/>
        <v>1.0352624156038992E-2</v>
      </c>
      <c r="N103" s="26"/>
      <c r="O103" s="34">
        <v>2611.5126949999999</v>
      </c>
      <c r="P103" s="113">
        <f t="shared" si="9"/>
        <v>1.977028550275195E-2</v>
      </c>
      <c r="Q103" s="26"/>
    </row>
    <row r="104" spans="2:17" x14ac:dyDescent="0.35">
      <c r="B104" s="112">
        <v>45299</v>
      </c>
      <c r="C104" s="34">
        <v>21894.550781000002</v>
      </c>
      <c r="D104" s="54">
        <f t="shared" si="5"/>
        <v>8.4635293674109047E-3</v>
      </c>
      <c r="E104" s="26"/>
      <c r="F104" s="34">
        <v>3277.8000489999999</v>
      </c>
      <c r="G104" s="54">
        <f t="shared" si="6"/>
        <v>-2.317056782484006E-2</v>
      </c>
      <c r="H104" s="26"/>
      <c r="I104" s="34">
        <v>595.79998799999998</v>
      </c>
      <c r="J104" s="113">
        <f t="shared" si="7"/>
        <v>-9.2225710092086466E-4</v>
      </c>
      <c r="K104" s="26"/>
      <c r="L104" s="34">
        <v>340.29998799999998</v>
      </c>
      <c r="M104" s="113">
        <f t="shared" si="8"/>
        <v>1.0691939030878173E-2</v>
      </c>
      <c r="N104" s="26"/>
      <c r="O104" s="34">
        <v>2613.9682619999999</v>
      </c>
      <c r="P104" s="113">
        <f t="shared" si="9"/>
        <v>9.4028530081491368E-4</v>
      </c>
      <c r="Q104" s="26"/>
    </row>
    <row r="105" spans="2:17" x14ac:dyDescent="0.35">
      <c r="B105" s="112">
        <v>45306</v>
      </c>
      <c r="C105" s="34">
        <v>21622.400390999999</v>
      </c>
      <c r="D105" s="54">
        <f t="shared" si="5"/>
        <v>-1.2430051327482539E-2</v>
      </c>
      <c r="E105" s="26"/>
      <c r="F105" s="34">
        <v>3165.8500979999999</v>
      </c>
      <c r="G105" s="54">
        <f t="shared" si="6"/>
        <v>-3.4153990275933466E-2</v>
      </c>
      <c r="H105" s="26"/>
      <c r="I105" s="34">
        <v>579.34997599999997</v>
      </c>
      <c r="J105" s="113">
        <f t="shared" si="7"/>
        <v>-2.7609956917286849E-2</v>
      </c>
      <c r="K105" s="26"/>
      <c r="L105" s="34">
        <v>344.29998799999998</v>
      </c>
      <c r="M105" s="113">
        <f t="shared" si="8"/>
        <v>1.1754334825307078E-2</v>
      </c>
      <c r="N105" s="26"/>
      <c r="O105" s="34">
        <v>2647.9504390000002</v>
      </c>
      <c r="P105" s="113">
        <f t="shared" si="9"/>
        <v>1.3000225555148903E-2</v>
      </c>
      <c r="Q105" s="26"/>
    </row>
    <row r="106" spans="2:17" x14ac:dyDescent="0.35">
      <c r="B106" s="112">
        <v>45313</v>
      </c>
      <c r="C106" s="34">
        <v>21352.599609000001</v>
      </c>
      <c r="D106" s="54">
        <f t="shared" si="5"/>
        <v>-1.2477836739731241E-2</v>
      </c>
      <c r="E106" s="26"/>
      <c r="F106" s="34">
        <v>2949.1999510000001</v>
      </c>
      <c r="G106" s="54">
        <f t="shared" si="6"/>
        <v>-6.8433482411838442E-2</v>
      </c>
      <c r="H106" s="26"/>
      <c r="I106" s="34">
        <v>554.70001200000002</v>
      </c>
      <c r="J106" s="113">
        <f t="shared" si="7"/>
        <v>-4.2547622371870042E-2</v>
      </c>
      <c r="K106" s="26"/>
      <c r="L106" s="34">
        <v>332.75</v>
      </c>
      <c r="M106" s="113">
        <f t="shared" si="8"/>
        <v>-3.3546292194468474E-2</v>
      </c>
      <c r="N106" s="26"/>
      <c r="O106" s="34">
        <v>2548.4101559999999</v>
      </c>
      <c r="P106" s="113">
        <f t="shared" si="9"/>
        <v>-3.7591444890332504E-2</v>
      </c>
      <c r="Q106" s="26"/>
    </row>
    <row r="107" spans="2:17" x14ac:dyDescent="0.35">
      <c r="B107" s="112">
        <v>45320</v>
      </c>
      <c r="C107" s="34">
        <v>21853.800781000002</v>
      </c>
      <c r="D107" s="54">
        <f t="shared" si="5"/>
        <v>2.3472606669810325E-2</v>
      </c>
      <c r="E107" s="26"/>
      <c r="F107" s="34">
        <v>2936.3000489999999</v>
      </c>
      <c r="G107" s="54">
        <f t="shared" si="6"/>
        <v>-4.374034387063519E-3</v>
      </c>
      <c r="H107" s="26"/>
      <c r="I107" s="34">
        <v>569.54998799999998</v>
      </c>
      <c r="J107" s="113">
        <f t="shared" si="7"/>
        <v>2.6771183844863433E-2</v>
      </c>
      <c r="K107" s="26"/>
      <c r="L107" s="34">
        <v>340.5</v>
      </c>
      <c r="M107" s="113">
        <f t="shared" si="8"/>
        <v>2.3290758827948954E-2</v>
      </c>
      <c r="N107" s="26"/>
      <c r="O107" s="34">
        <v>2634.593018</v>
      </c>
      <c r="P107" s="113">
        <f t="shared" si="9"/>
        <v>3.3818285411039595E-2</v>
      </c>
      <c r="Q107" s="26"/>
    </row>
    <row r="108" spans="2:17" x14ac:dyDescent="0.35">
      <c r="B108" s="112">
        <v>45327</v>
      </c>
      <c r="C108" s="34">
        <v>21782.5</v>
      </c>
      <c r="D108" s="54">
        <f t="shared" si="5"/>
        <v>-3.2626261085894059E-3</v>
      </c>
      <c r="E108" s="26"/>
      <c r="F108" s="34">
        <v>2951.6499020000001</v>
      </c>
      <c r="G108" s="54">
        <f t="shared" si="6"/>
        <v>5.2276173224286016E-3</v>
      </c>
      <c r="H108" s="26"/>
      <c r="I108" s="34">
        <v>554</v>
      </c>
      <c r="J108" s="113">
        <f t="shared" si="7"/>
        <v>-2.7302235673122288E-2</v>
      </c>
      <c r="K108" s="26"/>
      <c r="L108" s="34">
        <v>316.75</v>
      </c>
      <c r="M108" s="113">
        <f t="shared" si="8"/>
        <v>-6.9750367107195288E-2</v>
      </c>
      <c r="N108" s="26"/>
      <c r="O108" s="34">
        <v>2824.5390630000002</v>
      </c>
      <c r="P108" s="113">
        <f t="shared" si="9"/>
        <v>7.209692111922239E-2</v>
      </c>
      <c r="Q108" s="26"/>
    </row>
    <row r="109" spans="2:17" x14ac:dyDescent="0.35">
      <c r="B109" s="112">
        <v>45334</v>
      </c>
      <c r="C109" s="34">
        <v>22040.699218999998</v>
      </c>
      <c r="D109" s="54">
        <f t="shared" si="5"/>
        <v>1.1853516308963474E-2</v>
      </c>
      <c r="E109" s="26"/>
      <c r="F109" s="34">
        <v>3007.8999020000001</v>
      </c>
      <c r="G109" s="54">
        <f t="shared" si="6"/>
        <v>1.9057138165974763E-2</v>
      </c>
      <c r="H109" s="26"/>
      <c r="I109" s="34">
        <v>562.90002400000003</v>
      </c>
      <c r="J109" s="113">
        <f t="shared" si="7"/>
        <v>1.6065025270758149E-2</v>
      </c>
      <c r="K109" s="26"/>
      <c r="L109" s="34">
        <v>304.39999399999999</v>
      </c>
      <c r="M109" s="113">
        <f t="shared" si="8"/>
        <v>-3.8989758484609283E-2</v>
      </c>
      <c r="N109" s="26"/>
      <c r="O109" s="34">
        <v>2789.7221679999998</v>
      </c>
      <c r="P109" s="113">
        <f t="shared" si="9"/>
        <v>-1.2326575849519572E-2</v>
      </c>
      <c r="Q109" s="26"/>
    </row>
    <row r="110" spans="2:17" x14ac:dyDescent="0.35">
      <c r="B110" s="112">
        <v>45341</v>
      </c>
      <c r="C110" s="34">
        <v>22212.699218999998</v>
      </c>
      <c r="D110" s="54">
        <f t="shared" si="5"/>
        <v>7.803745166656384E-3</v>
      </c>
      <c r="E110" s="26"/>
      <c r="F110" s="34">
        <v>2985.9499510000001</v>
      </c>
      <c r="G110" s="54">
        <f t="shared" si="6"/>
        <v>-7.2974339955279577E-3</v>
      </c>
      <c r="H110" s="26"/>
      <c r="I110" s="34">
        <v>571.90002400000003</v>
      </c>
      <c r="J110" s="113">
        <f t="shared" si="7"/>
        <v>1.5988629625640183E-2</v>
      </c>
      <c r="K110" s="26"/>
      <c r="L110" s="34">
        <v>301.95001200000002</v>
      </c>
      <c r="M110" s="113">
        <f t="shared" si="8"/>
        <v>-8.0485612624551228E-3</v>
      </c>
      <c r="N110" s="26"/>
      <c r="O110" s="34">
        <v>2733.6000979999999</v>
      </c>
      <c r="P110" s="113">
        <f t="shared" si="9"/>
        <v>-2.0117440598120484E-2</v>
      </c>
      <c r="Q110" s="26"/>
    </row>
    <row r="111" spans="2:17" x14ac:dyDescent="0.35">
      <c r="B111" s="112">
        <v>45348</v>
      </c>
      <c r="C111" s="34">
        <v>22338.75</v>
      </c>
      <c r="D111" s="54">
        <f t="shared" si="5"/>
        <v>5.6747169606556902E-3</v>
      </c>
      <c r="E111" s="26"/>
      <c r="F111" s="34">
        <v>2831.75</v>
      </c>
      <c r="G111" s="54">
        <f t="shared" si="6"/>
        <v>-5.1641840462985034E-2</v>
      </c>
      <c r="H111" s="26"/>
      <c r="I111" s="34">
        <v>589.15002400000003</v>
      </c>
      <c r="J111" s="113">
        <f t="shared" si="7"/>
        <v>3.0162614576144886E-2</v>
      </c>
      <c r="K111" s="26"/>
      <c r="L111" s="34">
        <v>290.04998799999998</v>
      </c>
      <c r="M111" s="113">
        <f t="shared" si="8"/>
        <v>-3.9410576344007686E-2</v>
      </c>
      <c r="N111" s="26"/>
      <c r="O111" s="34">
        <v>2496.75</v>
      </c>
      <c r="P111" s="113">
        <f t="shared" si="9"/>
        <v>-8.6644018696548919E-2</v>
      </c>
      <c r="Q111" s="26"/>
    </row>
    <row r="112" spans="2:17" x14ac:dyDescent="0.35">
      <c r="B112" s="112">
        <v>45355</v>
      </c>
      <c r="C112" s="34">
        <v>22493.550781000002</v>
      </c>
      <c r="D112" s="54">
        <f t="shared" si="5"/>
        <v>6.9296975435062524E-3</v>
      </c>
      <c r="E112" s="26"/>
      <c r="F112" s="34">
        <v>2870.5500489999999</v>
      </c>
      <c r="G112" s="54">
        <f t="shared" si="6"/>
        <v>1.3701791824843212E-2</v>
      </c>
      <c r="H112" s="26"/>
      <c r="I112" s="34">
        <v>573.40002400000003</v>
      </c>
      <c r="J112" s="113">
        <f t="shared" si="7"/>
        <v>-2.6733428428070471E-2</v>
      </c>
      <c r="K112" s="26"/>
      <c r="L112" s="34">
        <v>284.04998799999998</v>
      </c>
      <c r="M112" s="113">
        <f t="shared" si="8"/>
        <v>-2.0686089461241397E-2</v>
      </c>
      <c r="N112" s="26"/>
      <c r="O112" s="34">
        <v>2418.6999510000001</v>
      </c>
      <c r="P112" s="113">
        <f t="shared" si="9"/>
        <v>-3.1260658455992796E-2</v>
      </c>
      <c r="Q112" s="26"/>
    </row>
    <row r="113" spans="2:17" x14ac:dyDescent="0.35">
      <c r="B113" s="112">
        <v>45362</v>
      </c>
      <c r="C113" s="34">
        <v>22023.349609000001</v>
      </c>
      <c r="D113" s="54">
        <f t="shared" si="5"/>
        <v>-2.0903821569921877E-2</v>
      </c>
      <c r="E113" s="26"/>
      <c r="F113" s="34">
        <v>2867.5500489999999</v>
      </c>
      <c r="G113" s="54">
        <f t="shared" si="6"/>
        <v>-1.0450958697080237E-3</v>
      </c>
      <c r="H113" s="26"/>
      <c r="I113" s="34">
        <v>557.79998799999998</v>
      </c>
      <c r="J113" s="113">
        <f t="shared" si="7"/>
        <v>-2.7206200465732855E-2</v>
      </c>
      <c r="K113" s="26"/>
      <c r="L113" s="34">
        <v>271.35000600000001</v>
      </c>
      <c r="M113" s="113">
        <f t="shared" si="8"/>
        <v>-4.4710376822828746E-2</v>
      </c>
      <c r="N113" s="26"/>
      <c r="O113" s="34">
        <v>2394.8999020000001</v>
      </c>
      <c r="P113" s="113">
        <f t="shared" si="9"/>
        <v>-9.8400171506018985E-3</v>
      </c>
      <c r="Q113" s="26"/>
    </row>
    <row r="114" spans="2:17" x14ac:dyDescent="0.35">
      <c r="B114" s="112">
        <v>45369</v>
      </c>
      <c r="C114" s="34">
        <v>22096.75</v>
      </c>
      <c r="D114" s="54">
        <f t="shared" si="5"/>
        <v>3.3328441087818739E-3</v>
      </c>
      <c r="E114" s="26"/>
      <c r="F114" s="34">
        <v>2841.5</v>
      </c>
      <c r="G114" s="54">
        <f t="shared" si="6"/>
        <v>-9.0844269689676072E-3</v>
      </c>
      <c r="H114" s="26"/>
      <c r="I114" s="34">
        <v>558.34997599999997</v>
      </c>
      <c r="J114" s="113">
        <f t="shared" si="7"/>
        <v>9.8599500149143537E-4</v>
      </c>
      <c r="K114" s="26"/>
      <c r="L114" s="34">
        <v>268.64999399999999</v>
      </c>
      <c r="M114" s="113">
        <f t="shared" si="8"/>
        <v>-9.950292759529189E-3</v>
      </c>
      <c r="N114" s="26"/>
      <c r="O114" s="34">
        <v>2462.5</v>
      </c>
      <c r="P114" s="113">
        <f t="shared" si="9"/>
        <v>2.8226690369625329E-2</v>
      </c>
      <c r="Q114" s="26"/>
    </row>
    <row r="115" spans="2:17" x14ac:dyDescent="0.35">
      <c r="B115" s="112">
        <v>45376</v>
      </c>
      <c r="C115" s="34">
        <v>22326.900390999999</v>
      </c>
      <c r="D115" s="54">
        <f t="shared" si="5"/>
        <v>1.0415576544061889E-2</v>
      </c>
      <c r="E115" s="26"/>
      <c r="F115" s="34">
        <v>2846.75</v>
      </c>
      <c r="G115" s="54">
        <f t="shared" si="6"/>
        <v>1.8476156959352785E-3</v>
      </c>
      <c r="H115" s="26"/>
      <c r="I115" s="34">
        <v>573.04998799999998</v>
      </c>
      <c r="J115" s="113">
        <f t="shared" si="7"/>
        <v>2.6327594934829834E-2</v>
      </c>
      <c r="K115" s="26"/>
      <c r="L115" s="34">
        <v>262.25</v>
      </c>
      <c r="M115" s="113">
        <f t="shared" si="8"/>
        <v>-2.3822795990831036E-2</v>
      </c>
      <c r="N115" s="26"/>
      <c r="O115" s="34">
        <v>2384.6999510000001</v>
      </c>
      <c r="P115" s="113">
        <f t="shared" si="9"/>
        <v>-3.1593928527918758E-2</v>
      </c>
      <c r="Q115" s="26"/>
    </row>
  </sheetData>
  <mergeCells count="9">
    <mergeCell ref="R67:S67"/>
    <mergeCell ref="R3:S3"/>
    <mergeCell ref="R24:S24"/>
    <mergeCell ref="R45:S45"/>
    <mergeCell ref="B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00C-62C6-4732-9A46-14EEBCA97687}">
  <dimension ref="A2:L38"/>
  <sheetViews>
    <sheetView showGridLines="0" workbookViewId="0">
      <selection activeCell="K40" sqref="K40"/>
    </sheetView>
  </sheetViews>
  <sheetFormatPr defaultRowHeight="14.5" x14ac:dyDescent="0.35"/>
  <cols>
    <col min="1" max="1" width="1.81640625" customWidth="1"/>
    <col min="2" max="2" width="38.08984375" customWidth="1"/>
    <col min="3" max="3" width="9.81640625" bestFit="1" customWidth="1"/>
    <col min="6" max="8" width="10.6328125" style="27" customWidth="1"/>
    <col min="9" max="12" width="9.6328125" customWidth="1"/>
  </cols>
  <sheetData>
    <row r="2" spans="1:12" x14ac:dyDescent="0.35">
      <c r="B2" s="12" t="s">
        <v>140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35">
      <c r="B4" s="42" t="s">
        <v>141</v>
      </c>
    </row>
    <row r="6" spans="1:12" ht="18.5" x14ac:dyDescent="0.45">
      <c r="B6" s="38" t="s">
        <v>130</v>
      </c>
    </row>
    <row r="8" spans="1:12" ht="31" x14ac:dyDescent="0.35">
      <c r="B8" s="39" t="s">
        <v>131</v>
      </c>
      <c r="C8" s="39"/>
      <c r="D8" s="39"/>
      <c r="E8" s="69" t="s">
        <v>132</v>
      </c>
      <c r="F8" s="69" t="s">
        <v>133</v>
      </c>
      <c r="G8" s="69" t="s">
        <v>134</v>
      </c>
      <c r="H8" s="69" t="s">
        <v>137</v>
      </c>
      <c r="I8" s="70" t="s">
        <v>135</v>
      </c>
      <c r="J8" s="70" t="s">
        <v>136</v>
      </c>
      <c r="K8" s="70" t="s">
        <v>138</v>
      </c>
      <c r="L8" s="70" t="s">
        <v>139</v>
      </c>
    </row>
    <row r="10" spans="1:12" x14ac:dyDescent="0.35">
      <c r="B10" s="40" t="str">
        <f>'Peer Comps Raw Data'!C3</f>
        <v>Asian Paints</v>
      </c>
      <c r="E10" s="62" t="s">
        <v>168</v>
      </c>
      <c r="F10" s="103">
        <f>'Peer Comps Raw Data'!E3</f>
        <v>2326.77</v>
      </c>
      <c r="G10" s="103">
        <f>'Peer Comps Raw Data'!F3</f>
        <v>272834.21999999997</v>
      </c>
      <c r="H10" s="63">
        <v>0.3</v>
      </c>
      <c r="I10" s="56">
        <f>F10/G10</f>
        <v>8.5281457729166101E-3</v>
      </c>
      <c r="J10" s="56">
        <f>F10/(F10+G10)</f>
        <v>8.456031503593588E-3</v>
      </c>
      <c r="K10" s="57">
        <f>Beta!G6</f>
        <v>0.85244608686702072</v>
      </c>
      <c r="L10" s="58">
        <f t="shared" ref="L10:L13" si="0">K10/(1+(1-H10)*I10)</f>
        <v>0.84738743635863756</v>
      </c>
    </row>
    <row r="11" spans="1:12" x14ac:dyDescent="0.35">
      <c r="B11" s="40" t="str">
        <f>'Peer Comps Raw Data'!C4</f>
        <v>Berger Paints</v>
      </c>
      <c r="E11" s="62" t="s">
        <v>168</v>
      </c>
      <c r="F11" s="103">
        <f>'Peer Comps Raw Data'!E4</f>
        <v>1154.17</v>
      </c>
      <c r="G11" s="103">
        <f>'Peer Comps Raw Data'!F4</f>
        <v>63646.64</v>
      </c>
      <c r="H11" s="63">
        <v>0.3</v>
      </c>
      <c r="I11" s="56">
        <f>F11/G11</f>
        <v>1.813402875627056E-2</v>
      </c>
      <c r="J11" s="56">
        <f>F11/(F11+G11)</f>
        <v>1.7811042794063842E-2</v>
      </c>
      <c r="K11" s="57">
        <f>Beta!J6</f>
        <v>0.86448504402549442</v>
      </c>
      <c r="L11" s="58">
        <f t="shared" si="0"/>
        <v>0.85364897745208057</v>
      </c>
    </row>
    <row r="12" spans="1:12" x14ac:dyDescent="0.35">
      <c r="B12" s="40" t="str">
        <f>'Peer Comps Raw Data'!C5</f>
        <v>Kansai Nerolac</v>
      </c>
      <c r="E12" s="62" t="s">
        <v>168</v>
      </c>
      <c r="F12" s="103">
        <f>'Peer Comps Raw Data'!E5</f>
        <v>323.27</v>
      </c>
      <c r="G12" s="103">
        <f>'Peer Comps Raw Data'!F5</f>
        <v>22080.89</v>
      </c>
      <c r="H12" s="63">
        <v>0.3</v>
      </c>
      <c r="I12" s="56">
        <f>F12/G12</f>
        <v>1.4640261330046025E-2</v>
      </c>
      <c r="J12" s="56">
        <f>F12/(F12+G12)</f>
        <v>1.4429016754031394E-2</v>
      </c>
      <c r="K12" s="57">
        <f>Beta!M6</f>
        <v>0.90831772614750528</v>
      </c>
      <c r="L12" s="58">
        <f>K12/(1+(1-H12)*I12)</f>
        <v>0.89910354850845053</v>
      </c>
    </row>
    <row r="13" spans="1:12" x14ac:dyDescent="0.35">
      <c r="B13" s="40" t="str">
        <f>'Peer Comps Raw Data'!C6</f>
        <v>Akzo Nobel</v>
      </c>
      <c r="E13" s="62" t="s">
        <v>168</v>
      </c>
      <c r="F13" s="103">
        <f>'Peer Comps Raw Data'!E6</f>
        <v>62.8</v>
      </c>
      <c r="G13" s="103">
        <f>'Peer Comps Raw Data'!F6</f>
        <v>11152.82</v>
      </c>
      <c r="H13" s="63">
        <v>0.3</v>
      </c>
      <c r="I13" s="56">
        <f>F13/G13</f>
        <v>5.6308628669699684E-3</v>
      </c>
      <c r="J13" s="56">
        <f>F13/(F13+G13)</f>
        <v>5.5993337862730733E-3</v>
      </c>
      <c r="K13" s="57">
        <f>Beta!P6</f>
        <v>0.54864359555295661</v>
      </c>
      <c r="L13" s="58">
        <f t="shared" si="0"/>
        <v>0.54648955015235856</v>
      </c>
    </row>
    <row r="14" spans="1:12" x14ac:dyDescent="0.35">
      <c r="A14" s="43"/>
      <c r="B14" s="43"/>
      <c r="C14" s="43"/>
      <c r="D14" s="43"/>
      <c r="E14" s="43"/>
      <c r="F14" s="44"/>
      <c r="G14" s="44"/>
      <c r="H14" s="59"/>
      <c r="I14" s="59"/>
      <c r="J14" s="59"/>
      <c r="K14" s="59"/>
      <c r="L14" s="59"/>
    </row>
    <row r="15" spans="1:12" x14ac:dyDescent="0.35">
      <c r="G15" s="45" t="s">
        <v>142</v>
      </c>
      <c r="H15" s="60">
        <f>AVERAGE(H10:H13)</f>
        <v>0.3</v>
      </c>
      <c r="I15" s="60">
        <f>AVERAGE(I10:I13)</f>
        <v>1.1733324681550791E-2</v>
      </c>
      <c r="J15" s="60">
        <f>AVERAGE(J10:J13)</f>
        <v>1.1573856209490474E-2</v>
      </c>
      <c r="K15" s="104">
        <f>AVERAGE(K10:K13)</f>
        <v>0.7934731131482442</v>
      </c>
      <c r="L15" s="104">
        <f>AVERAGE(L10:L13)</f>
        <v>0.78665737811788183</v>
      </c>
    </row>
    <row r="16" spans="1:12" x14ac:dyDescent="0.35">
      <c r="G16" s="46" t="s">
        <v>143</v>
      </c>
      <c r="H16" s="61">
        <f>MEDIAN(H10:H13)</f>
        <v>0.3</v>
      </c>
      <c r="I16" s="61">
        <f>MEDIAN(I10:I13)</f>
        <v>1.1584203551481317E-2</v>
      </c>
      <c r="J16" s="61">
        <f>MEDIAN(J10:J13)</f>
        <v>1.1442524128812491E-2</v>
      </c>
      <c r="K16" s="105">
        <f>MEDIAN(K10:K13)</f>
        <v>0.85846556544625763</v>
      </c>
      <c r="L16" s="105">
        <f>MEDIAN(L10:L13)</f>
        <v>0.85051820690535906</v>
      </c>
    </row>
    <row r="18" spans="2:12" x14ac:dyDescent="0.35">
      <c r="B18" s="46" t="s">
        <v>144</v>
      </c>
      <c r="C18" s="46"/>
      <c r="D18" s="46"/>
      <c r="E18" s="53"/>
      <c r="G18" s="46" t="s">
        <v>151</v>
      </c>
      <c r="H18" s="46"/>
      <c r="I18" s="46"/>
      <c r="J18" s="46"/>
      <c r="K18" s="46"/>
      <c r="L18" s="53"/>
    </row>
    <row r="19" spans="2:12" x14ac:dyDescent="0.35">
      <c r="E19" s="26"/>
      <c r="L19" s="26"/>
    </row>
    <row r="20" spans="2:12" x14ac:dyDescent="0.35">
      <c r="B20" t="s">
        <v>145</v>
      </c>
      <c r="E20" s="54">
        <f>67/630.38</f>
        <v>0.10628509787747073</v>
      </c>
      <c r="G20" s="27" t="s">
        <v>147</v>
      </c>
      <c r="L20" s="54">
        <v>7.1800000000000003E-2</v>
      </c>
    </row>
    <row r="21" spans="2:12" x14ac:dyDescent="0.35">
      <c r="B21" s="47" t="s">
        <v>146</v>
      </c>
      <c r="C21" s="47"/>
      <c r="D21" s="47"/>
      <c r="E21" s="55">
        <f>H16</f>
        <v>0.3</v>
      </c>
      <c r="G21" s="27" t="s">
        <v>148</v>
      </c>
      <c r="L21" s="54">
        <f>RM!F5-WACC!L20</f>
        <v>8.4291666666666654E-2</v>
      </c>
    </row>
    <row r="22" spans="2:12" ht="16.5" x14ac:dyDescent="0.35">
      <c r="B22" t="s">
        <v>152</v>
      </c>
      <c r="E22" s="56">
        <f>E20*(1-E21)</f>
        <v>7.4399568514229505E-2</v>
      </c>
      <c r="G22" s="47" t="s">
        <v>150</v>
      </c>
      <c r="H22" s="47"/>
      <c r="I22" s="48"/>
      <c r="J22" s="48"/>
      <c r="K22" s="48"/>
      <c r="L22" s="66">
        <f>L30</f>
        <v>0.85740951341958338</v>
      </c>
    </row>
    <row r="23" spans="2:12" x14ac:dyDescent="0.35">
      <c r="G23" s="27" t="s">
        <v>151</v>
      </c>
      <c r="L23" s="56">
        <f>L20+L21*L22</f>
        <v>0.14407247690199237</v>
      </c>
    </row>
    <row r="24" spans="2:12" x14ac:dyDescent="0.35">
      <c r="L24" s="26"/>
    </row>
    <row r="25" spans="2:12" x14ac:dyDescent="0.35">
      <c r="B25" s="46" t="s">
        <v>153</v>
      </c>
      <c r="C25" s="46"/>
      <c r="D25" s="46"/>
      <c r="E25" s="46"/>
      <c r="G25" s="46" t="s">
        <v>149</v>
      </c>
      <c r="H25" s="46"/>
      <c r="I25" s="46"/>
      <c r="J25" s="46"/>
      <c r="K25" s="46"/>
      <c r="L25" s="53"/>
    </row>
    <row r="26" spans="2:12" x14ac:dyDescent="0.35">
      <c r="L26" s="26"/>
    </row>
    <row r="27" spans="2:12" x14ac:dyDescent="0.35">
      <c r="C27" s="50"/>
      <c r="D27" s="53" t="s">
        <v>154</v>
      </c>
      <c r="E27" s="53" t="s">
        <v>155</v>
      </c>
      <c r="G27" s="27" t="s">
        <v>159</v>
      </c>
      <c r="L27" s="57">
        <f>L16</f>
        <v>0.85051820690535906</v>
      </c>
    </row>
    <row r="28" spans="2:12" x14ac:dyDescent="0.35">
      <c r="B28" t="s">
        <v>156</v>
      </c>
      <c r="C28" s="64">
        <f>F10</f>
        <v>2326.77</v>
      </c>
      <c r="D28" s="54">
        <f>C28/($C$28+$C$29)</f>
        <v>8.456031503593588E-3</v>
      </c>
      <c r="E28" s="54">
        <f>J16</f>
        <v>1.1442524128812491E-2</v>
      </c>
      <c r="G28" s="27" t="s">
        <v>160</v>
      </c>
      <c r="L28" s="54">
        <f>E32</f>
        <v>1.1574971013929687E-2</v>
      </c>
    </row>
    <row r="29" spans="2:12" x14ac:dyDescent="0.35">
      <c r="B29" s="47" t="s">
        <v>157</v>
      </c>
      <c r="C29" s="65">
        <f>G10</f>
        <v>272834.21999999997</v>
      </c>
      <c r="D29" s="55">
        <f>C29/($C$28+$C$29)</f>
        <v>0.99154396849640636</v>
      </c>
      <c r="E29" s="55">
        <f>1-E28</f>
        <v>0.98855747587118747</v>
      </c>
      <c r="G29" s="47" t="s">
        <v>161</v>
      </c>
      <c r="H29" s="47"/>
      <c r="I29" s="48"/>
      <c r="J29" s="48"/>
      <c r="K29" s="48"/>
      <c r="L29" s="55">
        <f>E21</f>
        <v>0.3</v>
      </c>
    </row>
    <row r="30" spans="2:12" x14ac:dyDescent="0.35">
      <c r="B30" t="s">
        <v>158</v>
      </c>
      <c r="D30" s="54">
        <f>SUM(D28:D29)</f>
        <v>1</v>
      </c>
      <c r="E30" s="56">
        <f>SUM(E28:E29)</f>
        <v>1</v>
      </c>
      <c r="G30" s="27" t="s">
        <v>149</v>
      </c>
      <c r="L30" s="58">
        <f>L27*(1+(1-L29)*L28)</f>
        <v>0.85740951341958338</v>
      </c>
    </row>
    <row r="31" spans="2:12" x14ac:dyDescent="0.35">
      <c r="D31" s="26"/>
      <c r="E31" s="26"/>
      <c r="L31" s="106"/>
    </row>
    <row r="32" spans="2:12" x14ac:dyDescent="0.35">
      <c r="B32" t="s">
        <v>135</v>
      </c>
      <c r="D32" s="56">
        <f>D28/D29</f>
        <v>8.5281457729166101E-3</v>
      </c>
      <c r="E32" s="56">
        <f>E28/E29</f>
        <v>1.1574971013929687E-2</v>
      </c>
    </row>
    <row r="33" spans="2:12" x14ac:dyDescent="0.35">
      <c r="B33" s="42" t="s">
        <v>169</v>
      </c>
      <c r="G33" s="46" t="s">
        <v>162</v>
      </c>
      <c r="H33" s="46"/>
      <c r="I33" s="46"/>
      <c r="J33" s="46"/>
      <c r="K33" s="46"/>
      <c r="L33" s="46"/>
    </row>
    <row r="34" spans="2:12" x14ac:dyDescent="0.35">
      <c r="B34" s="42" t="s">
        <v>170</v>
      </c>
      <c r="G34"/>
      <c r="H34"/>
    </row>
    <row r="35" spans="2:12" x14ac:dyDescent="0.35">
      <c r="B35" s="42" t="s">
        <v>171</v>
      </c>
      <c r="G35"/>
      <c r="H35" s="50"/>
      <c r="I35" s="50"/>
      <c r="J35" s="50"/>
      <c r="K35" s="53" t="s">
        <v>165</v>
      </c>
      <c r="L35" s="53" t="s">
        <v>166</v>
      </c>
    </row>
    <row r="36" spans="2:12" x14ac:dyDescent="0.35">
      <c r="B36" s="42" t="s">
        <v>172</v>
      </c>
      <c r="G36" t="s">
        <v>163</v>
      </c>
      <c r="H36" s="51"/>
      <c r="I36" s="41"/>
      <c r="J36" s="41"/>
      <c r="K36" s="54">
        <f>E22</f>
        <v>7.4399568514229505E-2</v>
      </c>
      <c r="L36" s="54">
        <f>E28</f>
        <v>1.1442524128812491E-2</v>
      </c>
    </row>
    <row r="37" spans="2:12" x14ac:dyDescent="0.35">
      <c r="B37" s="42" t="s">
        <v>235</v>
      </c>
      <c r="G37" s="47" t="s">
        <v>164</v>
      </c>
      <c r="H37" s="52"/>
      <c r="I37" s="49"/>
      <c r="J37" s="49"/>
      <c r="K37" s="55">
        <f>L23</f>
        <v>0.14407247690199237</v>
      </c>
      <c r="L37" s="55">
        <f>E29</f>
        <v>0.98855747587118747</v>
      </c>
    </row>
    <row r="38" spans="2:12" x14ac:dyDescent="0.35">
      <c r="B38" s="42" t="s">
        <v>236</v>
      </c>
      <c r="F38"/>
      <c r="G38" s="107" t="s">
        <v>167</v>
      </c>
      <c r="H38" s="107"/>
      <c r="I38" s="107"/>
      <c r="J38" s="107"/>
      <c r="K38" s="108"/>
      <c r="L38" s="68">
        <f>SUMPRODUCT($K$36:$K$37,L36:L37)</f>
        <v>0.14327524296664085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51CA-C1F8-432D-93A3-E504B4DC07BA}">
  <dimension ref="B1:Y57"/>
  <sheetViews>
    <sheetView showGridLines="0" workbookViewId="0">
      <selection activeCell="N17" sqref="N17"/>
    </sheetView>
  </sheetViews>
  <sheetFormatPr defaultRowHeight="14.5" x14ac:dyDescent="0.35"/>
  <cols>
    <col min="1" max="1" width="1.81640625" customWidth="1"/>
    <col min="2" max="2" width="10.90625" style="27" bestFit="1" customWidth="1"/>
    <col min="3" max="3" width="9.7265625" style="26" customWidth="1"/>
    <col min="4" max="4" width="12.7265625" style="26" customWidth="1"/>
    <col min="5" max="5" width="9.54296875" style="26" bestFit="1" customWidth="1"/>
    <col min="6" max="6" width="2.6328125" customWidth="1"/>
    <col min="7" max="7" width="10.90625" style="27" bestFit="1" customWidth="1"/>
    <col min="8" max="8" width="9.7265625" style="26" customWidth="1"/>
    <col min="9" max="9" width="12.7265625" style="26" customWidth="1"/>
    <col min="10" max="10" width="12" style="26" bestFit="1" customWidth="1"/>
    <col min="11" max="11" width="2.6328125" customWidth="1"/>
    <col min="12" max="12" width="10.90625" style="27" bestFit="1" customWidth="1"/>
    <col min="13" max="13" width="9.7265625" style="26" customWidth="1"/>
    <col min="14" max="14" width="12.7265625" style="26" customWidth="1"/>
    <col min="15" max="15" width="8" style="26" customWidth="1"/>
    <col min="16" max="16" width="2.6328125" customWidth="1"/>
    <col min="17" max="17" width="10.90625" style="27" bestFit="1" customWidth="1"/>
    <col min="18" max="18" width="9.7265625" style="26" customWidth="1"/>
    <col min="19" max="19" width="12.7265625" style="26" customWidth="1"/>
    <col min="20" max="20" width="8.7265625" style="26" customWidth="1"/>
    <col min="21" max="21" width="2.6328125" customWidth="1"/>
    <col min="22" max="22" width="10.90625" style="27" bestFit="1" customWidth="1"/>
    <col min="23" max="23" width="9.7265625" style="26" customWidth="1"/>
    <col min="24" max="24" width="12.7265625" style="26" customWidth="1"/>
    <col min="25" max="25" width="9.1796875" style="26" bestFit="1" customWidth="1"/>
  </cols>
  <sheetData>
    <row r="1" spans="2:25" ht="21" x14ac:dyDescent="0.5">
      <c r="B1" s="37" t="s">
        <v>127</v>
      </c>
    </row>
    <row r="3" spans="2:25" x14ac:dyDescent="0.35">
      <c r="B3" s="28" t="s">
        <v>119</v>
      </c>
      <c r="C3" s="29" t="s">
        <v>120</v>
      </c>
      <c r="D3" s="29" t="s">
        <v>325</v>
      </c>
      <c r="E3" s="29" t="s">
        <v>126</v>
      </c>
      <c r="G3" s="28" t="s">
        <v>119</v>
      </c>
      <c r="H3" s="29" t="s">
        <v>120</v>
      </c>
      <c r="I3" s="29" t="s">
        <v>37</v>
      </c>
      <c r="J3" s="29" t="s">
        <v>126</v>
      </c>
      <c r="L3" s="28" t="s">
        <v>119</v>
      </c>
      <c r="M3" s="29" t="s">
        <v>120</v>
      </c>
      <c r="N3" s="29" t="s">
        <v>36</v>
      </c>
      <c r="O3" s="29" t="s">
        <v>126</v>
      </c>
      <c r="Q3" s="28" t="s">
        <v>119</v>
      </c>
      <c r="R3" s="29" t="s">
        <v>120</v>
      </c>
      <c r="S3" s="29" t="s">
        <v>129</v>
      </c>
      <c r="T3" s="29" t="s">
        <v>126</v>
      </c>
      <c r="V3" s="28" t="s">
        <v>119</v>
      </c>
      <c r="W3" s="29" t="s">
        <v>120</v>
      </c>
      <c r="X3" s="29" t="s">
        <v>66</v>
      </c>
      <c r="Y3" s="29" t="s">
        <v>126</v>
      </c>
    </row>
    <row r="4" spans="2:25" x14ac:dyDescent="0.35">
      <c r="B4" s="27">
        <v>1</v>
      </c>
      <c r="C4" s="30">
        <f t="array" ref="C4:C13">TRANSPOSE('Historical Financials'!$C$3:$M$3)</f>
        <v>41729</v>
      </c>
      <c r="D4" s="34">
        <f t="array" ref="D4:D13">TRANSPOSE('Data Sheet'!B77:K77)</f>
        <v>1509</v>
      </c>
      <c r="E4" s="35"/>
      <c r="G4" s="27">
        <v>1</v>
      </c>
      <c r="H4" s="30">
        <f t="array" ref="H4:H13">TRANSPOSE('Historical Financials'!$C$3:$M$3)</f>
        <v>41729</v>
      </c>
      <c r="I4" s="26">
        <f t="array" ref="I4:I13">TRANSPOSE('Data Sheet'!B78:K78)</f>
        <v>1486</v>
      </c>
      <c r="J4" s="35"/>
      <c r="L4" s="27">
        <v>1</v>
      </c>
      <c r="M4" s="30">
        <f t="array" ref="M4:M13">TRANSPOSE('Historical Financials'!$C$3:$M$3)</f>
        <v>41729</v>
      </c>
      <c r="N4" s="26">
        <f t="array" ref="N4:N13">TRANSPOSE('Data Sheet'!B79:K79)</f>
        <v>983</v>
      </c>
      <c r="O4" s="35"/>
      <c r="Q4" s="27">
        <v>1</v>
      </c>
      <c r="R4" s="30">
        <f t="array" ref="R4:R13">TRANSPOSE('Historical Financials'!$C$3:$M$3)</f>
        <v>41729</v>
      </c>
      <c r="S4" s="34">
        <f t="array" ref="S4:S13">TRANSPOSE('Historical Financials'!C38:L38)</f>
        <v>11.869266055045886</v>
      </c>
      <c r="T4" s="35"/>
      <c r="V4" s="27">
        <v>1</v>
      </c>
      <c r="W4" s="30">
        <f t="array" ref="W4:W13">TRANSPOSE('Historical Financials'!$C$3:$M$3)</f>
        <v>41729</v>
      </c>
      <c r="X4" s="26">
        <f t="array" ref="X4:X13">TRANSPOSE('Historical Financials'!C33:L33)</f>
        <v>1138.5000000000014</v>
      </c>
      <c r="Y4" s="35"/>
    </row>
    <row r="5" spans="2:25" x14ac:dyDescent="0.35">
      <c r="B5" s="27">
        <v>2</v>
      </c>
      <c r="C5" s="30">
        <v>42094</v>
      </c>
      <c r="D5" s="34">
        <v>1864</v>
      </c>
      <c r="E5" s="35">
        <f>D5/D4-1</f>
        <v>0.23525513585155733</v>
      </c>
      <c r="G5" s="27">
        <v>2</v>
      </c>
      <c r="H5" s="30">
        <v>42094</v>
      </c>
      <c r="I5" s="26">
        <v>669</v>
      </c>
      <c r="J5" s="35">
        <f>I5/I4-1</f>
        <v>-0.54979811574697179</v>
      </c>
      <c r="L5" s="27">
        <v>2</v>
      </c>
      <c r="M5" s="30">
        <v>42094</v>
      </c>
      <c r="N5" s="26">
        <v>862</v>
      </c>
      <c r="O5" s="35">
        <f>N5/N4-1</f>
        <v>-0.12309257375381488</v>
      </c>
      <c r="Q5" s="27">
        <v>2</v>
      </c>
      <c r="R5" s="30">
        <v>42094</v>
      </c>
      <c r="S5" s="34">
        <v>13.398561301084237</v>
      </c>
      <c r="T5" s="35">
        <f>S5/S4-1</f>
        <v>0.12884497145366591</v>
      </c>
      <c r="V5" s="27">
        <v>2</v>
      </c>
      <c r="W5" s="30">
        <v>42094</v>
      </c>
      <c r="X5" s="26">
        <v>1285.19</v>
      </c>
      <c r="Y5" s="35">
        <f>X5/X4-1</f>
        <v>0.12884497145366569</v>
      </c>
    </row>
    <row r="6" spans="2:25" x14ac:dyDescent="0.35">
      <c r="B6" s="27">
        <v>3</v>
      </c>
      <c r="C6" s="30">
        <v>42460</v>
      </c>
      <c r="D6" s="34">
        <v>1565</v>
      </c>
      <c r="E6" s="35">
        <f t="shared" ref="E6:E18" si="0">D6/D5-1</f>
        <v>-0.16040772532188841</v>
      </c>
      <c r="G6" s="27">
        <v>3</v>
      </c>
      <c r="H6" s="30">
        <v>42460</v>
      </c>
      <c r="I6" s="26">
        <v>869</v>
      </c>
      <c r="J6" s="35">
        <f t="shared" ref="J6:J18" si="1">I6/I5-1</f>
        <v>0.29895366218236163</v>
      </c>
      <c r="L6" s="27">
        <v>3</v>
      </c>
      <c r="M6" s="30">
        <v>42460</v>
      </c>
      <c r="N6" s="26">
        <v>1728</v>
      </c>
      <c r="O6" s="35">
        <f t="shared" ref="O6:O18" si="2">N6/N5-1</f>
        <v>1.0046403712296983</v>
      </c>
      <c r="Q6" s="27">
        <v>3</v>
      </c>
      <c r="R6" s="30">
        <v>42460</v>
      </c>
      <c r="S6" s="34">
        <v>16.221538782318614</v>
      </c>
      <c r="T6" s="35">
        <f t="shared" ref="T6:T18" si="3">S6/S5-1</f>
        <v>0.21069258241972122</v>
      </c>
      <c r="V6" s="27">
        <v>3</v>
      </c>
      <c r="W6" s="30">
        <v>42460</v>
      </c>
      <c r="X6" s="26">
        <v>1555.9700000000014</v>
      </c>
      <c r="Y6" s="35">
        <f t="shared" ref="Y6:Y18" si="4">X6/X5-1</f>
        <v>0.210692582419721</v>
      </c>
    </row>
    <row r="7" spans="2:25" x14ac:dyDescent="0.35">
      <c r="B7" s="27">
        <v>4</v>
      </c>
      <c r="C7" s="30">
        <v>42825</v>
      </c>
      <c r="D7" s="34">
        <v>888</v>
      </c>
      <c r="E7" s="35">
        <f t="shared" si="0"/>
        <v>-0.43258785942492017</v>
      </c>
      <c r="G7" s="27">
        <v>4</v>
      </c>
      <c r="H7" s="30">
        <v>42825</v>
      </c>
      <c r="I7" s="26">
        <v>656</v>
      </c>
      <c r="J7" s="35">
        <f t="shared" si="1"/>
        <v>-0.2451093210586881</v>
      </c>
      <c r="L7" s="27">
        <v>4</v>
      </c>
      <c r="M7" s="30">
        <v>42825</v>
      </c>
      <c r="N7" s="26">
        <v>1240</v>
      </c>
      <c r="O7" s="35">
        <f t="shared" si="2"/>
        <v>-0.28240740740740744</v>
      </c>
      <c r="Q7" s="27">
        <v>4</v>
      </c>
      <c r="R7" s="30">
        <v>42825</v>
      </c>
      <c r="S7" s="34">
        <v>17.497393661384489</v>
      </c>
      <c r="T7" s="35">
        <f t="shared" si="3"/>
        <v>7.8651902028958443E-2</v>
      </c>
      <c r="V7" s="27">
        <v>4</v>
      </c>
      <c r="W7" s="30">
        <v>42825</v>
      </c>
      <c r="X7" s="26">
        <v>1678.3500000000004</v>
      </c>
      <c r="Y7" s="35">
        <f t="shared" si="4"/>
        <v>7.8651902028958665E-2</v>
      </c>
    </row>
    <row r="8" spans="2:25" x14ac:dyDescent="0.35">
      <c r="B8" s="27">
        <v>5</v>
      </c>
      <c r="C8" s="30">
        <v>43190</v>
      </c>
      <c r="D8" s="34">
        <v>1804</v>
      </c>
      <c r="E8" s="35">
        <f t="shared" si="0"/>
        <v>1.0315315315315314</v>
      </c>
      <c r="G8" s="27">
        <v>5</v>
      </c>
      <c r="H8" s="30">
        <v>43190</v>
      </c>
      <c r="I8" s="26">
        <v>1312</v>
      </c>
      <c r="J8" s="35">
        <f t="shared" si="1"/>
        <v>1</v>
      </c>
      <c r="L8" s="27">
        <v>5</v>
      </c>
      <c r="M8" s="30">
        <v>43190</v>
      </c>
      <c r="N8" s="26">
        <v>1148</v>
      </c>
      <c r="O8" s="35">
        <f t="shared" si="2"/>
        <v>-7.4193548387096797E-2</v>
      </c>
      <c r="Q8" s="27">
        <v>5</v>
      </c>
      <c r="R8" s="30">
        <v>43190</v>
      </c>
      <c r="S8" s="34">
        <v>18.360195996663901</v>
      </c>
      <c r="T8" s="35">
        <f t="shared" si="3"/>
        <v>4.9310334554771851E-2</v>
      </c>
      <c r="V8" s="27">
        <v>5</v>
      </c>
      <c r="W8" s="30">
        <v>43190</v>
      </c>
      <c r="X8" s="26">
        <v>1761.1100000000015</v>
      </c>
      <c r="Y8" s="35">
        <f t="shared" si="4"/>
        <v>4.9310334554771629E-2</v>
      </c>
    </row>
    <row r="9" spans="2:25" x14ac:dyDescent="0.35">
      <c r="B9" s="27">
        <v>6</v>
      </c>
      <c r="C9" s="30">
        <v>43555</v>
      </c>
      <c r="D9" s="34">
        <v>5116</v>
      </c>
      <c r="E9" s="35">
        <f t="shared" si="0"/>
        <v>1.835920177383592</v>
      </c>
      <c r="G9" s="27">
        <v>6</v>
      </c>
      <c r="H9" s="30">
        <v>43555</v>
      </c>
      <c r="I9" s="26">
        <v>-919</v>
      </c>
      <c r="J9" s="35">
        <f t="shared" si="1"/>
        <v>-1.7004573170731707</v>
      </c>
      <c r="L9" s="27">
        <v>6</v>
      </c>
      <c r="M9" s="30">
        <v>43555</v>
      </c>
      <c r="N9" s="26">
        <v>2159</v>
      </c>
      <c r="O9" s="35">
        <f t="shared" si="2"/>
        <v>0.88066202090592327</v>
      </c>
      <c r="Q9" s="27">
        <v>6</v>
      </c>
      <c r="R9" s="30">
        <v>43555</v>
      </c>
      <c r="S9" s="34">
        <v>20.16545037531278</v>
      </c>
      <c r="T9" s="35">
        <f t="shared" si="3"/>
        <v>9.8324352255112046E-2</v>
      </c>
      <c r="V9" s="27">
        <v>6</v>
      </c>
      <c r="W9" s="30">
        <v>43555</v>
      </c>
      <c r="X9" s="26">
        <v>1934.2700000000018</v>
      </c>
      <c r="Y9" s="35">
        <f t="shared" si="4"/>
        <v>9.8324352255111824E-2</v>
      </c>
    </row>
    <row r="10" spans="2:25" x14ac:dyDescent="0.35">
      <c r="B10" s="27">
        <v>7</v>
      </c>
      <c r="C10" s="30">
        <v>43921</v>
      </c>
      <c r="D10" s="34">
        <v>2504</v>
      </c>
      <c r="E10" s="35">
        <f t="shared" si="0"/>
        <v>-0.5105551211884285</v>
      </c>
      <c r="G10" s="27">
        <v>7</v>
      </c>
      <c r="H10" s="30">
        <v>43921</v>
      </c>
      <c r="I10" s="26">
        <v>-328</v>
      </c>
      <c r="J10" s="35">
        <f t="shared" si="1"/>
        <v>-0.64309031556039176</v>
      </c>
      <c r="L10" s="27">
        <v>7</v>
      </c>
      <c r="M10" s="30">
        <v>43921</v>
      </c>
      <c r="N10" s="26">
        <v>407</v>
      </c>
      <c r="O10" s="35">
        <f t="shared" si="2"/>
        <v>-0.81148679944418711</v>
      </c>
      <c r="Q10" s="27">
        <v>7</v>
      </c>
      <c r="R10" s="30">
        <v>43921</v>
      </c>
      <c r="S10" s="34">
        <v>25.220391993327752</v>
      </c>
      <c r="T10" s="35">
        <f t="shared" si="3"/>
        <v>0.25067338065523193</v>
      </c>
      <c r="V10" s="27">
        <v>7</v>
      </c>
      <c r="W10" s="30">
        <v>43921</v>
      </c>
      <c r="X10" s="26">
        <v>2419.1399999999981</v>
      </c>
      <c r="Y10" s="35">
        <f t="shared" si="4"/>
        <v>0.25067338065523215</v>
      </c>
    </row>
    <row r="11" spans="2:25" x14ac:dyDescent="0.35">
      <c r="B11" s="27">
        <v>8</v>
      </c>
      <c r="C11" s="30">
        <v>44286</v>
      </c>
      <c r="D11" s="34">
        <v>2918</v>
      </c>
      <c r="E11" s="35">
        <f t="shared" si="0"/>
        <v>0.16533546325878601</v>
      </c>
      <c r="G11" s="27">
        <v>8</v>
      </c>
      <c r="H11" s="30">
        <v>44286</v>
      </c>
      <c r="I11" s="26">
        <v>3568</v>
      </c>
      <c r="J11" s="35">
        <f t="shared" si="1"/>
        <v>-11.878048780487806</v>
      </c>
      <c r="L11" s="27">
        <v>8</v>
      </c>
      <c r="M11" s="30">
        <v>44286</v>
      </c>
      <c r="N11" s="26">
        <v>2954</v>
      </c>
      <c r="O11" s="35">
        <f t="shared" si="2"/>
        <v>6.2579852579852577</v>
      </c>
      <c r="Q11" s="27">
        <v>8</v>
      </c>
      <c r="R11" s="30">
        <v>44286</v>
      </c>
      <c r="S11" s="34">
        <v>29.973936613844902</v>
      </c>
      <c r="T11" s="35">
        <f t="shared" si="3"/>
        <v>0.18848020370875829</v>
      </c>
      <c r="V11" s="27">
        <v>8</v>
      </c>
      <c r="W11" s="30">
        <v>44286</v>
      </c>
      <c r="X11" s="26">
        <v>2875.1000000000031</v>
      </c>
      <c r="Y11" s="35">
        <f t="shared" si="4"/>
        <v>0.18848020370875829</v>
      </c>
    </row>
    <row r="12" spans="2:25" x14ac:dyDescent="0.35">
      <c r="B12" s="27">
        <v>9</v>
      </c>
      <c r="C12" s="30">
        <v>44651</v>
      </c>
      <c r="D12" s="34">
        <v>3457</v>
      </c>
      <c r="E12" s="35">
        <f t="shared" si="0"/>
        <v>0.18471555860178213</v>
      </c>
      <c r="G12" s="27">
        <v>9</v>
      </c>
      <c r="H12" s="30">
        <v>44651</v>
      </c>
      <c r="I12" s="26">
        <v>-1074</v>
      </c>
      <c r="J12" s="35">
        <f t="shared" si="1"/>
        <v>-1.3010089686098656</v>
      </c>
      <c r="L12" s="27">
        <v>9</v>
      </c>
      <c r="M12" s="30">
        <v>44651</v>
      </c>
      <c r="N12" s="26">
        <v>1356</v>
      </c>
      <c r="O12" s="35">
        <f t="shared" si="2"/>
        <v>-0.54096140825998651</v>
      </c>
      <c r="Q12" s="27">
        <v>9</v>
      </c>
      <c r="R12" s="30">
        <v>44651</v>
      </c>
      <c r="S12" s="34">
        <v>29.075583819849857</v>
      </c>
      <c r="T12" s="35">
        <f t="shared" si="3"/>
        <v>-2.9971131438908061E-2</v>
      </c>
      <c r="V12" s="27">
        <v>9</v>
      </c>
      <c r="W12" s="30">
        <v>44651</v>
      </c>
      <c r="X12" s="26">
        <v>2788.9299999999985</v>
      </c>
      <c r="Y12" s="35">
        <f t="shared" si="4"/>
        <v>-2.9971131438908061E-2</v>
      </c>
    </row>
    <row r="13" spans="2:25" x14ac:dyDescent="0.35">
      <c r="B13" s="27">
        <v>10</v>
      </c>
      <c r="C13" s="30">
        <v>45016</v>
      </c>
      <c r="D13" s="34">
        <v>4427</v>
      </c>
      <c r="E13" s="35">
        <f t="shared" si="0"/>
        <v>0.28059010702921605</v>
      </c>
      <c r="G13" s="27">
        <v>10</v>
      </c>
      <c r="H13" s="30">
        <v>45016</v>
      </c>
      <c r="I13" s="26">
        <v>1747</v>
      </c>
      <c r="J13" s="35">
        <f t="shared" si="1"/>
        <v>-2.6266294227188083</v>
      </c>
      <c r="L13" s="27">
        <v>10</v>
      </c>
      <c r="M13" s="30">
        <v>45016</v>
      </c>
      <c r="N13" s="26">
        <v>3120</v>
      </c>
      <c r="O13" s="35">
        <f t="shared" si="2"/>
        <v>1.3008849557522124</v>
      </c>
      <c r="Q13" s="27">
        <v>10</v>
      </c>
      <c r="R13" s="30">
        <v>45016</v>
      </c>
      <c r="S13" s="34">
        <v>39.23967889908252</v>
      </c>
      <c r="T13" s="35">
        <f t="shared" si="3"/>
        <v>0.34957492658474676</v>
      </c>
      <c r="V13" s="27">
        <v>10</v>
      </c>
      <c r="W13" s="30">
        <v>45016</v>
      </c>
      <c r="X13" s="26">
        <v>3763.8699999999953</v>
      </c>
      <c r="Y13" s="35">
        <f t="shared" si="4"/>
        <v>0.34957492658474654</v>
      </c>
    </row>
    <row r="14" spans="2:25" x14ac:dyDescent="0.35">
      <c r="B14" s="31">
        <v>11</v>
      </c>
      <c r="C14" s="32" t="s">
        <v>121</v>
      </c>
      <c r="D14" s="33">
        <f>FORECAST(B14,D$4:D$13,B$4:B$13)</f>
        <v>4349.7999999999993</v>
      </c>
      <c r="E14" s="36">
        <f t="shared" si="0"/>
        <v>-1.7438445900158306E-2</v>
      </c>
      <c r="G14" s="31">
        <v>11</v>
      </c>
      <c r="H14" s="32" t="s">
        <v>121</v>
      </c>
      <c r="I14" s="33">
        <f>FORECAST(G14,I$4:I$13,G$4:G$13)</f>
        <v>747.26666666666688</v>
      </c>
      <c r="J14" s="36">
        <f t="shared" si="1"/>
        <v>-0.57225720282388837</v>
      </c>
      <c r="L14" s="31">
        <v>11</v>
      </c>
      <c r="M14" s="32" t="s">
        <v>121</v>
      </c>
      <c r="N14" s="33">
        <f>FORECAST(L14,N$4:N$13,L$4:L$13)</f>
        <v>2506.8000000000002</v>
      </c>
      <c r="O14" s="36">
        <f t="shared" si="2"/>
        <v>-0.19653846153846144</v>
      </c>
      <c r="Q14" s="31">
        <v>11</v>
      </c>
      <c r="R14" s="32" t="s">
        <v>121</v>
      </c>
      <c r="S14" s="33">
        <f>FORECAST(Q14,S$4:S$13,Q$4:Q$13)</f>
        <v>37.095836808451466</v>
      </c>
      <c r="T14" s="36">
        <f t="shared" si="3"/>
        <v>-5.4634547243483711E-2</v>
      </c>
      <c r="V14" s="31">
        <v>11</v>
      </c>
      <c r="W14" s="32" t="s">
        <v>121</v>
      </c>
      <c r="X14" s="33">
        <f>FORECAST(V14,X$4:X$13,V$4:V$13)</f>
        <v>3558.2326666666645</v>
      </c>
      <c r="Y14" s="36">
        <f t="shared" si="4"/>
        <v>-5.4634547243483711E-2</v>
      </c>
    </row>
    <row r="15" spans="2:25" x14ac:dyDescent="0.35">
      <c r="B15" s="31">
        <v>12</v>
      </c>
      <c r="C15" s="32" t="s">
        <v>122</v>
      </c>
      <c r="D15" s="33">
        <f t="shared" ref="D15:D18" si="5">FORECAST(B15,D$4:D$13,B$4:B$13)</f>
        <v>4667</v>
      </c>
      <c r="E15" s="36">
        <f t="shared" si="0"/>
        <v>7.2922893006575285E-2</v>
      </c>
      <c r="G15" s="31">
        <v>12</v>
      </c>
      <c r="H15" s="32" t="s">
        <v>122</v>
      </c>
      <c r="I15" s="33">
        <f t="shared" ref="I15:I18" si="6">FORECAST(G15,I$4:I$13,G$4:G$13)</f>
        <v>737.93333333333351</v>
      </c>
      <c r="J15" s="36">
        <f t="shared" si="1"/>
        <v>-1.2489963422250061E-2</v>
      </c>
      <c r="L15" s="31">
        <v>12</v>
      </c>
      <c r="M15" s="32" t="s">
        <v>122</v>
      </c>
      <c r="N15" s="33">
        <f t="shared" ref="N15:N18" si="7">FORECAST(L15,N$4:N$13,L$4:L$13)</f>
        <v>2672.4545454545455</v>
      </c>
      <c r="O15" s="36">
        <f t="shared" si="2"/>
        <v>6.6082074937986901E-2</v>
      </c>
      <c r="Q15" s="31">
        <v>12</v>
      </c>
      <c r="R15" s="32" t="s">
        <v>122</v>
      </c>
      <c r="S15" s="33">
        <f t="shared" ref="S15:S18" si="8">FORECAST(Q15,S$4:S$13,Q$4:Q$13)</f>
        <v>39.821952637298736</v>
      </c>
      <c r="T15" s="36">
        <f t="shared" si="3"/>
        <v>7.3488457557215225E-2</v>
      </c>
      <c r="V15" s="31">
        <v>12</v>
      </c>
      <c r="W15" s="32" t="s">
        <v>122</v>
      </c>
      <c r="X15" s="33">
        <f t="shared" ref="X15:X18" si="9">FORECAST(V15,X$4:X$13,V$4:V$13)</f>
        <v>3819.7216969696942</v>
      </c>
      <c r="Y15" s="36">
        <f t="shared" si="4"/>
        <v>7.3488457557215225E-2</v>
      </c>
    </row>
    <row r="16" spans="2:25" x14ac:dyDescent="0.35">
      <c r="B16" s="31">
        <v>13</v>
      </c>
      <c r="C16" s="32" t="s">
        <v>123</v>
      </c>
      <c r="D16" s="33">
        <f t="shared" si="5"/>
        <v>4984.1999999999989</v>
      </c>
      <c r="E16" s="36">
        <f t="shared" si="0"/>
        <v>6.7966573816155673E-2</v>
      </c>
      <c r="G16" s="31">
        <v>13</v>
      </c>
      <c r="H16" s="32" t="s">
        <v>123</v>
      </c>
      <c r="I16" s="33">
        <f t="shared" si="6"/>
        <v>728.60000000000025</v>
      </c>
      <c r="J16" s="36">
        <f t="shared" si="1"/>
        <v>-1.2647935676212696E-2</v>
      </c>
      <c r="L16" s="31">
        <v>13</v>
      </c>
      <c r="M16" s="32" t="s">
        <v>123</v>
      </c>
      <c r="N16" s="33">
        <f t="shared" si="7"/>
        <v>2838.1090909090908</v>
      </c>
      <c r="O16" s="36">
        <f t="shared" si="2"/>
        <v>6.1985916930298979E-2</v>
      </c>
      <c r="Q16" s="31">
        <v>13</v>
      </c>
      <c r="R16" s="32" t="s">
        <v>123</v>
      </c>
      <c r="S16" s="33">
        <f t="shared" si="8"/>
        <v>42.548068466146006</v>
      </c>
      <c r="T16" s="36">
        <f t="shared" si="3"/>
        <v>6.845761315817267E-2</v>
      </c>
      <c r="V16" s="31">
        <v>13</v>
      </c>
      <c r="W16" s="32" t="s">
        <v>123</v>
      </c>
      <c r="X16" s="33">
        <f t="shared" si="9"/>
        <v>4081.2107272727244</v>
      </c>
      <c r="Y16" s="36">
        <f t="shared" si="4"/>
        <v>6.845761315817267E-2</v>
      </c>
    </row>
    <row r="17" spans="2:25" x14ac:dyDescent="0.35">
      <c r="B17" s="31">
        <v>14</v>
      </c>
      <c r="C17" s="32" t="s">
        <v>124</v>
      </c>
      <c r="D17" s="33">
        <f t="shared" si="5"/>
        <v>5301.4</v>
      </c>
      <c r="E17" s="36">
        <f t="shared" si="0"/>
        <v>6.3641105894627126E-2</v>
      </c>
      <c r="G17" s="31">
        <v>14</v>
      </c>
      <c r="H17" s="32" t="s">
        <v>124</v>
      </c>
      <c r="I17" s="33">
        <f t="shared" si="6"/>
        <v>719.26666666666688</v>
      </c>
      <c r="J17" s="36">
        <f t="shared" si="1"/>
        <v>-1.2809955165156928E-2</v>
      </c>
      <c r="L17" s="31">
        <v>14</v>
      </c>
      <c r="M17" s="32" t="s">
        <v>124</v>
      </c>
      <c r="N17" s="33">
        <f t="shared" si="7"/>
        <v>3003.7636363636361</v>
      </c>
      <c r="O17" s="36">
        <f t="shared" si="2"/>
        <v>5.8367927429274324E-2</v>
      </c>
      <c r="Q17" s="31">
        <v>14</v>
      </c>
      <c r="R17" s="32" t="s">
        <v>124</v>
      </c>
      <c r="S17" s="33">
        <f t="shared" si="8"/>
        <v>45.274184294993276</v>
      </c>
      <c r="T17" s="36">
        <f t="shared" si="3"/>
        <v>6.4071435605034477E-2</v>
      </c>
      <c r="V17" s="31">
        <v>14</v>
      </c>
      <c r="W17" s="32" t="s">
        <v>124</v>
      </c>
      <c r="X17" s="33">
        <f t="shared" si="9"/>
        <v>4342.6997575757541</v>
      </c>
      <c r="Y17" s="36">
        <f t="shared" si="4"/>
        <v>6.4071435605034255E-2</v>
      </c>
    </row>
    <row r="18" spans="2:25" x14ac:dyDescent="0.35">
      <c r="B18" s="31">
        <v>15</v>
      </c>
      <c r="C18" s="32" t="s">
        <v>125</v>
      </c>
      <c r="D18" s="33">
        <f t="shared" si="5"/>
        <v>5618.6</v>
      </c>
      <c r="E18" s="36">
        <f t="shared" si="0"/>
        <v>5.9833251593918835E-2</v>
      </c>
      <c r="G18" s="31">
        <v>15</v>
      </c>
      <c r="H18" s="32" t="s">
        <v>125</v>
      </c>
      <c r="I18" s="33">
        <f t="shared" si="6"/>
        <v>709.93333333333362</v>
      </c>
      <c r="J18" s="36">
        <f t="shared" si="1"/>
        <v>-1.2976179442024227E-2</v>
      </c>
      <c r="L18" s="31">
        <v>15</v>
      </c>
      <c r="M18" s="32" t="s">
        <v>125</v>
      </c>
      <c r="N18" s="33">
        <f t="shared" si="7"/>
        <v>3169.4181818181819</v>
      </c>
      <c r="O18" s="36">
        <f t="shared" si="2"/>
        <v>5.5148994897310732E-2</v>
      </c>
      <c r="Q18" s="31">
        <v>15</v>
      </c>
      <c r="R18" s="32" t="s">
        <v>125</v>
      </c>
      <c r="S18" s="33">
        <f t="shared" si="8"/>
        <v>48.000300123840539</v>
      </c>
      <c r="T18" s="36">
        <f t="shared" si="3"/>
        <v>6.0213472010554492E-2</v>
      </c>
      <c r="V18" s="31">
        <v>15</v>
      </c>
      <c r="W18" s="32" t="s">
        <v>125</v>
      </c>
      <c r="X18" s="33">
        <f t="shared" si="9"/>
        <v>4604.1887878787838</v>
      </c>
      <c r="Y18" s="36">
        <f t="shared" si="4"/>
        <v>6.0213472010554492E-2</v>
      </c>
    </row>
    <row r="20" spans="2:25" x14ac:dyDescent="0.35">
      <c r="B20" s="28" t="s">
        <v>119</v>
      </c>
      <c r="C20" s="29" t="s">
        <v>120</v>
      </c>
      <c r="D20" s="29" t="s">
        <v>63</v>
      </c>
      <c r="E20" s="29" t="s">
        <v>126</v>
      </c>
      <c r="G20" s="28" t="s">
        <v>119</v>
      </c>
      <c r="H20" s="29" t="s">
        <v>120</v>
      </c>
      <c r="I20" s="29" t="s">
        <v>217</v>
      </c>
      <c r="J20" s="29" t="s">
        <v>126</v>
      </c>
      <c r="K20" s="26"/>
      <c r="L20" s="28" t="s">
        <v>119</v>
      </c>
      <c r="M20" s="29" t="s">
        <v>120</v>
      </c>
      <c r="N20" s="29" t="s">
        <v>42</v>
      </c>
      <c r="O20" s="29" t="s">
        <v>126</v>
      </c>
      <c r="P20" s="26"/>
      <c r="Q20" s="28" t="s">
        <v>119</v>
      </c>
      <c r="R20" s="29" t="s">
        <v>120</v>
      </c>
      <c r="S20" s="29" t="s">
        <v>29</v>
      </c>
      <c r="T20" s="29" t="s">
        <v>126</v>
      </c>
      <c r="U20" s="26"/>
      <c r="V20" s="28" t="s">
        <v>119</v>
      </c>
      <c r="W20" s="29" t="s">
        <v>120</v>
      </c>
      <c r="X20" s="29" t="s">
        <v>84</v>
      </c>
      <c r="Y20" s="29" t="s">
        <v>126</v>
      </c>
    </row>
    <row r="21" spans="2:25" x14ac:dyDescent="0.35">
      <c r="B21" s="27">
        <v>1</v>
      </c>
      <c r="C21" s="30">
        <f t="array" ref="C21:C30">TRANSPOSE('Historical Financials'!$C$3:$M$3)</f>
        <v>41729</v>
      </c>
      <c r="D21" s="26">
        <f t="array" ref="D21:D30">TRANSPOSE('Historical Financials'!C24:L24)</f>
        <v>245.66</v>
      </c>
      <c r="E21" s="35"/>
      <c r="G21" s="27">
        <v>1</v>
      </c>
      <c r="H21" s="30">
        <f t="array" ref="H21:H30">TRANSPOSE('Historical Financials'!$C$3:$M$3)</f>
        <v>41729</v>
      </c>
      <c r="I21" s="26">
        <f t="array" ref="I21:I30">TRANSPOSE('Data Sheet'!B34:K34)</f>
        <v>1838.3099999999997</v>
      </c>
      <c r="J21" s="35"/>
      <c r="K21" s="26"/>
      <c r="L21" s="27">
        <v>1</v>
      </c>
      <c r="M21" s="30">
        <f t="array" ref="M21:M30">TRANSPOSE('Historical Financials'!$C$3:$M$3)</f>
        <v>41729</v>
      </c>
      <c r="N21" s="26">
        <f t="array" ref="N21:N30">TRANSPOSE('Data Sheet'!B67:K67)</f>
        <v>1110.3</v>
      </c>
      <c r="O21" s="35"/>
      <c r="P21" s="26"/>
      <c r="Q21" s="27">
        <v>1</v>
      </c>
      <c r="R21" s="30">
        <f t="array" ref="R21:R30">TRANSPOSE('Historical Financials'!$C$3:$M$3)</f>
        <v>41729</v>
      </c>
      <c r="S21" s="26">
        <f t="array" ref="S21:S30">TRANSPOSE('Data Sheet'!B68:K68)</f>
        <v>2069.86</v>
      </c>
      <c r="T21" s="35"/>
      <c r="U21" s="26"/>
      <c r="V21" s="27">
        <v>1</v>
      </c>
      <c r="W21" s="30">
        <f t="array" ref="W21:W30">TRANSPOSE('Historical Financials'!$C$3:$M$3)</f>
        <v>41729</v>
      </c>
      <c r="X21" s="26">
        <f t="array" ref="X21:X30">TRANSPOSE('RAW FS'!C12:M12)</f>
        <v>1442</v>
      </c>
      <c r="Y21" s="35"/>
    </row>
    <row r="22" spans="2:25" x14ac:dyDescent="0.35">
      <c r="B22" s="27">
        <v>2</v>
      </c>
      <c r="C22" s="30">
        <v>42094</v>
      </c>
      <c r="D22" s="26">
        <v>265.92</v>
      </c>
      <c r="E22" s="35">
        <f>D22/D21-1</f>
        <v>8.2471708865912374E-2</v>
      </c>
      <c r="G22" s="27">
        <v>2</v>
      </c>
      <c r="H22" s="30">
        <v>42094</v>
      </c>
      <c r="I22" s="26">
        <v>2086.9299999999998</v>
      </c>
      <c r="J22" s="35">
        <f>I22/I21-1</f>
        <v>0.13524378369263079</v>
      </c>
      <c r="K22" s="26"/>
      <c r="L22" s="27">
        <v>2</v>
      </c>
      <c r="M22" s="30">
        <v>42094</v>
      </c>
      <c r="N22" s="26">
        <v>1182.07</v>
      </c>
      <c r="O22" s="35">
        <f>N22/N21-1</f>
        <v>6.4640187336755917E-2</v>
      </c>
      <c r="P22" s="26"/>
      <c r="Q22" s="27">
        <v>2</v>
      </c>
      <c r="R22" s="30">
        <v>42094</v>
      </c>
      <c r="S22" s="26">
        <v>2258.52</v>
      </c>
      <c r="T22" s="35">
        <f>S22/S21-1</f>
        <v>9.1146261099784409E-2</v>
      </c>
      <c r="U22" s="26"/>
      <c r="V22" s="27">
        <v>2</v>
      </c>
      <c r="W22" s="30">
        <v>42094</v>
      </c>
      <c r="X22" s="26">
        <v>1746</v>
      </c>
      <c r="Y22" s="35">
        <f>X22/X21-1</f>
        <v>0.21081830790568645</v>
      </c>
    </row>
    <row r="23" spans="2:25" x14ac:dyDescent="0.35">
      <c r="B23" s="27">
        <v>3</v>
      </c>
      <c r="C23" s="30">
        <v>42460</v>
      </c>
      <c r="D23" s="26">
        <v>275.58</v>
      </c>
      <c r="E23" s="35">
        <f t="shared" ref="E23:E35" si="10">D23/D22-1</f>
        <v>3.6326714801443893E-2</v>
      </c>
      <c r="G23" s="27">
        <v>3</v>
      </c>
      <c r="H23" s="30">
        <v>42460</v>
      </c>
      <c r="I23" s="26">
        <v>2638.65</v>
      </c>
      <c r="J23" s="35">
        <f t="shared" ref="J23:J35" si="11">I23/I22-1</f>
        <v>0.26436919302516149</v>
      </c>
      <c r="K23" s="26"/>
      <c r="L23" s="27">
        <v>3</v>
      </c>
      <c r="M23" s="30">
        <v>42460</v>
      </c>
      <c r="N23" s="26">
        <v>1186.8399999999999</v>
      </c>
      <c r="O23" s="35">
        <f t="shared" ref="O23:O35" si="12">N23/N22-1</f>
        <v>4.0352940181207497E-3</v>
      </c>
      <c r="P23" s="26"/>
      <c r="Q23" s="27">
        <v>3</v>
      </c>
      <c r="R23" s="30">
        <v>42460</v>
      </c>
      <c r="S23" s="26">
        <v>1998.24</v>
      </c>
      <c r="T23" s="35">
        <f t="shared" ref="T23:T35" si="13">S23/S22-1</f>
        <v>-0.11524361086020929</v>
      </c>
      <c r="U23" s="26"/>
      <c r="V23" s="27">
        <v>3</v>
      </c>
      <c r="W23" s="30">
        <v>42460</v>
      </c>
      <c r="X23" s="26">
        <v>1549</v>
      </c>
      <c r="Y23" s="35">
        <f t="shared" ref="Y23:Y35" si="14">X23/X22-1</f>
        <v>-0.1128293241695304</v>
      </c>
    </row>
    <row r="24" spans="2:25" x14ac:dyDescent="0.35">
      <c r="B24" s="27">
        <v>4</v>
      </c>
      <c r="C24" s="30">
        <v>42825</v>
      </c>
      <c r="D24" s="26">
        <v>334.79</v>
      </c>
      <c r="E24" s="35">
        <f t="shared" si="10"/>
        <v>0.21485594019885346</v>
      </c>
      <c r="G24" s="27">
        <v>4</v>
      </c>
      <c r="H24" s="30">
        <v>42825</v>
      </c>
      <c r="I24" s="26">
        <v>2920.05</v>
      </c>
      <c r="J24" s="35">
        <f t="shared" si="11"/>
        <v>0.10664544369279749</v>
      </c>
      <c r="K24" s="26"/>
      <c r="L24" s="27">
        <v>4</v>
      </c>
      <c r="M24" s="30">
        <v>42825</v>
      </c>
      <c r="N24" s="26">
        <v>1446.6</v>
      </c>
      <c r="O24" s="35">
        <f t="shared" si="12"/>
        <v>0.2188669070809881</v>
      </c>
      <c r="P24" s="26"/>
      <c r="Q24" s="27">
        <v>4</v>
      </c>
      <c r="R24" s="30">
        <v>42825</v>
      </c>
      <c r="S24" s="26">
        <v>2626.94</v>
      </c>
      <c r="T24" s="35">
        <f t="shared" si="13"/>
        <v>0.3146268716470495</v>
      </c>
      <c r="U24" s="26"/>
      <c r="V24" s="27">
        <v>4</v>
      </c>
      <c r="W24" s="30">
        <v>42825</v>
      </c>
      <c r="X24" s="26">
        <v>1565</v>
      </c>
      <c r="Y24" s="35">
        <f t="shared" si="14"/>
        <v>1.0329244673983107E-2</v>
      </c>
    </row>
    <row r="25" spans="2:25" x14ac:dyDescent="0.35">
      <c r="B25" s="27">
        <v>5</v>
      </c>
      <c r="C25" s="30">
        <v>43190</v>
      </c>
      <c r="D25" s="26">
        <v>360.47</v>
      </c>
      <c r="E25" s="35">
        <f t="shared" si="10"/>
        <v>7.6704800023895681E-2</v>
      </c>
      <c r="G25" s="27">
        <v>5</v>
      </c>
      <c r="H25" s="30">
        <v>43190</v>
      </c>
      <c r="I25" s="26">
        <v>3121.3599999999997</v>
      </c>
      <c r="J25" s="35">
        <f t="shared" si="11"/>
        <v>6.8940600332185964E-2</v>
      </c>
      <c r="K25" s="26"/>
      <c r="L25" s="27">
        <v>5</v>
      </c>
      <c r="M25" s="30">
        <v>43190</v>
      </c>
      <c r="N25" s="26">
        <v>1730.63</v>
      </c>
      <c r="O25" s="35">
        <f t="shared" si="12"/>
        <v>0.19634314945389209</v>
      </c>
      <c r="P25" s="26"/>
      <c r="Q25" s="27">
        <v>5</v>
      </c>
      <c r="R25" s="30">
        <v>43190</v>
      </c>
      <c r="S25" s="26">
        <v>2658.31</v>
      </c>
      <c r="T25" s="35">
        <f t="shared" si="13"/>
        <v>1.1941650741927878E-2</v>
      </c>
      <c r="U25" s="26"/>
      <c r="V25" s="27">
        <v>5</v>
      </c>
      <c r="W25" s="30">
        <v>43190</v>
      </c>
      <c r="X25" s="26">
        <v>1923</v>
      </c>
      <c r="Y25" s="35">
        <f t="shared" si="14"/>
        <v>0.22875399361022364</v>
      </c>
    </row>
    <row r="26" spans="2:25" x14ac:dyDescent="0.35">
      <c r="B26" s="27">
        <v>6</v>
      </c>
      <c r="C26" s="30">
        <v>43555</v>
      </c>
      <c r="D26" s="26">
        <v>622.14</v>
      </c>
      <c r="E26" s="35">
        <f t="shared" si="10"/>
        <v>0.72591339085083351</v>
      </c>
      <c r="G26" s="27">
        <v>6</v>
      </c>
      <c r="H26" s="30">
        <v>43555</v>
      </c>
      <c r="I26" s="26">
        <v>3364.45</v>
      </c>
      <c r="J26" s="35">
        <f t="shared" si="11"/>
        <v>7.7879514057974886E-2</v>
      </c>
      <c r="K26" s="26"/>
      <c r="L26" s="27">
        <v>6</v>
      </c>
      <c r="M26" s="30">
        <v>43555</v>
      </c>
      <c r="N26" s="26">
        <v>1907.33</v>
      </c>
      <c r="O26" s="35">
        <f t="shared" si="12"/>
        <v>0.10210154683554529</v>
      </c>
      <c r="P26" s="26"/>
      <c r="Q26" s="27">
        <v>6</v>
      </c>
      <c r="R26" s="30">
        <v>43555</v>
      </c>
      <c r="S26" s="26">
        <v>3149.86</v>
      </c>
      <c r="T26" s="35">
        <f t="shared" si="13"/>
        <v>0.18491071394984049</v>
      </c>
      <c r="U26" s="26"/>
      <c r="V26" s="27">
        <v>6</v>
      </c>
      <c r="W26" s="30">
        <v>43555</v>
      </c>
      <c r="X26" s="26">
        <v>2160</v>
      </c>
      <c r="Y26" s="35">
        <f t="shared" si="14"/>
        <v>0.12324492979719182</v>
      </c>
    </row>
    <row r="27" spans="2:25" x14ac:dyDescent="0.35">
      <c r="B27" s="27">
        <v>7</v>
      </c>
      <c r="C27" s="30">
        <v>43921</v>
      </c>
      <c r="D27" s="26">
        <v>780.5</v>
      </c>
      <c r="E27" s="35">
        <f t="shared" si="10"/>
        <v>0.25454077860288682</v>
      </c>
      <c r="G27" s="27">
        <v>7</v>
      </c>
      <c r="H27" s="30">
        <v>43921</v>
      </c>
      <c r="I27" s="26">
        <v>3662.3500000000004</v>
      </c>
      <c r="J27" s="35">
        <f t="shared" si="11"/>
        <v>8.8543446922974223E-2</v>
      </c>
      <c r="K27" s="26"/>
      <c r="L27" s="27">
        <v>7</v>
      </c>
      <c r="M27" s="30">
        <v>43921</v>
      </c>
      <c r="N27" s="26">
        <v>1795.22</v>
      </c>
      <c r="O27" s="35">
        <f t="shared" si="12"/>
        <v>-5.8778501884833689E-2</v>
      </c>
      <c r="P27" s="26"/>
      <c r="Q27" s="27">
        <v>7</v>
      </c>
      <c r="R27" s="30">
        <v>43921</v>
      </c>
      <c r="S27" s="26">
        <v>3389.81</v>
      </c>
      <c r="T27" s="35">
        <f t="shared" si="13"/>
        <v>7.6177988862996981E-2</v>
      </c>
      <c r="U27" s="26"/>
      <c r="V27" s="27">
        <v>7</v>
      </c>
      <c r="W27" s="30">
        <v>43921</v>
      </c>
      <c r="X27" s="26">
        <v>2394</v>
      </c>
      <c r="Y27" s="35">
        <f t="shared" si="14"/>
        <v>0.10833333333333339</v>
      </c>
    </row>
    <row r="28" spans="2:25" x14ac:dyDescent="0.35">
      <c r="B28" s="27">
        <v>8</v>
      </c>
      <c r="C28" s="30">
        <v>44286</v>
      </c>
      <c r="D28" s="26">
        <v>791.27</v>
      </c>
      <c r="E28" s="35">
        <f t="shared" si="10"/>
        <v>1.3798846893017247E-2</v>
      </c>
      <c r="G28" s="27">
        <v>8</v>
      </c>
      <c r="H28" s="30">
        <v>44286</v>
      </c>
      <c r="I28" s="26">
        <v>4328.5199999999986</v>
      </c>
      <c r="J28" s="35">
        <f t="shared" si="11"/>
        <v>0.18189686949636119</v>
      </c>
      <c r="K28" s="26"/>
      <c r="L28" s="27">
        <v>8</v>
      </c>
      <c r="M28" s="30">
        <v>44286</v>
      </c>
      <c r="N28" s="26">
        <v>2602.17</v>
      </c>
      <c r="O28" s="35">
        <f t="shared" si="12"/>
        <v>0.44949922572163858</v>
      </c>
      <c r="P28" s="26"/>
      <c r="Q28" s="27">
        <v>8</v>
      </c>
      <c r="R28" s="30">
        <v>44286</v>
      </c>
      <c r="S28" s="26">
        <v>3798.6</v>
      </c>
      <c r="T28" s="35">
        <f t="shared" si="13"/>
        <v>0.12059377959236661</v>
      </c>
      <c r="U28" s="26"/>
      <c r="V28" s="27">
        <v>8</v>
      </c>
      <c r="W28" s="30">
        <v>44286</v>
      </c>
      <c r="X28" s="26">
        <v>2137</v>
      </c>
      <c r="Y28" s="35">
        <f t="shared" si="14"/>
        <v>-0.10735171261487053</v>
      </c>
    </row>
    <row r="29" spans="2:25" x14ac:dyDescent="0.35">
      <c r="B29" s="27">
        <v>9</v>
      </c>
      <c r="C29" s="30">
        <v>44651</v>
      </c>
      <c r="D29" s="26">
        <v>816.36</v>
      </c>
      <c r="E29" s="35">
        <f t="shared" si="10"/>
        <v>3.1708519215944087E-2</v>
      </c>
      <c r="G29" s="27">
        <v>9</v>
      </c>
      <c r="H29" s="30">
        <v>44651</v>
      </c>
      <c r="I29" s="26">
        <v>4228.8900000000003</v>
      </c>
      <c r="J29" s="35">
        <f t="shared" si="11"/>
        <v>-2.3017105153724238E-2</v>
      </c>
      <c r="K29" s="26"/>
      <c r="L29" s="27">
        <v>9</v>
      </c>
      <c r="M29" s="30">
        <v>44651</v>
      </c>
      <c r="N29" s="26">
        <v>3871.44</v>
      </c>
      <c r="O29" s="35">
        <f t="shared" si="12"/>
        <v>0.48777366582506132</v>
      </c>
      <c r="P29" s="26"/>
      <c r="Q29" s="27">
        <v>9</v>
      </c>
      <c r="R29" s="30">
        <v>44651</v>
      </c>
      <c r="S29" s="26">
        <v>6152.98</v>
      </c>
      <c r="T29" s="35">
        <f t="shared" si="13"/>
        <v>0.61980203232769959</v>
      </c>
      <c r="U29" s="26"/>
      <c r="V29" s="27">
        <v>9</v>
      </c>
      <c r="W29" s="30">
        <v>44651</v>
      </c>
      <c r="X29" s="26">
        <v>3379</v>
      </c>
      <c r="Y29" s="35">
        <f t="shared" si="14"/>
        <v>0.58118858212447355</v>
      </c>
    </row>
    <row r="30" spans="2:25" x14ac:dyDescent="0.35">
      <c r="B30" s="27">
        <v>10</v>
      </c>
      <c r="C30" s="30">
        <v>45016</v>
      </c>
      <c r="D30" s="26">
        <v>858.02</v>
      </c>
      <c r="E30" s="35">
        <f t="shared" si="10"/>
        <v>5.1031407712283761E-2</v>
      </c>
      <c r="G30" s="27">
        <v>10</v>
      </c>
      <c r="H30" s="30">
        <v>45016</v>
      </c>
      <c r="I30" s="26">
        <v>5744.4</v>
      </c>
      <c r="J30" s="35">
        <f t="shared" si="11"/>
        <v>0.35837063626625398</v>
      </c>
      <c r="K30" s="26"/>
      <c r="L30" s="27">
        <v>10</v>
      </c>
      <c r="M30" s="30">
        <v>45016</v>
      </c>
      <c r="N30" s="26">
        <v>4636.9399999999996</v>
      </c>
      <c r="O30" s="35">
        <f t="shared" si="12"/>
        <v>0.19773004360134716</v>
      </c>
      <c r="P30" s="26"/>
      <c r="Q30" s="27">
        <v>10</v>
      </c>
      <c r="R30" s="30">
        <v>45016</v>
      </c>
      <c r="S30" s="26">
        <v>6210.64</v>
      </c>
      <c r="T30" s="35">
        <f t="shared" si="13"/>
        <v>9.3710689779586964E-3</v>
      </c>
      <c r="U30" s="26"/>
      <c r="V30" s="27">
        <v>10</v>
      </c>
      <c r="W30" s="30">
        <v>45016</v>
      </c>
      <c r="X30" s="26">
        <v>4164</v>
      </c>
      <c r="Y30" s="35">
        <f t="shared" si="14"/>
        <v>0.23231725362533284</v>
      </c>
    </row>
    <row r="31" spans="2:25" x14ac:dyDescent="0.35">
      <c r="B31" s="31">
        <v>11</v>
      </c>
      <c r="C31" s="32" t="s">
        <v>121</v>
      </c>
      <c r="D31" s="33">
        <f>FORECAST(B31,D$21:D$30,B$21:B$30)</f>
        <v>986.45666666666671</v>
      </c>
      <c r="E31" s="36">
        <f t="shared" si="10"/>
        <v>0.14968959542512605</v>
      </c>
      <c r="G31" s="31">
        <v>11</v>
      </c>
      <c r="H31" s="32" t="s">
        <v>121</v>
      </c>
      <c r="I31" s="33">
        <f>FORECAST(G31,I$21:I$30,G$21:G$30)</f>
        <v>5428.9866666666658</v>
      </c>
      <c r="J31" s="36">
        <f t="shared" si="11"/>
        <v>-5.4907968340180635E-2</v>
      </c>
      <c r="K31" s="26"/>
      <c r="L31" s="31">
        <v>11</v>
      </c>
      <c r="M31" s="32" t="s">
        <v>121</v>
      </c>
      <c r="N31" s="33">
        <f>FORECAST(L31,N$21:N$30,L$21:L$30)</f>
        <v>4109.1059999999998</v>
      </c>
      <c r="O31" s="36">
        <f t="shared" si="12"/>
        <v>-0.1138323980901198</v>
      </c>
      <c r="P31" s="26"/>
      <c r="Q31" s="31">
        <v>11</v>
      </c>
      <c r="R31" s="32" t="s">
        <v>121</v>
      </c>
      <c r="S31" s="33">
        <f>FORECAST(Q31,S$21:S$30,Q$21:Q$30)</f>
        <v>5975.0493333333334</v>
      </c>
      <c r="T31" s="36">
        <f t="shared" si="13"/>
        <v>-3.7933396021451404E-2</v>
      </c>
      <c r="U31" s="26"/>
      <c r="V31" s="31">
        <v>11</v>
      </c>
      <c r="W31" s="32" t="s">
        <v>121</v>
      </c>
      <c r="X31" s="33">
        <f>FORECAST(V31,X$21:X$30,V$21:V$30)</f>
        <v>3632.3333333333335</v>
      </c>
      <c r="Y31" s="36">
        <f t="shared" si="14"/>
        <v>-0.12768171629843095</v>
      </c>
    </row>
    <row r="32" spans="2:25" x14ac:dyDescent="0.35">
      <c r="B32" s="31">
        <v>12</v>
      </c>
      <c r="C32" s="32" t="s">
        <v>122</v>
      </c>
      <c r="D32" s="33">
        <f t="shared" ref="D32:D35" si="15">FORECAST(B32,D$21:D$30,B$21:B$30)</f>
        <v>1068.5267878787879</v>
      </c>
      <c r="E32" s="36">
        <f t="shared" si="10"/>
        <v>8.3196884349156619E-2</v>
      </c>
      <c r="G32" s="31">
        <v>12</v>
      </c>
      <c r="H32" s="32" t="s">
        <v>122</v>
      </c>
      <c r="I32" s="33">
        <f t="shared" ref="I32:I35" si="16">FORECAST(G32,I$21:I$30,G$21:G$30)</f>
        <v>5799.0949696969692</v>
      </c>
      <c r="J32" s="36">
        <f t="shared" si="11"/>
        <v>6.8172630686814006E-2</v>
      </c>
      <c r="K32" s="26"/>
      <c r="L32" s="31">
        <v>12</v>
      </c>
      <c r="M32" s="32" t="s">
        <v>122</v>
      </c>
      <c r="N32" s="33">
        <f t="shared" ref="N32:N35" si="17">FORECAST(L32,N$21:N$30,L$21:L$30)</f>
        <v>4465.8609090909085</v>
      </c>
      <c r="O32" s="36">
        <f t="shared" si="12"/>
        <v>8.6820566101460717E-2</v>
      </c>
      <c r="P32" s="26"/>
      <c r="Q32" s="31">
        <v>12</v>
      </c>
      <c r="R32" s="32" t="s">
        <v>122</v>
      </c>
      <c r="S32" s="33">
        <f t="shared" ref="S32:S35" si="18">FORECAST(Q32,S$21:S$30,Q$21:Q$30)</f>
        <v>6437.5353939393935</v>
      </c>
      <c r="T32" s="36">
        <f t="shared" si="13"/>
        <v>7.7402885701037372E-2</v>
      </c>
      <c r="U32" s="26"/>
      <c r="V32" s="31">
        <v>12</v>
      </c>
      <c r="W32" s="32" t="s">
        <v>122</v>
      </c>
      <c r="X32" s="33">
        <f t="shared" ref="X32:X35" si="19">FORECAST(V32,X$21:X$30,V$21:V$30)</f>
        <v>3884.4121212121213</v>
      </c>
      <c r="Y32" s="36">
        <f t="shared" si="14"/>
        <v>6.9398583429968186E-2</v>
      </c>
    </row>
    <row r="33" spans="2:25" x14ac:dyDescent="0.35">
      <c r="B33" s="31">
        <v>13</v>
      </c>
      <c r="C33" s="32" t="s">
        <v>123</v>
      </c>
      <c r="D33" s="33">
        <f t="shared" si="15"/>
        <v>1150.5969090909091</v>
      </c>
      <c r="E33" s="36">
        <f t="shared" si="10"/>
        <v>7.6806798054211312E-2</v>
      </c>
      <c r="G33" s="31">
        <v>13</v>
      </c>
      <c r="H33" s="32" t="s">
        <v>123</v>
      </c>
      <c r="I33" s="33">
        <f t="shared" si="16"/>
        <v>6169.2032727272726</v>
      </c>
      <c r="J33" s="36">
        <f t="shared" si="11"/>
        <v>6.3821735109408584E-2</v>
      </c>
      <c r="K33" s="26"/>
      <c r="L33" s="31">
        <v>13</v>
      </c>
      <c r="M33" s="32" t="s">
        <v>123</v>
      </c>
      <c r="N33" s="33">
        <f t="shared" si="17"/>
        <v>4822.6158181818173</v>
      </c>
      <c r="O33" s="36">
        <f t="shared" si="12"/>
        <v>7.9884912753257042E-2</v>
      </c>
      <c r="P33" s="26"/>
      <c r="Q33" s="31">
        <v>13</v>
      </c>
      <c r="R33" s="32" t="s">
        <v>123</v>
      </c>
      <c r="S33" s="33">
        <f t="shared" si="18"/>
        <v>6900.0214545454546</v>
      </c>
      <c r="T33" s="36">
        <f t="shared" si="13"/>
        <v>7.1842099857263308E-2</v>
      </c>
      <c r="U33" s="26"/>
      <c r="V33" s="31">
        <v>13</v>
      </c>
      <c r="W33" s="32" t="s">
        <v>123</v>
      </c>
      <c r="X33" s="33">
        <f t="shared" si="19"/>
        <v>4136.4909090909096</v>
      </c>
      <c r="Y33" s="36">
        <f t="shared" si="14"/>
        <v>6.4894964801038624E-2</v>
      </c>
    </row>
    <row r="34" spans="2:25" x14ac:dyDescent="0.35">
      <c r="B34" s="31">
        <v>14</v>
      </c>
      <c r="C34" s="32" t="s">
        <v>124</v>
      </c>
      <c r="D34" s="33">
        <f t="shared" si="15"/>
        <v>1232.6670303030303</v>
      </c>
      <c r="E34" s="36">
        <f t="shared" si="10"/>
        <v>7.1328299740493151E-2</v>
      </c>
      <c r="G34" s="31">
        <v>14</v>
      </c>
      <c r="H34" s="32" t="s">
        <v>124</v>
      </c>
      <c r="I34" s="33">
        <f t="shared" si="16"/>
        <v>6539.3115757575752</v>
      </c>
      <c r="J34" s="36">
        <f t="shared" si="11"/>
        <v>5.9992885088820502E-2</v>
      </c>
      <c r="K34" s="26"/>
      <c r="L34" s="31">
        <v>14</v>
      </c>
      <c r="M34" s="32" t="s">
        <v>124</v>
      </c>
      <c r="N34" s="33">
        <f t="shared" si="17"/>
        <v>5179.3707272727261</v>
      </c>
      <c r="O34" s="36">
        <f t="shared" si="12"/>
        <v>7.3975394794232097E-2</v>
      </c>
      <c r="P34" s="26"/>
      <c r="Q34" s="31">
        <v>14</v>
      </c>
      <c r="R34" s="32" t="s">
        <v>124</v>
      </c>
      <c r="S34" s="33">
        <f t="shared" si="18"/>
        <v>7362.5075151515148</v>
      </c>
      <c r="T34" s="36">
        <f t="shared" si="13"/>
        <v>6.7026756895283812E-2</v>
      </c>
      <c r="U34" s="26"/>
      <c r="V34" s="31">
        <v>14</v>
      </c>
      <c r="W34" s="32" t="s">
        <v>124</v>
      </c>
      <c r="X34" s="33">
        <f t="shared" si="19"/>
        <v>4388.5696969696974</v>
      </c>
      <c r="Y34" s="36">
        <f t="shared" si="14"/>
        <v>6.0940249457525741E-2</v>
      </c>
    </row>
    <row r="35" spans="2:25" x14ac:dyDescent="0.35">
      <c r="B35" s="31">
        <v>15</v>
      </c>
      <c r="C35" s="32" t="s">
        <v>125</v>
      </c>
      <c r="D35" s="33">
        <f t="shared" si="15"/>
        <v>1314.7371515151515</v>
      </c>
      <c r="E35" s="36">
        <f t="shared" si="10"/>
        <v>6.6579310709677708E-2</v>
      </c>
      <c r="G35" s="31">
        <v>15</v>
      </c>
      <c r="H35" s="32" t="s">
        <v>125</v>
      </c>
      <c r="I35" s="33">
        <f t="shared" si="16"/>
        <v>6909.4198787878777</v>
      </c>
      <c r="J35" s="36">
        <f t="shared" si="11"/>
        <v>5.6597441296781348E-2</v>
      </c>
      <c r="K35" s="26"/>
      <c r="L35" s="31">
        <v>15</v>
      </c>
      <c r="M35" s="32" t="s">
        <v>125</v>
      </c>
      <c r="N35" s="33">
        <f t="shared" si="17"/>
        <v>5536.1256363636357</v>
      </c>
      <c r="O35" s="36">
        <f t="shared" si="12"/>
        <v>6.8879971694701281E-2</v>
      </c>
      <c r="P35" s="26"/>
      <c r="Q35" s="31">
        <v>15</v>
      </c>
      <c r="R35" s="32" t="s">
        <v>125</v>
      </c>
      <c r="S35" s="33">
        <f t="shared" si="18"/>
        <v>7824.9935757575759</v>
      </c>
      <c r="T35" s="36">
        <f t="shared" si="13"/>
        <v>6.281637874790591E-2</v>
      </c>
      <c r="U35" s="26"/>
      <c r="V35" s="31">
        <v>15</v>
      </c>
      <c r="W35" s="32" t="s">
        <v>125</v>
      </c>
      <c r="X35" s="33">
        <f t="shared" si="19"/>
        <v>4640.6484848484852</v>
      </c>
      <c r="Y35" s="36">
        <f t="shared" si="14"/>
        <v>5.7439850631254119E-2</v>
      </c>
    </row>
    <row r="37" spans="2:25" x14ac:dyDescent="0.35">
      <c r="B37" t="s">
        <v>255</v>
      </c>
      <c r="C37"/>
      <c r="D37"/>
      <c r="E37"/>
      <c r="G37"/>
      <c r="H37"/>
      <c r="I37"/>
      <c r="J37"/>
    </row>
    <row r="38" spans="2:25" ht="15" thickBot="1" x14ac:dyDescent="0.4">
      <c r="B38"/>
      <c r="C38"/>
      <c r="D38"/>
      <c r="E38"/>
      <c r="G38"/>
      <c r="H38"/>
      <c r="I38"/>
      <c r="J38"/>
    </row>
    <row r="39" spans="2:25" x14ac:dyDescent="0.35">
      <c r="B39" s="121" t="s">
        <v>257</v>
      </c>
      <c r="C39" s="121"/>
      <c r="D39"/>
      <c r="E39"/>
      <c r="G39"/>
      <c r="H39"/>
      <c r="I39"/>
      <c r="J39"/>
    </row>
    <row r="40" spans="2:25" x14ac:dyDescent="0.35">
      <c r="B40" t="s">
        <v>259</v>
      </c>
      <c r="C40">
        <v>0.930107234589716</v>
      </c>
      <c r="D40"/>
      <c r="E40"/>
      <c r="G40"/>
      <c r="H40"/>
      <c r="I40"/>
      <c r="J40"/>
    </row>
    <row r="41" spans="2:25" x14ac:dyDescent="0.35">
      <c r="B41" t="s">
        <v>260</v>
      </c>
      <c r="C41">
        <v>0.86509946783612901</v>
      </c>
      <c r="D41"/>
      <c r="E41"/>
      <c r="G41"/>
      <c r="H41"/>
      <c r="I41"/>
      <c r="J41"/>
    </row>
    <row r="42" spans="2:25" x14ac:dyDescent="0.35">
      <c r="B42" t="s">
        <v>264</v>
      </c>
      <c r="C42">
        <v>0.84823690131564511</v>
      </c>
      <c r="D42"/>
      <c r="E42"/>
      <c r="G42"/>
      <c r="H42"/>
      <c r="I42"/>
      <c r="J42"/>
    </row>
    <row r="43" spans="2:25" x14ac:dyDescent="0.35">
      <c r="B43" t="s">
        <v>265</v>
      </c>
      <c r="C43">
        <v>2796.643887766083</v>
      </c>
      <c r="D43"/>
      <c r="E43"/>
      <c r="G43"/>
      <c r="H43"/>
      <c r="I43"/>
      <c r="J43"/>
    </row>
    <row r="44" spans="2:25" ht="15" thickBot="1" x14ac:dyDescent="0.4">
      <c r="B44" s="119" t="s">
        <v>266</v>
      </c>
      <c r="C44" s="119">
        <v>10</v>
      </c>
      <c r="D44"/>
      <c r="E44"/>
      <c r="G44"/>
      <c r="H44"/>
      <c r="I44"/>
      <c r="J44"/>
    </row>
    <row r="45" spans="2:25" x14ac:dyDescent="0.35">
      <c r="B45"/>
      <c r="C45"/>
      <c r="D45"/>
      <c r="E45"/>
      <c r="G45"/>
      <c r="H45"/>
      <c r="I45"/>
      <c r="J45"/>
    </row>
    <row r="46" spans="2:25" ht="15" thickBot="1" x14ac:dyDescent="0.4">
      <c r="B46" t="s">
        <v>267</v>
      </c>
      <c r="C46"/>
      <c r="D46"/>
      <c r="E46"/>
      <c r="G46"/>
      <c r="H46"/>
      <c r="I46"/>
      <c r="J46"/>
    </row>
    <row r="47" spans="2:25" x14ac:dyDescent="0.35">
      <c r="B47" s="120"/>
      <c r="C47" s="120" t="s">
        <v>268</v>
      </c>
      <c r="D47" s="120" t="s">
        <v>269</v>
      </c>
      <c r="E47" s="120" t="s">
        <v>270</v>
      </c>
      <c r="F47" s="120" t="s">
        <v>271</v>
      </c>
      <c r="G47" s="120" t="s">
        <v>272</v>
      </c>
      <c r="H47"/>
      <c r="I47"/>
      <c r="J47"/>
    </row>
    <row r="48" spans="2:25" x14ac:dyDescent="0.35">
      <c r="B48" t="s">
        <v>273</v>
      </c>
      <c r="C48">
        <v>1</v>
      </c>
      <c r="D48">
        <v>401251534.6683647</v>
      </c>
      <c r="E48">
        <v>401251534.6683647</v>
      </c>
      <c r="F48">
        <v>51.302953603488888</v>
      </c>
      <c r="G48">
        <v>9.5897710761645429E-5</v>
      </c>
      <c r="H48"/>
      <c r="I48"/>
      <c r="J48"/>
    </row>
    <row r="49" spans="2:10" x14ac:dyDescent="0.35">
      <c r="B49" t="s">
        <v>274</v>
      </c>
      <c r="C49">
        <v>8</v>
      </c>
      <c r="D49">
        <v>62569736.279835142</v>
      </c>
      <c r="E49">
        <v>7821217.0349793928</v>
      </c>
      <c r="G49"/>
      <c r="H49"/>
      <c r="I49"/>
      <c r="J49"/>
    </row>
    <row r="50" spans="2:10" ht="15" thickBot="1" x14ac:dyDescent="0.4">
      <c r="B50" s="119" t="s">
        <v>12</v>
      </c>
      <c r="C50" s="119">
        <v>9</v>
      </c>
      <c r="D50" s="119">
        <v>463821270.94819987</v>
      </c>
      <c r="E50" s="119"/>
      <c r="F50" s="119"/>
      <c r="G50" s="119"/>
      <c r="H50"/>
      <c r="I50"/>
      <c r="J50"/>
    </row>
    <row r="51" spans="2:10" ht="15" thickBot="1" x14ac:dyDescent="0.4">
      <c r="B51"/>
      <c r="C51"/>
      <c r="D51"/>
      <c r="E51"/>
      <c r="G51"/>
      <c r="H51"/>
      <c r="I51"/>
      <c r="J51"/>
    </row>
    <row r="52" spans="2:10" x14ac:dyDescent="0.35">
      <c r="B52" s="120"/>
      <c r="C52" s="120" t="s">
        <v>275</v>
      </c>
      <c r="D52" s="120" t="s">
        <v>265</v>
      </c>
      <c r="E52" s="120" t="s">
        <v>276</v>
      </c>
      <c r="F52" s="120" t="s">
        <v>277</v>
      </c>
      <c r="G52" s="120" t="s">
        <v>278</v>
      </c>
      <c r="H52" s="120" t="s">
        <v>279</v>
      </c>
      <c r="I52" s="120" t="s">
        <v>280</v>
      </c>
      <c r="J52" s="120" t="s">
        <v>281</v>
      </c>
    </row>
    <row r="53" spans="2:10" x14ac:dyDescent="0.35">
      <c r="B53" t="s">
        <v>282</v>
      </c>
      <c r="C53">
        <v>7545.2373333333344</v>
      </c>
      <c r="D53">
        <v>1910.4714818573932</v>
      </c>
      <c r="E53">
        <v>3.9494111296535688</v>
      </c>
      <c r="F53">
        <v>4.2395191330513926E-3</v>
      </c>
      <c r="G53">
        <v>3139.6821959805529</v>
      </c>
      <c r="H53">
        <v>11950.792470686116</v>
      </c>
      <c r="I53">
        <v>3139.6821959805529</v>
      </c>
      <c r="J53">
        <v>11950.792470686116</v>
      </c>
    </row>
    <row r="54" spans="2:10" ht="15" thickBot="1" x14ac:dyDescent="0.4">
      <c r="B54" s="119" t="s">
        <v>283</v>
      </c>
      <c r="C54" s="119">
        <v>2205.3695757575756</v>
      </c>
      <c r="D54" s="119">
        <v>307.90035843925705</v>
      </c>
      <c r="E54" s="119">
        <v>7.1626080168810633</v>
      </c>
      <c r="F54" s="119">
        <v>9.5897710761645605E-5</v>
      </c>
      <c r="G54" s="119">
        <v>1495.3500759658036</v>
      </c>
      <c r="H54" s="119">
        <v>2915.3890755493476</v>
      </c>
      <c r="I54" s="119">
        <v>1495.3500759658036</v>
      </c>
      <c r="J54" s="119">
        <v>2915.3890755493476</v>
      </c>
    </row>
    <row r="55" spans="2:10" x14ac:dyDescent="0.35">
      <c r="B55"/>
      <c r="C55"/>
      <c r="D55"/>
      <c r="E55"/>
      <c r="G55"/>
      <c r="H55"/>
      <c r="I55"/>
      <c r="J55"/>
    </row>
    <row r="56" spans="2:10" x14ac:dyDescent="0.35">
      <c r="B56"/>
      <c r="C56"/>
      <c r="D56"/>
      <c r="E56"/>
      <c r="G56"/>
      <c r="H56"/>
      <c r="I56"/>
      <c r="J56"/>
    </row>
    <row r="57" spans="2:10" x14ac:dyDescent="0.35">
      <c r="B57"/>
      <c r="C57"/>
      <c r="D57"/>
      <c r="E57"/>
      <c r="G57"/>
      <c r="H57"/>
      <c r="I57"/>
      <c r="J5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3C08-A379-466E-BAEB-0AB9BFA1E9C1}">
  <sheetPr>
    <tabColor rgb="FF3333FF"/>
  </sheetPr>
  <dimension ref="A1"/>
  <sheetViews>
    <sheetView workbookViewId="0">
      <selection activeCell="Q34" sqref="Q34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6D00-0910-404B-A776-38470872857A}">
  <dimension ref="B2:K63"/>
  <sheetViews>
    <sheetView showGridLines="0" workbookViewId="0">
      <selection activeCell="P15" sqref="P15"/>
    </sheetView>
  </sheetViews>
  <sheetFormatPr defaultRowHeight="14.5" x14ac:dyDescent="0.35"/>
  <cols>
    <col min="1" max="1" width="1.81640625" customWidth="1"/>
    <col min="2" max="2" width="23" bestFit="1" customWidth="1"/>
    <col min="3" max="3" width="12.54296875" customWidth="1"/>
    <col min="7" max="8" width="10.08984375" style="26" bestFit="1" customWidth="1"/>
    <col min="9" max="9" width="10.1796875" style="26" bestFit="1" customWidth="1"/>
    <col min="10" max="10" width="13" style="26" bestFit="1" customWidth="1"/>
    <col min="11" max="11" width="10.1796875" style="26" bestFit="1" customWidth="1"/>
  </cols>
  <sheetData>
    <row r="2" spans="2:11" x14ac:dyDescent="0.35">
      <c r="B2" s="188" t="str">
        <f>"Calculation of ROIC for "&amp;'Data Sheet'!B1</f>
        <v>Calculation of ROIC for ASIAN PAINTS LTD</v>
      </c>
      <c r="C2" s="188"/>
      <c r="D2" s="85"/>
      <c r="E2" s="85"/>
      <c r="F2" s="85"/>
      <c r="G2" s="89">
        <f>'RAW FS'!I2</f>
        <v>43525</v>
      </c>
      <c r="H2" s="89">
        <f>'RAW FS'!J2</f>
        <v>43891</v>
      </c>
      <c r="I2" s="89">
        <f>'RAW FS'!K2</f>
        <v>44256</v>
      </c>
      <c r="J2" s="89">
        <f>'RAW FS'!L2</f>
        <v>44621</v>
      </c>
      <c r="K2" s="89">
        <f>'RAW FS'!M2</f>
        <v>44986</v>
      </c>
    </row>
    <row r="4" spans="2:11" s="2" customFormat="1" x14ac:dyDescent="0.35">
      <c r="B4" s="87" t="s">
        <v>180</v>
      </c>
      <c r="C4" s="87"/>
      <c r="D4" s="87"/>
      <c r="E4" s="87"/>
      <c r="F4" s="87"/>
      <c r="G4" s="90"/>
      <c r="H4" s="90"/>
      <c r="I4" s="90"/>
      <c r="J4" s="90"/>
      <c r="K4" s="90"/>
    </row>
    <row r="5" spans="2:11" x14ac:dyDescent="0.35">
      <c r="B5" t="str">
        <f>'RAW FS'!B31</f>
        <v>Inventories</v>
      </c>
      <c r="G5" s="91">
        <f>'RAW FS'!I31</f>
        <v>3150</v>
      </c>
      <c r="H5" s="91">
        <f>'RAW FS'!J31</f>
        <v>3390</v>
      </c>
      <c r="I5" s="91">
        <f>'RAW FS'!K31</f>
        <v>3799</v>
      </c>
      <c r="J5" s="91">
        <f>'RAW FS'!L31</f>
        <v>6153</v>
      </c>
      <c r="K5" s="91">
        <f>'RAW FS'!M31</f>
        <v>6211</v>
      </c>
    </row>
    <row r="6" spans="2:11" x14ac:dyDescent="0.35">
      <c r="B6" t="str">
        <f>'RAW FS'!B32</f>
        <v>Trade receivables</v>
      </c>
      <c r="G6" s="91">
        <f>'RAW FS'!I32</f>
        <v>1907</v>
      </c>
      <c r="H6" s="91">
        <f>'RAW FS'!J32</f>
        <v>1795</v>
      </c>
      <c r="I6" s="91">
        <f>'RAW FS'!K32</f>
        <v>2602</v>
      </c>
      <c r="J6" s="91">
        <f>'RAW FS'!L32</f>
        <v>3871</v>
      </c>
      <c r="K6" s="91">
        <f>'RAW FS'!M32</f>
        <v>4637</v>
      </c>
    </row>
    <row r="7" spans="2:11" x14ac:dyDescent="0.35">
      <c r="B7" t="str">
        <f>'RAW FS'!B34</f>
        <v>Short term loans</v>
      </c>
      <c r="G7" s="91">
        <f>'RAW FS'!I34</f>
        <v>16</v>
      </c>
      <c r="H7" s="91">
        <f>'RAW FS'!J34</f>
        <v>12</v>
      </c>
      <c r="I7" s="91">
        <f>'RAW FS'!K34</f>
        <v>11</v>
      </c>
      <c r="J7" s="91">
        <f>'RAW FS'!L34</f>
        <v>8</v>
      </c>
      <c r="K7" s="91">
        <f>'RAW FS'!M34</f>
        <v>12</v>
      </c>
    </row>
    <row r="8" spans="2:11" x14ac:dyDescent="0.35">
      <c r="B8" t="str">
        <f>'RAW FS'!B35</f>
        <v>Other asset items</v>
      </c>
      <c r="G8" s="91">
        <f>'RAW FS'!I35</f>
        <v>1456</v>
      </c>
      <c r="H8" s="91">
        <f>'RAW FS'!J35</f>
        <v>1727</v>
      </c>
      <c r="I8" s="91">
        <f>'RAW FS'!K35</f>
        <v>2555</v>
      </c>
      <c r="J8" s="91">
        <f>'RAW FS'!L35</f>
        <v>2869</v>
      </c>
      <c r="K8" s="91">
        <f>'RAW FS'!M35</f>
        <v>3024</v>
      </c>
    </row>
    <row r="9" spans="2:11" s="2" customFormat="1" x14ac:dyDescent="0.35">
      <c r="B9" s="86" t="s">
        <v>211</v>
      </c>
      <c r="C9" s="86"/>
      <c r="D9" s="86"/>
      <c r="E9" s="86"/>
      <c r="F9" s="86"/>
      <c r="G9" s="92">
        <f>SUM(G5:G8)</f>
        <v>6529</v>
      </c>
      <c r="H9" s="92">
        <f t="shared" ref="H9:K9" si="0">SUM(H5:H8)</f>
        <v>6924</v>
      </c>
      <c r="I9" s="92">
        <f t="shared" si="0"/>
        <v>8967</v>
      </c>
      <c r="J9" s="92">
        <f t="shared" si="0"/>
        <v>12901</v>
      </c>
      <c r="K9" s="92">
        <f t="shared" si="0"/>
        <v>13884</v>
      </c>
    </row>
    <row r="10" spans="2:11" x14ac:dyDescent="0.35">
      <c r="G10" s="91"/>
      <c r="H10" s="91"/>
      <c r="I10" s="91"/>
      <c r="J10" s="91"/>
      <c r="K10" s="91"/>
    </row>
    <row r="11" spans="2:11" x14ac:dyDescent="0.35">
      <c r="B11" s="87" t="s">
        <v>212</v>
      </c>
      <c r="C11" s="87"/>
      <c r="D11" s="87"/>
      <c r="E11" s="87"/>
      <c r="F11" s="87"/>
      <c r="G11" s="93"/>
      <c r="H11" s="93"/>
      <c r="I11" s="93"/>
      <c r="J11" s="93"/>
      <c r="K11" s="93"/>
    </row>
    <row r="12" spans="2:11" x14ac:dyDescent="0.35">
      <c r="B12" t="str">
        <f>'RAW FS'!B12</f>
        <v>Trade Payables</v>
      </c>
      <c r="G12" s="91">
        <f>'RAW FS'!I12</f>
        <v>2394</v>
      </c>
      <c r="H12" s="91">
        <f>'RAW FS'!J12</f>
        <v>2137</v>
      </c>
      <c r="I12" s="91">
        <f>'RAW FS'!K12</f>
        <v>3379</v>
      </c>
      <c r="J12" s="91">
        <f>'RAW FS'!L12</f>
        <v>4164</v>
      </c>
      <c r="K12" s="91">
        <f>'RAW FS'!M12</f>
        <v>3635</v>
      </c>
    </row>
    <row r="13" spans="2:11" x14ac:dyDescent="0.35">
      <c r="B13" t="str">
        <f>'RAW FS'!B13</f>
        <v>Advance from Customers</v>
      </c>
      <c r="G13" s="91">
        <f>'RAW FS'!I13</f>
        <v>13</v>
      </c>
      <c r="H13" s="91">
        <f>'RAW FS'!J13</f>
        <v>29</v>
      </c>
      <c r="I13" s="91">
        <f>'RAW FS'!K13</f>
        <v>41</v>
      </c>
      <c r="J13" s="91">
        <f>'RAW FS'!L13</f>
        <v>76</v>
      </c>
      <c r="K13" s="91">
        <f>'RAW FS'!M13</f>
        <v>108</v>
      </c>
    </row>
    <row r="14" spans="2:11" x14ac:dyDescent="0.35">
      <c r="B14" t="str">
        <f>'RAW FS'!B14</f>
        <v>Other liability items</v>
      </c>
      <c r="G14" s="91">
        <f>'RAW FS'!I14</f>
        <v>2690</v>
      </c>
      <c r="H14" s="91">
        <f>'RAW FS'!J14</f>
        <v>2320</v>
      </c>
      <c r="I14" s="91">
        <f>'RAW FS'!K14</f>
        <v>2613</v>
      </c>
      <c r="J14" s="91">
        <f>'RAW FS'!L14</f>
        <v>2932</v>
      </c>
      <c r="K14" s="91">
        <f>'RAW FS'!M14</f>
        <v>3657</v>
      </c>
    </row>
    <row r="15" spans="2:11" x14ac:dyDescent="0.35">
      <c r="B15" s="86" t="s">
        <v>213</v>
      </c>
      <c r="C15" s="86"/>
      <c r="D15" s="86"/>
      <c r="E15" s="86"/>
      <c r="F15" s="86"/>
      <c r="G15" s="92">
        <f>SUM(G12:G14)</f>
        <v>5097</v>
      </c>
      <c r="H15" s="92">
        <f>SUM(H12:H14)</f>
        <v>4486</v>
      </c>
      <c r="I15" s="92">
        <f>SUM(I12:I14)</f>
        <v>6033</v>
      </c>
      <c r="J15" s="92">
        <f>SUM(J12:J14)</f>
        <v>7172</v>
      </c>
      <c r="K15" s="92">
        <f>SUM(K12:K14)</f>
        <v>7400</v>
      </c>
    </row>
    <row r="16" spans="2:11" x14ac:dyDescent="0.35">
      <c r="G16" s="91"/>
      <c r="H16" s="91"/>
      <c r="I16" s="91"/>
      <c r="J16" s="91"/>
      <c r="K16" s="91"/>
    </row>
    <row r="17" spans="2:11" s="2" customFormat="1" ht="15" thickBot="1" x14ac:dyDescent="0.4">
      <c r="B17" s="88" t="s">
        <v>214</v>
      </c>
      <c r="C17" s="88"/>
      <c r="D17" s="88"/>
      <c r="E17" s="88"/>
      <c r="F17" s="88"/>
      <c r="G17" s="94">
        <f>G9-G15</f>
        <v>1432</v>
      </c>
      <c r="H17" s="94">
        <f t="shared" ref="H17:K17" si="1">H9-H15</f>
        <v>2438</v>
      </c>
      <c r="I17" s="94">
        <f t="shared" si="1"/>
        <v>2934</v>
      </c>
      <c r="J17" s="94">
        <f t="shared" si="1"/>
        <v>5729</v>
      </c>
      <c r="K17" s="94">
        <f t="shared" si="1"/>
        <v>6484</v>
      </c>
    </row>
    <row r="18" spans="2:11" x14ac:dyDescent="0.35">
      <c r="G18" s="91"/>
      <c r="H18" s="91"/>
      <c r="I18" s="91"/>
      <c r="J18" s="91"/>
      <c r="K18" s="91"/>
    </row>
    <row r="19" spans="2:11" x14ac:dyDescent="0.35">
      <c r="G19" s="91"/>
      <c r="H19" s="91"/>
      <c r="I19" s="91"/>
      <c r="J19" s="91"/>
      <c r="K19" s="91"/>
    </row>
    <row r="20" spans="2:11" x14ac:dyDescent="0.35">
      <c r="B20" s="87" t="s">
        <v>181</v>
      </c>
      <c r="C20" s="87"/>
      <c r="D20" s="87"/>
      <c r="E20" s="87"/>
      <c r="F20" s="87"/>
      <c r="G20" s="90"/>
      <c r="H20" s="90"/>
      <c r="I20" s="90"/>
      <c r="J20" s="90"/>
      <c r="K20" s="90"/>
    </row>
    <row r="21" spans="2:11" x14ac:dyDescent="0.35">
      <c r="B21" t="str">
        <f>'RAW FS'!B17</f>
        <v>Land</v>
      </c>
      <c r="G21" s="91">
        <f>'RAW FS'!I17</f>
        <v>605</v>
      </c>
      <c r="H21" s="91">
        <f>'RAW FS'!J17</f>
        <v>640</v>
      </c>
      <c r="I21" s="91">
        <f>'RAW FS'!K17</f>
        <v>644</v>
      </c>
      <c r="J21" s="91">
        <f>'RAW FS'!L17</f>
        <v>644</v>
      </c>
      <c r="K21" s="91">
        <f>'RAW FS'!M17</f>
        <v>799</v>
      </c>
    </row>
    <row r="22" spans="2:11" x14ac:dyDescent="0.35">
      <c r="B22" t="str">
        <f>'RAW FS'!B18</f>
        <v>Building</v>
      </c>
      <c r="G22" s="91">
        <f>'RAW FS'!I18</f>
        <v>2402</v>
      </c>
      <c r="H22" s="91">
        <f>'RAW FS'!J18</f>
        <v>2257</v>
      </c>
      <c r="I22" s="91">
        <f>'RAW FS'!K18</f>
        <v>2249</v>
      </c>
      <c r="J22" s="91">
        <f>'RAW FS'!L18</f>
        <v>2325</v>
      </c>
      <c r="K22" s="91">
        <f>'RAW FS'!M18</f>
        <v>2617</v>
      </c>
    </row>
    <row r="23" spans="2:11" x14ac:dyDescent="0.35">
      <c r="B23" t="str">
        <f>'RAW FS'!B19</f>
        <v>Plant Machinery</v>
      </c>
      <c r="G23" s="91">
        <f>'RAW FS'!I19</f>
        <v>4006</v>
      </c>
      <c r="H23" s="91">
        <f>'RAW FS'!J19</f>
        <v>4208</v>
      </c>
      <c r="I23" s="91">
        <f>'RAW FS'!K19</f>
        <v>4340</v>
      </c>
      <c r="J23" s="91">
        <f>'RAW FS'!L19</f>
        <v>4531</v>
      </c>
      <c r="K23" s="91">
        <f>'RAW FS'!M19</f>
        <v>4825</v>
      </c>
    </row>
    <row r="24" spans="2:11" x14ac:dyDescent="0.35">
      <c r="B24" t="str">
        <f>'RAW FS'!B20</f>
        <v>Equipments</v>
      </c>
      <c r="G24" s="91">
        <f>'RAW FS'!I20</f>
        <v>221</v>
      </c>
      <c r="H24" s="91">
        <f>'RAW FS'!J20</f>
        <v>241</v>
      </c>
      <c r="I24" s="91">
        <f>'RAW FS'!K20</f>
        <v>243</v>
      </c>
      <c r="J24" s="91">
        <f>'RAW FS'!L20</f>
        <v>253</v>
      </c>
      <c r="K24" s="91">
        <f>'RAW FS'!M20</f>
        <v>270</v>
      </c>
    </row>
    <row r="25" spans="2:11" x14ac:dyDescent="0.35">
      <c r="B25" t="str">
        <f>'RAW FS'!B21</f>
        <v>Computers</v>
      </c>
      <c r="G25" s="91">
        <f>'RAW FS'!I21</f>
        <v>0</v>
      </c>
      <c r="H25" s="91">
        <f>'RAW FS'!J21</f>
        <v>0</v>
      </c>
      <c r="I25" s="91">
        <f>'RAW FS'!K21</f>
        <v>0</v>
      </c>
      <c r="J25" s="91">
        <f>'RAW FS'!L21</f>
        <v>0</v>
      </c>
      <c r="K25" s="91">
        <f>'RAW FS'!M21</f>
        <v>0</v>
      </c>
    </row>
    <row r="26" spans="2:11" x14ac:dyDescent="0.35">
      <c r="B26" t="str">
        <f>'RAW FS'!B22</f>
        <v>Furniture n fittings</v>
      </c>
      <c r="G26" s="91">
        <f>'RAW FS'!I22</f>
        <v>88</v>
      </c>
      <c r="H26" s="91">
        <f>'RAW FS'!J22</f>
        <v>94</v>
      </c>
      <c r="I26" s="91">
        <f>'RAW FS'!K22</f>
        <v>99</v>
      </c>
      <c r="J26" s="91">
        <f>'RAW FS'!L22</f>
        <v>113</v>
      </c>
      <c r="K26" s="91">
        <f>'RAW FS'!M22</f>
        <v>146</v>
      </c>
    </row>
    <row r="27" spans="2:11" x14ac:dyDescent="0.35">
      <c r="B27" t="str">
        <f>'RAW FS'!B23</f>
        <v>Vehicles</v>
      </c>
      <c r="G27" s="91">
        <f>'RAW FS'!I23</f>
        <v>47</v>
      </c>
      <c r="H27" s="91">
        <f>'RAW FS'!J23</f>
        <v>43</v>
      </c>
      <c r="I27" s="91">
        <f>'RAW FS'!K23</f>
        <v>38</v>
      </c>
      <c r="J27" s="91">
        <f>'RAW FS'!L23</f>
        <v>32</v>
      </c>
      <c r="K27" s="91">
        <f>'RAW FS'!M23</f>
        <v>30</v>
      </c>
    </row>
    <row r="28" spans="2:11" x14ac:dyDescent="0.35">
      <c r="B28" t="str">
        <f>'RAW FS'!B24</f>
        <v>Intangible Assets</v>
      </c>
      <c r="G28" s="91">
        <f>'RAW FS'!I24</f>
        <v>512</v>
      </c>
      <c r="H28" s="91">
        <f>'RAW FS'!J24</f>
        <v>505</v>
      </c>
      <c r="I28" s="91">
        <f>'RAW FS'!K24</f>
        <v>476</v>
      </c>
      <c r="J28" s="91">
        <f>'RAW FS'!L24</f>
        <v>345</v>
      </c>
      <c r="K28" s="91">
        <f>'RAW FS'!M24</f>
        <v>330</v>
      </c>
    </row>
    <row r="29" spans="2:11" x14ac:dyDescent="0.35">
      <c r="B29" t="str">
        <f>'RAW FS'!B25</f>
        <v>Other fixed assets</v>
      </c>
      <c r="G29" s="91">
        <f>'RAW FS'!I25</f>
        <v>261</v>
      </c>
      <c r="H29" s="91">
        <f>'RAW FS'!J25</f>
        <v>293</v>
      </c>
      <c r="I29" s="91">
        <f>'RAW FS'!K25</f>
        <v>302</v>
      </c>
      <c r="J29" s="91">
        <f>'RAW FS'!L25</f>
        <v>294</v>
      </c>
      <c r="K29" s="91">
        <f>'RAW FS'!M25</f>
        <v>289</v>
      </c>
    </row>
    <row r="30" spans="2:11" x14ac:dyDescent="0.35">
      <c r="B30" s="86" t="s">
        <v>202</v>
      </c>
      <c r="C30" s="86"/>
      <c r="D30" s="86"/>
      <c r="E30" s="86"/>
      <c r="F30" s="86"/>
      <c r="G30" s="92">
        <f>SUM(G21:G29)</f>
        <v>8142</v>
      </c>
      <c r="H30" s="92">
        <f t="shared" ref="H30:K30" si="2">SUM(H21:H29)</f>
        <v>8281</v>
      </c>
      <c r="I30" s="92">
        <f t="shared" si="2"/>
        <v>8391</v>
      </c>
      <c r="J30" s="92">
        <f t="shared" si="2"/>
        <v>8537</v>
      </c>
      <c r="K30" s="92">
        <f t="shared" si="2"/>
        <v>9306</v>
      </c>
    </row>
    <row r="31" spans="2:11" x14ac:dyDescent="0.35">
      <c r="B31" t="str">
        <f>'RAW FS'!B27</f>
        <v>Accumulated Depreciation</v>
      </c>
      <c r="G31" s="91">
        <f>-'RAW FS'!I27</f>
        <v>-1592</v>
      </c>
      <c r="H31" s="91">
        <f>-'RAW FS'!J27</f>
        <v>-2010</v>
      </c>
      <c r="I31" s="91">
        <f>-'RAW FS'!K27</f>
        <v>-2533</v>
      </c>
      <c r="J31" s="91">
        <f>-'RAW FS'!L27</f>
        <v>-3019</v>
      </c>
      <c r="K31" s="91">
        <f>-'RAW FS'!M27</f>
        <v>-3536</v>
      </c>
    </row>
    <row r="32" spans="2:11" ht="15" thickBot="1" x14ac:dyDescent="0.4">
      <c r="B32" s="88" t="s">
        <v>215</v>
      </c>
      <c r="C32" s="88"/>
      <c r="D32" s="88"/>
      <c r="E32" s="88"/>
      <c r="F32" s="88"/>
      <c r="G32" s="94">
        <f>G30+G31</f>
        <v>6550</v>
      </c>
      <c r="H32" s="94">
        <f t="shared" ref="H32:K32" si="3">H30+H31</f>
        <v>6271</v>
      </c>
      <c r="I32" s="94">
        <f t="shared" si="3"/>
        <v>5858</v>
      </c>
      <c r="J32" s="94">
        <f t="shared" si="3"/>
        <v>5518</v>
      </c>
      <c r="K32" s="94">
        <f t="shared" si="3"/>
        <v>5770</v>
      </c>
    </row>
    <row r="33" spans="2:11" x14ac:dyDescent="0.35">
      <c r="G33" s="91"/>
      <c r="H33" s="91"/>
      <c r="I33" s="91"/>
      <c r="J33" s="91"/>
      <c r="K33" s="91"/>
    </row>
    <row r="34" spans="2:11" s="2" customFormat="1" x14ac:dyDescent="0.35">
      <c r="B34" s="2" t="s">
        <v>216</v>
      </c>
      <c r="G34" s="95">
        <f>G32+G17</f>
        <v>7982</v>
      </c>
      <c r="H34" s="95">
        <f t="shared" ref="H34:K34" si="4">H32+H17</f>
        <v>8709</v>
      </c>
      <c r="I34" s="95">
        <f t="shared" si="4"/>
        <v>8792</v>
      </c>
      <c r="J34" s="95">
        <f t="shared" si="4"/>
        <v>11247</v>
      </c>
      <c r="K34" s="95">
        <f t="shared" si="4"/>
        <v>12254</v>
      </c>
    </row>
    <row r="35" spans="2:11" s="2" customFormat="1" x14ac:dyDescent="0.35">
      <c r="B35" s="2" t="s">
        <v>217</v>
      </c>
      <c r="G35" s="95">
        <f>'Historical Financials'!H18-'Historical Financials'!H24</f>
        <v>3142.8000000000015</v>
      </c>
      <c r="H35" s="95">
        <f>'Historical Financials'!I18-'Historical Financials'!I24</f>
        <v>3376.3199999999979</v>
      </c>
      <c r="I35" s="95">
        <f>'Historical Financials'!J18-'Historical Financials'!J24</f>
        <v>4064.3300000000031</v>
      </c>
      <c r="J35" s="95">
        <f>'Historical Financials'!K18-'Historical Financials'!K24</f>
        <v>3987.2499999999986</v>
      </c>
      <c r="K35" s="95">
        <f>'Historical Financials'!L18-'Historical Financials'!L24</f>
        <v>5401.8199999999961</v>
      </c>
    </row>
    <row r="36" spans="2:11" x14ac:dyDescent="0.35">
      <c r="G36" s="91"/>
      <c r="H36" s="91"/>
      <c r="I36" s="91"/>
      <c r="J36" s="91"/>
      <c r="K36" s="91"/>
    </row>
    <row r="37" spans="2:11" ht="15" thickBot="1" x14ac:dyDescent="0.4">
      <c r="B37" s="88" t="s">
        <v>218</v>
      </c>
      <c r="C37" s="97"/>
      <c r="D37" s="97"/>
      <c r="E37" s="97"/>
      <c r="F37" s="97"/>
      <c r="G37" s="98">
        <f t="shared" ref="G37:K37" si="5">G35/G34</f>
        <v>0.39373590578802325</v>
      </c>
      <c r="H37" s="98">
        <f t="shared" si="5"/>
        <v>0.38768170857733353</v>
      </c>
      <c r="I37" s="98">
        <f t="shared" si="5"/>
        <v>0.46227593266606043</v>
      </c>
      <c r="J37" s="98">
        <f t="shared" si="5"/>
        <v>0.35451676002489541</v>
      </c>
      <c r="K37" s="98">
        <f t="shared" si="5"/>
        <v>0.44082095642239238</v>
      </c>
    </row>
    <row r="38" spans="2:11" x14ac:dyDescent="0.35">
      <c r="G38" s="91"/>
      <c r="H38" s="91"/>
      <c r="I38" s="91"/>
      <c r="J38" s="91"/>
      <c r="K38" s="91"/>
    </row>
    <row r="39" spans="2:11" x14ac:dyDescent="0.35">
      <c r="G39" s="91"/>
      <c r="H39" s="91"/>
      <c r="I39" s="91"/>
      <c r="J39" s="91"/>
      <c r="K39" s="91"/>
    </row>
    <row r="40" spans="2:11" x14ac:dyDescent="0.35">
      <c r="F40" s="91"/>
      <c r="G40" s="91"/>
      <c r="H40" s="91"/>
      <c r="I40" s="91"/>
      <c r="J40" s="91"/>
      <c r="K40"/>
    </row>
    <row r="41" spans="2:11" x14ac:dyDescent="0.35">
      <c r="B41" s="188" t="s">
        <v>219</v>
      </c>
      <c r="C41" s="188"/>
      <c r="D41" s="85"/>
      <c r="E41" s="85"/>
      <c r="F41" s="85"/>
      <c r="G41" s="89">
        <f>G2</f>
        <v>43525</v>
      </c>
      <c r="H41" s="89">
        <f t="shared" ref="H41:K41" si="6">H2</f>
        <v>43891</v>
      </c>
      <c r="I41" s="89">
        <f t="shared" si="6"/>
        <v>44256</v>
      </c>
      <c r="J41" s="89">
        <f t="shared" si="6"/>
        <v>44621</v>
      </c>
      <c r="K41" s="89">
        <f t="shared" si="6"/>
        <v>44986</v>
      </c>
    </row>
    <row r="42" spans="2:11" x14ac:dyDescent="0.35">
      <c r="G42" s="91"/>
      <c r="H42" s="91"/>
      <c r="I42" s="91"/>
      <c r="J42" s="91"/>
      <c r="K42" s="91"/>
    </row>
    <row r="43" spans="2:11" x14ac:dyDescent="0.35">
      <c r="B43" t="s">
        <v>225</v>
      </c>
      <c r="G43" s="91">
        <f>-SUM('RAW FS'!I52:I53)</f>
        <v>1134</v>
      </c>
      <c r="H43" s="91">
        <f>-SUM('RAW FS'!J52:J53)</f>
        <v>367</v>
      </c>
      <c r="I43" s="91">
        <f>-SUM('RAW FS'!K52:K53)</f>
        <v>254</v>
      </c>
      <c r="J43" s="91">
        <f>-SUM('RAW FS'!L52:L53)</f>
        <v>511</v>
      </c>
      <c r="K43" s="91">
        <f>-SUM('RAW FS'!M52:M53)</f>
        <v>1420</v>
      </c>
    </row>
    <row r="44" spans="2:11" x14ac:dyDescent="0.35">
      <c r="B44" t="s">
        <v>226</v>
      </c>
      <c r="G44" s="91"/>
      <c r="H44" s="91">
        <f>H17-G17</f>
        <v>1006</v>
      </c>
      <c r="I44" s="91">
        <f t="shared" ref="I44:K44" si="7">I17-H17</f>
        <v>496</v>
      </c>
      <c r="J44" s="91">
        <f t="shared" si="7"/>
        <v>2795</v>
      </c>
      <c r="K44" s="91">
        <f t="shared" si="7"/>
        <v>755</v>
      </c>
    </row>
    <row r="45" spans="2:11" x14ac:dyDescent="0.35">
      <c r="B45" t="s">
        <v>217</v>
      </c>
      <c r="G45" s="91">
        <f>G35</f>
        <v>3142.8000000000015</v>
      </c>
      <c r="H45" s="91">
        <f t="shared" ref="H45:K45" si="8">H35</f>
        <v>3376.3199999999979</v>
      </c>
      <c r="I45" s="91">
        <f t="shared" si="8"/>
        <v>4064.3300000000031</v>
      </c>
      <c r="J45" s="91">
        <f t="shared" si="8"/>
        <v>3987.2499999999986</v>
      </c>
      <c r="K45" s="91">
        <f t="shared" si="8"/>
        <v>5401.8199999999961</v>
      </c>
    </row>
    <row r="46" spans="2:11" x14ac:dyDescent="0.35">
      <c r="B46" t="s">
        <v>227</v>
      </c>
      <c r="G46" s="63">
        <v>0.25</v>
      </c>
      <c r="H46" s="63">
        <v>0.25</v>
      </c>
      <c r="I46" s="63">
        <v>0.25</v>
      </c>
      <c r="J46" s="63">
        <v>0.25</v>
      </c>
      <c r="K46" s="63">
        <v>0.25</v>
      </c>
    </row>
    <row r="47" spans="2:11" x14ac:dyDescent="0.35">
      <c r="B47" t="s">
        <v>228</v>
      </c>
      <c r="G47" s="91">
        <f>G45*(1-G46)</f>
        <v>2357.1000000000013</v>
      </c>
      <c r="H47" s="91">
        <f t="shared" ref="H47:K47" si="9">H45*(1-H46)</f>
        <v>2532.2399999999984</v>
      </c>
      <c r="I47" s="91">
        <f t="shared" si="9"/>
        <v>3048.2475000000022</v>
      </c>
      <c r="J47" s="91">
        <f t="shared" si="9"/>
        <v>2990.4374999999991</v>
      </c>
      <c r="K47" s="91">
        <f t="shared" si="9"/>
        <v>4051.3649999999971</v>
      </c>
    </row>
    <row r="48" spans="2:11" x14ac:dyDescent="0.35">
      <c r="G48" s="91"/>
      <c r="H48" s="91"/>
      <c r="I48" s="91"/>
      <c r="J48" s="91"/>
      <c r="K48" s="91"/>
    </row>
    <row r="49" spans="2:11" x14ac:dyDescent="0.35">
      <c r="B49" t="s">
        <v>229</v>
      </c>
      <c r="G49" s="91"/>
      <c r="H49" s="91">
        <f>SUM(H43:H44)</f>
        <v>1373</v>
      </c>
      <c r="I49" s="91">
        <f t="shared" ref="I49:K49" si="10">SUM(I43:I44)</f>
        <v>750</v>
      </c>
      <c r="J49" s="91">
        <f t="shared" si="10"/>
        <v>3306</v>
      </c>
      <c r="K49" s="91">
        <f t="shared" si="10"/>
        <v>2175</v>
      </c>
    </row>
    <row r="50" spans="2:11" s="2" customFormat="1" x14ac:dyDescent="0.35">
      <c r="B50" s="2" t="s">
        <v>230</v>
      </c>
      <c r="G50" s="95"/>
      <c r="H50" s="96">
        <f>H49/H47</f>
        <v>0.54220768963447419</v>
      </c>
      <c r="I50" s="96">
        <f t="shared" ref="I50:K50" si="11">I49/I47</f>
        <v>0.24604301323957437</v>
      </c>
      <c r="J50" s="96">
        <f t="shared" si="11"/>
        <v>1.1055238572951285</v>
      </c>
      <c r="K50" s="96">
        <f t="shared" si="11"/>
        <v>0.53685609664890765</v>
      </c>
    </row>
    <row r="51" spans="2:11" s="2" customFormat="1" x14ac:dyDescent="0.35">
      <c r="G51" s="95"/>
      <c r="H51" s="96"/>
      <c r="I51" s="96"/>
      <c r="J51" s="96"/>
      <c r="K51" s="96"/>
    </row>
    <row r="52" spans="2:11" x14ac:dyDescent="0.35">
      <c r="G52" s="91"/>
      <c r="H52" s="91"/>
      <c r="I52" s="91"/>
      <c r="J52" s="125" t="s">
        <v>231</v>
      </c>
      <c r="K52" s="68">
        <f>AVERAGE(H50:K50)</f>
        <v>0.60765766420452116</v>
      </c>
    </row>
    <row r="53" spans="2:11" x14ac:dyDescent="0.35">
      <c r="G53" s="91"/>
      <c r="H53" s="91"/>
      <c r="I53" s="91"/>
      <c r="J53" s="125" t="s">
        <v>232</v>
      </c>
      <c r="K53" s="68">
        <f>MEDIAN(H50:K50)</f>
        <v>0.53953189314169092</v>
      </c>
    </row>
    <row r="54" spans="2:11" x14ac:dyDescent="0.35">
      <c r="G54" s="91"/>
      <c r="H54" s="91"/>
      <c r="I54" s="91"/>
      <c r="J54" s="91"/>
      <c r="K54" s="91"/>
    </row>
    <row r="55" spans="2:11" x14ac:dyDescent="0.35">
      <c r="G55" s="91"/>
      <c r="H55" s="91"/>
      <c r="I55" s="91"/>
      <c r="J55" s="91"/>
      <c r="K55" s="91"/>
    </row>
    <row r="56" spans="2:11" x14ac:dyDescent="0.35">
      <c r="B56" s="188" t="s">
        <v>233</v>
      </c>
      <c r="C56" s="188"/>
      <c r="D56" s="85"/>
      <c r="E56" s="85"/>
      <c r="F56" s="85"/>
      <c r="G56" s="89">
        <f>G41</f>
        <v>43525</v>
      </c>
      <c r="H56" s="89">
        <f t="shared" ref="H56:K56" si="12">H41</f>
        <v>43891</v>
      </c>
      <c r="I56" s="89">
        <f t="shared" si="12"/>
        <v>44256</v>
      </c>
      <c r="J56" s="89">
        <f t="shared" si="12"/>
        <v>44621</v>
      </c>
      <c r="K56" s="89">
        <f t="shared" si="12"/>
        <v>44986</v>
      </c>
    </row>
    <row r="57" spans="2:11" x14ac:dyDescent="0.35">
      <c r="G57" s="91"/>
      <c r="H57" s="91"/>
      <c r="I57" s="91"/>
      <c r="J57" s="91"/>
      <c r="K57" s="91"/>
    </row>
    <row r="58" spans="2:11" x14ac:dyDescent="0.35">
      <c r="B58" t="s">
        <v>230</v>
      </c>
      <c r="G58" s="91"/>
      <c r="H58" s="54">
        <f>H50</f>
        <v>0.54220768963447419</v>
      </c>
      <c r="I58" s="54">
        <f t="shared" ref="I58:K58" si="13">I50</f>
        <v>0.24604301323957437</v>
      </c>
      <c r="J58" s="54">
        <f t="shared" si="13"/>
        <v>1.1055238572951285</v>
      </c>
      <c r="K58" s="54">
        <f t="shared" si="13"/>
        <v>0.53685609664890765</v>
      </c>
    </row>
    <row r="59" spans="2:11" x14ac:dyDescent="0.35">
      <c r="B59" t="s">
        <v>218</v>
      </c>
      <c r="G59" s="91"/>
      <c r="H59" s="54">
        <f>H37</f>
        <v>0.38768170857733353</v>
      </c>
      <c r="I59" s="54">
        <f t="shared" ref="I59:K59" si="14">I37</f>
        <v>0.46227593266606043</v>
      </c>
      <c r="J59" s="54">
        <f t="shared" si="14"/>
        <v>0.35451676002489541</v>
      </c>
      <c r="K59" s="54">
        <f t="shared" si="14"/>
        <v>0.44082095642239238</v>
      </c>
    </row>
    <row r="60" spans="2:11" s="2" customFormat="1" ht="15" thickBot="1" x14ac:dyDescent="0.4">
      <c r="B60" s="88" t="s">
        <v>234</v>
      </c>
      <c r="C60" s="88"/>
      <c r="D60" s="88"/>
      <c r="E60" s="88"/>
      <c r="F60" s="88"/>
      <c r="G60" s="88"/>
      <c r="H60" s="101">
        <f>H58*H59</f>
        <v>0.21020400352126153</v>
      </c>
      <c r="I60" s="101">
        <f t="shared" ref="I60:K60" si="15">I58*I59</f>
        <v>0.11373976342129209</v>
      </c>
      <c r="J60" s="101">
        <f t="shared" si="15"/>
        <v>0.39192673601849376</v>
      </c>
      <c r="K60" s="101">
        <f t="shared" si="15"/>
        <v>0.23665741798596379</v>
      </c>
    </row>
    <row r="62" spans="2:11" x14ac:dyDescent="0.35">
      <c r="J62" s="125" t="s">
        <v>231</v>
      </c>
      <c r="K62" s="68">
        <f>AVERAGE(H60:K60)</f>
        <v>0.2381319802367528</v>
      </c>
    </row>
    <row r="63" spans="2:11" x14ac:dyDescent="0.35">
      <c r="J63" s="125" t="s">
        <v>232</v>
      </c>
      <c r="K63" s="68">
        <f>MEDIAN(H60:K60)</f>
        <v>0.22343071075361265</v>
      </c>
    </row>
  </sheetData>
  <mergeCells count="3">
    <mergeCell ref="B2:C2"/>
    <mergeCell ref="B41:C41"/>
    <mergeCell ref="B56:C56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7B6-C03D-499F-8709-7A6E80AA6710}">
  <dimension ref="B2:L38"/>
  <sheetViews>
    <sheetView showGridLines="0" zoomScaleNormal="100" workbookViewId="0">
      <selection activeCell="N24" sqref="N24"/>
    </sheetView>
  </sheetViews>
  <sheetFormatPr defaultRowHeight="14.5" x14ac:dyDescent="0.35"/>
  <cols>
    <col min="1" max="1" width="1.81640625" customWidth="1"/>
    <col min="2" max="2" width="22.36328125" bestFit="1" customWidth="1"/>
    <col min="7" max="12" width="11.6328125" customWidth="1"/>
  </cols>
  <sheetData>
    <row r="2" spans="2:12" x14ac:dyDescent="0.35">
      <c r="B2" s="85" t="str">
        <f>"Calculation of PV of FCFF for "&amp;'Data Sheet'!B1</f>
        <v>Calculation of PV of FCFF for ASIAN PAINTS LTD</v>
      </c>
      <c r="C2" s="85"/>
      <c r="D2" s="85"/>
      <c r="E2" s="85"/>
      <c r="F2" s="85"/>
      <c r="G2" s="131">
        <f>'Intrisic Growth'!K2</f>
        <v>44986</v>
      </c>
      <c r="H2" s="132">
        <f>G2+366</f>
        <v>45352</v>
      </c>
      <c r="I2" s="132">
        <f t="shared" ref="I2:L2" si="0">H2+366</f>
        <v>45718</v>
      </c>
      <c r="J2" s="132">
        <f t="shared" si="0"/>
        <v>46084</v>
      </c>
      <c r="K2" s="132">
        <f t="shared" si="0"/>
        <v>46450</v>
      </c>
      <c r="L2" s="132">
        <f t="shared" si="0"/>
        <v>46816</v>
      </c>
    </row>
    <row r="4" spans="2:12" x14ac:dyDescent="0.35">
      <c r="B4" t="s">
        <v>217</v>
      </c>
      <c r="G4" s="141">
        <f>'Intrisic Growth'!K35</f>
        <v>5401.8199999999961</v>
      </c>
      <c r="H4" s="134">
        <f>G4*(1+$C$15)</f>
        <v>6597.7829479999955</v>
      </c>
      <c r="I4" s="134">
        <f>H4*(1+$C$15)</f>
        <v>8058.5320926871946</v>
      </c>
      <c r="J4" s="134">
        <f>I4*(1+$C$15)</f>
        <v>9842.6910980081393</v>
      </c>
      <c r="K4" s="134">
        <f>J4*(1+$C$15)</f>
        <v>12021.862907107141</v>
      </c>
      <c r="L4" s="134">
        <f>K4*(1+$C$15)</f>
        <v>14683.503354740662</v>
      </c>
    </row>
    <row r="5" spans="2:12" x14ac:dyDescent="0.35">
      <c r="B5" t="s">
        <v>161</v>
      </c>
      <c r="G5" s="142">
        <v>0.25</v>
      </c>
      <c r="H5" s="140">
        <f>G5</f>
        <v>0.25</v>
      </c>
      <c r="I5" s="140">
        <f t="shared" ref="I5:L5" si="1">H5</f>
        <v>0.25</v>
      </c>
      <c r="J5" s="140">
        <f t="shared" si="1"/>
        <v>0.25</v>
      </c>
      <c r="K5" s="140">
        <f t="shared" si="1"/>
        <v>0.25</v>
      </c>
      <c r="L5" s="140">
        <f t="shared" si="1"/>
        <v>0.25</v>
      </c>
    </row>
    <row r="6" spans="2:12" x14ac:dyDescent="0.35">
      <c r="B6" s="2" t="s">
        <v>297</v>
      </c>
      <c r="C6" s="2"/>
      <c r="D6" s="2"/>
      <c r="E6" s="2"/>
      <c r="F6" s="2"/>
      <c r="G6" s="143">
        <f>G4*(1-G5)</f>
        <v>4051.3649999999971</v>
      </c>
      <c r="H6" s="135">
        <f t="shared" ref="H6:L6" si="2">H4*(1-H5)</f>
        <v>4948.3372109999964</v>
      </c>
      <c r="I6" s="135">
        <f t="shared" si="2"/>
        <v>6043.8990695153961</v>
      </c>
      <c r="J6" s="135">
        <f t="shared" si="2"/>
        <v>7382.0183235061049</v>
      </c>
      <c r="K6" s="135">
        <f t="shared" si="2"/>
        <v>9016.3971803303557</v>
      </c>
      <c r="L6" s="135">
        <f t="shared" si="2"/>
        <v>11012.627516055496</v>
      </c>
    </row>
    <row r="7" spans="2:12" x14ac:dyDescent="0.35">
      <c r="G7" s="144"/>
    </row>
    <row r="8" spans="2:12" x14ac:dyDescent="0.35">
      <c r="B8" t="s">
        <v>298</v>
      </c>
      <c r="G8" s="145">
        <f>'Intrisic Growth'!K50</f>
        <v>0.53685609664890765</v>
      </c>
      <c r="H8" s="41">
        <f>G8+($L$8-$G$8)/5</f>
        <v>0.53949609664890763</v>
      </c>
      <c r="I8" s="41">
        <f t="shared" ref="I8:K8" si="3">H8+($L$8-$G$8)/5</f>
        <v>0.54213609664890761</v>
      </c>
      <c r="J8" s="41">
        <f t="shared" si="3"/>
        <v>0.54477609664890758</v>
      </c>
      <c r="K8" s="41">
        <f t="shared" si="3"/>
        <v>0.54741609664890756</v>
      </c>
      <c r="L8" s="41">
        <f>G8+0.0132</f>
        <v>0.55005609664890764</v>
      </c>
    </row>
    <row r="9" spans="2:12" x14ac:dyDescent="0.35">
      <c r="B9" s="2" t="s">
        <v>299</v>
      </c>
      <c r="C9" s="2"/>
      <c r="D9" s="2"/>
      <c r="E9" s="2"/>
      <c r="F9" s="2"/>
      <c r="G9" s="143">
        <f>G6*(1-G8)</f>
        <v>1876.3649999999968</v>
      </c>
      <c r="H9" s="135">
        <f t="shared" ref="H9:L9" si="4">H6*(1-H8)</f>
        <v>2278.7286007629564</v>
      </c>
      <c r="I9" s="135">
        <f t="shared" si="4"/>
        <v>2767.2832194283546</v>
      </c>
      <c r="J9" s="135">
        <f t="shared" si="4"/>
        <v>3360.4711958357366</v>
      </c>
      <c r="K9" s="135">
        <f t="shared" si="4"/>
        <v>4080.6762300376963</v>
      </c>
      <c r="L9" s="135">
        <f t="shared" si="4"/>
        <v>4955.0646107256543</v>
      </c>
    </row>
    <row r="10" spans="2:12" x14ac:dyDescent="0.35">
      <c r="G10" s="144"/>
    </row>
    <row r="11" spans="2:12" x14ac:dyDescent="0.35">
      <c r="B11" t="s">
        <v>300</v>
      </c>
      <c r="G11" s="144"/>
      <c r="H11" s="40">
        <v>0.5</v>
      </c>
      <c r="I11">
        <f>H11+1</f>
        <v>1.5</v>
      </c>
      <c r="J11">
        <f t="shared" ref="J11:L11" si="5">I11+1</f>
        <v>2.5</v>
      </c>
      <c r="K11">
        <f t="shared" si="5"/>
        <v>3.5</v>
      </c>
      <c r="L11">
        <f t="shared" si="5"/>
        <v>4.5</v>
      </c>
    </row>
    <row r="12" spans="2:12" x14ac:dyDescent="0.35">
      <c r="B12" t="s">
        <v>301</v>
      </c>
      <c r="G12" s="144"/>
      <c r="H12" s="133">
        <f>1/(1+$C$17)^H11</f>
        <v>0.93524328875878182</v>
      </c>
      <c r="I12" s="133">
        <f t="shared" ref="I12:L12" si="6">1/(1+$C$17)^I11</f>
        <v>0.81803860838616171</v>
      </c>
      <c r="J12" s="133">
        <f t="shared" si="6"/>
        <v>0.71552201748326583</v>
      </c>
      <c r="K12" s="133">
        <f t="shared" si="6"/>
        <v>0.62585280481241357</v>
      </c>
      <c r="L12" s="133">
        <f t="shared" si="6"/>
        <v>0.54742093705135453</v>
      </c>
    </row>
    <row r="13" spans="2:12" ht="15" thickBot="1" x14ac:dyDescent="0.4">
      <c r="B13" s="88" t="s">
        <v>302</v>
      </c>
      <c r="C13" s="88"/>
      <c r="D13" s="88"/>
      <c r="E13" s="88"/>
      <c r="F13" s="88"/>
      <c r="G13" s="146"/>
      <c r="H13" s="139">
        <f>H9*H12</f>
        <v>2131.1656307662442</v>
      </c>
      <c r="I13" s="139">
        <f>I9*I12</f>
        <v>2263.7445138315488</v>
      </c>
      <c r="J13" s="139">
        <f>J9*J12</f>
        <v>2404.4911297387889</v>
      </c>
      <c r="K13" s="139">
        <f>K9*K12</f>
        <v>2553.902664100438</v>
      </c>
      <c r="L13" s="139">
        <f>L9*L12</f>
        <v>2712.5061123534429</v>
      </c>
    </row>
    <row r="15" spans="2:12" x14ac:dyDescent="0.35">
      <c r="B15" s="136" t="s">
        <v>303</v>
      </c>
      <c r="C15" s="137">
        <v>0.22140000000000001</v>
      </c>
      <c r="E15" s="42" t="s">
        <v>307</v>
      </c>
      <c r="F15" s="42"/>
      <c r="G15" s="42"/>
      <c r="H15" s="42"/>
      <c r="I15" s="42" t="s">
        <v>306</v>
      </c>
    </row>
    <row r="16" spans="2:12" x14ac:dyDescent="0.35">
      <c r="B16" s="136" t="s">
        <v>304</v>
      </c>
      <c r="C16" s="137">
        <v>5.3800000000000001E-2</v>
      </c>
      <c r="E16" s="42"/>
      <c r="F16" s="42"/>
      <c r="G16" s="42"/>
      <c r="H16" s="42"/>
      <c r="I16" s="42"/>
    </row>
    <row r="17" spans="2:12" x14ac:dyDescent="0.35">
      <c r="B17" s="136" t="s">
        <v>167</v>
      </c>
      <c r="C17" s="138">
        <f>WACC!L38</f>
        <v>0.14327524296664085</v>
      </c>
      <c r="E17" s="2" t="s">
        <v>346</v>
      </c>
    </row>
    <row r="18" spans="2:12" ht="14.5" customHeight="1" x14ac:dyDescent="0.35">
      <c r="E18" s="196" t="s">
        <v>167</v>
      </c>
      <c r="F18" s="196"/>
      <c r="G18" s="196"/>
      <c r="H18" s="196"/>
      <c r="I18" s="196"/>
      <c r="J18" s="196"/>
      <c r="K18" s="196"/>
      <c r="L18" s="196"/>
    </row>
    <row r="19" spans="2:12" x14ac:dyDescent="0.35">
      <c r="B19" s="188" t="s">
        <v>305</v>
      </c>
      <c r="C19" s="188"/>
      <c r="E19" s="197" t="s">
        <v>304</v>
      </c>
      <c r="F19" s="192">
        <f>C34</f>
        <v>415.93963785240055</v>
      </c>
      <c r="G19" s="193">
        <f>H19-0.02</f>
        <v>0.10327524296664084</v>
      </c>
      <c r="H19" s="193">
        <f>I19-0.02</f>
        <v>0.12327524296664084</v>
      </c>
      <c r="I19" s="193">
        <f>C17</f>
        <v>0.14327524296664085</v>
      </c>
      <c r="J19" s="193">
        <f>I19+0.02</f>
        <v>0.16327524296664084</v>
      </c>
      <c r="K19" s="193">
        <f t="shared" ref="K19:L19" si="7">J19+0.02</f>
        <v>0.18327524296664083</v>
      </c>
      <c r="L19" s="193">
        <f t="shared" si="7"/>
        <v>0.20327524296664082</v>
      </c>
    </row>
    <row r="20" spans="2:12" x14ac:dyDescent="0.35">
      <c r="B20" t="s">
        <v>308</v>
      </c>
      <c r="C20" s="134">
        <f>L9*(1+C16)</f>
        <v>5221.6470867826947</v>
      </c>
      <c r="E20" s="197"/>
      <c r="F20" s="194">
        <f t="shared" ref="F20:F21" si="8">F21-0.01</f>
        <v>2.3799999999999995E-2</v>
      </c>
      <c r="G20" s="199">
        <f t="dataTable" ref="G20:L26" dt2D="1" dtr="1" r1="C21" r2="C22"/>
        <v>523.60387699901833</v>
      </c>
      <c r="H20" s="199">
        <v>413.363002970514</v>
      </c>
      <c r="I20" s="199">
        <v>342.76083151993441</v>
      </c>
      <c r="J20" s="199">
        <v>294.45535099473335</v>
      </c>
      <c r="K20" s="199">
        <v>259.83916579969645</v>
      </c>
      <c r="L20" s="199">
        <v>234.16800473058015</v>
      </c>
    </row>
    <row r="21" spans="2:12" x14ac:dyDescent="0.35">
      <c r="B21" t="s">
        <v>167</v>
      </c>
      <c r="C21" s="41">
        <f>C17</f>
        <v>0.14327524296664085</v>
      </c>
      <c r="E21" s="197"/>
      <c r="F21" s="194">
        <f t="shared" si="8"/>
        <v>3.3799999999999997E-2</v>
      </c>
      <c r="G21" s="199">
        <v>581.04871792231722</v>
      </c>
      <c r="H21" s="199">
        <v>445.64663187463594</v>
      </c>
      <c r="I21" s="199">
        <v>362.69742874859242</v>
      </c>
      <c r="J21" s="199">
        <v>307.5814821480169</v>
      </c>
      <c r="K21" s="199">
        <v>268.89315455042919</v>
      </c>
      <c r="L21" s="199">
        <v>240.63877614500859</v>
      </c>
    </row>
    <row r="22" spans="2:12" x14ac:dyDescent="0.35">
      <c r="B22" t="s">
        <v>304</v>
      </c>
      <c r="C22" s="41">
        <f>C16</f>
        <v>5.3800000000000001E-2</v>
      </c>
      <c r="E22" s="197"/>
      <c r="F22" s="194">
        <f>F23-0.01</f>
        <v>4.3799999999999999E-2</v>
      </c>
      <c r="G22" s="199">
        <v>657.81078667283816</v>
      </c>
      <c r="H22" s="199">
        <v>486.05445837766877</v>
      </c>
      <c r="I22" s="199">
        <v>386.64237954022553</v>
      </c>
      <c r="J22" s="199">
        <v>322.90491055340959</v>
      </c>
      <c r="K22" s="199">
        <v>279.24543661231229</v>
      </c>
      <c r="L22" s="199">
        <v>247.92105551440926</v>
      </c>
    </row>
    <row r="23" spans="2:12" ht="15" thickBot="1" x14ac:dyDescent="0.4">
      <c r="B23" s="88" t="s">
        <v>309</v>
      </c>
      <c r="C23" s="139">
        <f>C20/(C21-C22)</f>
        <v>58358.568400082324</v>
      </c>
      <c r="D23" s="2"/>
      <c r="E23" s="197"/>
      <c r="F23" s="194">
        <f>C16</f>
        <v>5.3800000000000001E-2</v>
      </c>
      <c r="G23" s="199">
        <v>765.60335235382547</v>
      </c>
      <c r="H23" s="199">
        <v>538.09458000558084</v>
      </c>
      <c r="I23" s="200">
        <v>415.93963785240055</v>
      </c>
      <c r="J23" s="199">
        <v>341.02777159583445</v>
      </c>
      <c r="K23" s="199">
        <v>291.19683242361697</v>
      </c>
      <c r="L23" s="199">
        <v>256.17771421578078</v>
      </c>
    </row>
    <row r="24" spans="2:12" x14ac:dyDescent="0.35">
      <c r="E24" s="197"/>
      <c r="F24" s="194">
        <f>F23+0.01</f>
        <v>6.3799999999999996E-2</v>
      </c>
      <c r="G24" s="201">
        <v>928.00866140517189</v>
      </c>
      <c r="H24" s="201">
        <v>607.63446087183706</v>
      </c>
      <c r="I24" s="201">
        <v>452.60957153329952</v>
      </c>
      <c r="J24" s="201">
        <v>362.79432538068426</v>
      </c>
      <c r="K24" s="201">
        <v>305.14887632142802</v>
      </c>
      <c r="L24" s="201">
        <v>265.61833338579925</v>
      </c>
    </row>
    <row r="25" spans="2:12" x14ac:dyDescent="0.35">
      <c r="B25" s="188" t="s">
        <v>310</v>
      </c>
      <c r="C25" s="188"/>
      <c r="E25" s="197"/>
      <c r="F25" s="194">
        <f t="shared" ref="F25:F26" si="9">F24+0.01</f>
        <v>7.3799999999999991E-2</v>
      </c>
      <c r="G25" s="199">
        <v>1200.6117450669949</v>
      </c>
      <c r="H25" s="199">
        <v>705.28532278497551</v>
      </c>
      <c r="I25" s="199">
        <v>499.83576442685251</v>
      </c>
      <c r="J25" s="199">
        <v>389.42625936751131</v>
      </c>
      <c r="K25" s="199">
        <v>321.64981502316516</v>
      </c>
      <c r="L25" s="199">
        <v>276.51724202548115</v>
      </c>
    </row>
    <row r="26" spans="2:12" x14ac:dyDescent="0.35">
      <c r="B26" t="s">
        <v>302</v>
      </c>
      <c r="C26" s="134">
        <f>SUM(H13:L13)</f>
        <v>12065.810050790464</v>
      </c>
      <c r="E26" s="198"/>
      <c r="F26" s="195">
        <f t="shared" si="9"/>
        <v>8.3799999999999986E-2</v>
      </c>
      <c r="G26" s="202">
        <v>1753.1631550513853</v>
      </c>
      <c r="H26" s="202">
        <v>852.41066772822944</v>
      </c>
      <c r="I26" s="202">
        <v>562.94291569498216</v>
      </c>
      <c r="J26" s="202">
        <v>422.76013800847551</v>
      </c>
      <c r="K26" s="202">
        <v>341.46835078918315</v>
      </c>
      <c r="L26" s="202">
        <v>289.24061377049861</v>
      </c>
    </row>
    <row r="27" spans="2:12" x14ac:dyDescent="0.35">
      <c r="B27" t="s">
        <v>311</v>
      </c>
      <c r="C27" s="134">
        <f>C23/(1+C21)^(L11+1)</f>
        <v>27943.141771924813</v>
      </c>
    </row>
    <row r="28" spans="2:12" x14ac:dyDescent="0.35">
      <c r="B28" t="s">
        <v>312</v>
      </c>
      <c r="C28" s="134">
        <f>SUM(C26:C27)</f>
        <v>40008.951822715273</v>
      </c>
    </row>
    <row r="30" spans="2:12" x14ac:dyDescent="0.35">
      <c r="B30" t="s">
        <v>313</v>
      </c>
      <c r="C30" s="134">
        <f>'Data Sheet'!K69</f>
        <v>843.82</v>
      </c>
    </row>
    <row r="31" spans="2:12" x14ac:dyDescent="0.35">
      <c r="B31" t="s">
        <v>314</v>
      </c>
      <c r="C31" s="134">
        <f>-('RAW FS'!M6+'RAW FS'!M7)</f>
        <v>-972</v>
      </c>
    </row>
    <row r="32" spans="2:12" x14ac:dyDescent="0.35">
      <c r="B32" s="2" t="s">
        <v>315</v>
      </c>
      <c r="C32" s="135">
        <f>SUM(C28:C31)</f>
        <v>39880.771822715273</v>
      </c>
      <c r="D32" s="2"/>
    </row>
    <row r="33" spans="2:12" x14ac:dyDescent="0.35">
      <c r="B33" t="s">
        <v>316</v>
      </c>
      <c r="C33" s="134">
        <f>'Data Sheet'!B6</f>
        <v>95.881152439881859</v>
      </c>
      <c r="E33" s="2"/>
      <c r="F33" s="2"/>
      <c r="G33" s="2"/>
      <c r="H33" s="2"/>
      <c r="I33" s="2"/>
      <c r="J33" s="2"/>
      <c r="K33" s="2"/>
      <c r="L33" s="2"/>
    </row>
    <row r="34" spans="2:12" ht="15" thickBot="1" x14ac:dyDescent="0.4">
      <c r="B34" s="88" t="s">
        <v>317</v>
      </c>
      <c r="C34" s="139">
        <f>C32/C33</f>
        <v>415.93963785240055</v>
      </c>
      <c r="D34" s="2"/>
    </row>
    <row r="35" spans="2:12" x14ac:dyDescent="0.35">
      <c r="E35" s="2"/>
      <c r="F35" s="2"/>
      <c r="G35" s="2"/>
      <c r="H35" s="2"/>
      <c r="I35" s="2"/>
      <c r="J35" s="2"/>
      <c r="K35" s="2"/>
      <c r="L35" s="2"/>
    </row>
    <row r="36" spans="2:12" x14ac:dyDescent="0.35">
      <c r="B36" s="2" t="s">
        <v>318</v>
      </c>
      <c r="C36" s="2">
        <f>'Data Sheet'!B8</f>
        <v>2844.4</v>
      </c>
    </row>
    <row r="37" spans="2:12" x14ac:dyDescent="0.35">
      <c r="B37" s="2" t="s">
        <v>319</v>
      </c>
      <c r="C37" s="147">
        <f>C36/C34</f>
        <v>6.8384922742308047</v>
      </c>
      <c r="D37" s="2"/>
    </row>
    <row r="38" spans="2:12" x14ac:dyDescent="0.35">
      <c r="E38" s="2"/>
      <c r="F38" s="2"/>
      <c r="G38" s="2"/>
      <c r="H38" s="2"/>
      <c r="I38" s="2"/>
      <c r="J38" s="2"/>
      <c r="K38" s="2"/>
      <c r="L38" s="2"/>
    </row>
  </sheetData>
  <mergeCells count="4">
    <mergeCell ref="B19:C19"/>
    <mergeCell ref="B25:C25"/>
    <mergeCell ref="E18:L18"/>
    <mergeCell ref="E19:E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41E-DE36-4818-8AFA-15434F3CC67B}">
  <dimension ref="B2:N226"/>
  <sheetViews>
    <sheetView showGridLines="0" topLeftCell="A28" zoomScale="85" zoomScaleNormal="85" workbookViewId="0">
      <selection activeCell="N32" sqref="N32"/>
    </sheetView>
  </sheetViews>
  <sheetFormatPr defaultRowHeight="14.5" x14ac:dyDescent="0.35"/>
  <cols>
    <col min="1" max="1" width="1.81640625" customWidth="1"/>
    <col min="2" max="2" width="33.6328125" bestFit="1" customWidth="1"/>
    <col min="3" max="7" width="11.6328125" customWidth="1"/>
    <col min="8" max="9" width="10.36328125" bestFit="1" customWidth="1"/>
  </cols>
  <sheetData>
    <row r="2" spans="2:9" ht="20" customHeight="1" x14ac:dyDescent="0.35">
      <c r="B2" s="148" t="s">
        <v>320</v>
      </c>
      <c r="C2" s="253" t="str">
        <f>'Data Sheet'!B1</f>
        <v>ASIAN PAINTS LTD</v>
      </c>
      <c r="D2" s="253"/>
      <c r="E2" s="253"/>
      <c r="F2" s="253"/>
      <c r="G2" s="253"/>
      <c r="H2" s="253"/>
      <c r="I2" s="253"/>
    </row>
    <row r="3" spans="2:9" ht="20" customHeight="1" x14ac:dyDescent="0.35">
      <c r="B3" s="150"/>
      <c r="C3" s="150"/>
      <c r="D3" s="157">
        <f>2023</f>
        <v>2023</v>
      </c>
      <c r="E3" s="158">
        <f>D3+1</f>
        <v>2024</v>
      </c>
      <c r="F3" s="158">
        <f t="shared" ref="F3:I3" si="0">E3+1</f>
        <v>2025</v>
      </c>
      <c r="G3" s="158">
        <f t="shared" si="0"/>
        <v>2026</v>
      </c>
      <c r="H3" s="158">
        <f t="shared" si="0"/>
        <v>2027</v>
      </c>
      <c r="I3" s="158">
        <f t="shared" si="0"/>
        <v>2028</v>
      </c>
    </row>
    <row r="4" spans="2:9" s="2" customFormat="1" ht="20" customHeight="1" x14ac:dyDescent="0.35">
      <c r="B4" s="149" t="s">
        <v>217</v>
      </c>
      <c r="C4" s="149"/>
      <c r="D4" s="159">
        <f>'Data Sheet'!K34</f>
        <v>5744.4</v>
      </c>
      <c r="E4" s="160">
        <f>Predictions!$I31</f>
        <v>5428.9866666666658</v>
      </c>
      <c r="F4" s="160">
        <f>Predictions!$I32</f>
        <v>5799.0949696969692</v>
      </c>
      <c r="G4" s="160">
        <f>Predictions!$I33</f>
        <v>6169.2032727272726</v>
      </c>
      <c r="H4" s="160">
        <f>Predictions!$I34</f>
        <v>6539.3115757575752</v>
      </c>
      <c r="I4" s="160">
        <f>Predictions!$I35</f>
        <v>6909.4198787878777</v>
      </c>
    </row>
    <row r="5" spans="2:9" s="2" customFormat="1" ht="20" customHeight="1" x14ac:dyDescent="0.35">
      <c r="B5" s="149" t="s">
        <v>329</v>
      </c>
      <c r="C5" s="149"/>
      <c r="D5" s="155">
        <f>'Intrisic Growth'!K46</f>
        <v>0.25</v>
      </c>
      <c r="E5" s="154">
        <f>D5</f>
        <v>0.25</v>
      </c>
      <c r="F5" s="154">
        <f t="shared" ref="F5:I5" si="1">E5</f>
        <v>0.25</v>
      </c>
      <c r="G5" s="154">
        <f t="shared" si="1"/>
        <v>0.25</v>
      </c>
      <c r="H5" s="154">
        <f t="shared" si="1"/>
        <v>0.25</v>
      </c>
      <c r="I5" s="154">
        <f t="shared" si="1"/>
        <v>0.25</v>
      </c>
    </row>
    <row r="6" spans="2:9" ht="20" customHeight="1" x14ac:dyDescent="0.35">
      <c r="B6" s="151" t="s">
        <v>297</v>
      </c>
      <c r="C6" s="151"/>
      <c r="D6" s="161">
        <f>D4*(1+D5)</f>
        <v>7180.5</v>
      </c>
      <c r="E6" s="161">
        <f t="shared" ref="E6:I6" si="2">E4*(1+E5)</f>
        <v>6786.2333333333318</v>
      </c>
      <c r="F6" s="161">
        <f t="shared" si="2"/>
        <v>7248.8687121212115</v>
      </c>
      <c r="G6" s="161">
        <f t="shared" si="2"/>
        <v>7711.5040909090912</v>
      </c>
      <c r="H6" s="161">
        <f t="shared" si="2"/>
        <v>8174.1394696969692</v>
      </c>
      <c r="I6" s="161">
        <f t="shared" si="2"/>
        <v>8636.7748484848471</v>
      </c>
    </row>
    <row r="7" spans="2:9" ht="20" customHeight="1" x14ac:dyDescent="0.35">
      <c r="B7" s="152" t="s">
        <v>321</v>
      </c>
      <c r="C7" s="152"/>
      <c r="D7" s="162">
        <f>'Data Sheet'!K26</f>
        <v>858.02</v>
      </c>
      <c r="E7" s="163">
        <f>Predictions!$D31</f>
        <v>986.45666666666671</v>
      </c>
      <c r="F7" s="163">
        <f>Predictions!$D32</f>
        <v>1068.5267878787879</v>
      </c>
      <c r="G7" s="163">
        <f>Predictions!$D33</f>
        <v>1150.5969090909091</v>
      </c>
      <c r="H7" s="163">
        <f>Predictions!$D34</f>
        <v>1232.6670303030303</v>
      </c>
      <c r="I7" s="163">
        <f>Predictions!$D35</f>
        <v>1314.7371515151515</v>
      </c>
    </row>
    <row r="8" spans="2:9" ht="20" customHeight="1" x14ac:dyDescent="0.35">
      <c r="B8" s="153" t="s">
        <v>322</v>
      </c>
      <c r="C8" s="153"/>
      <c r="D8" s="164">
        <f t="shared" ref="D8:I8" si="3">SUM(D6:D7)</f>
        <v>8038.52</v>
      </c>
      <c r="E8" s="165">
        <f t="shared" si="3"/>
        <v>7772.6899999999987</v>
      </c>
      <c r="F8" s="165">
        <f t="shared" si="3"/>
        <v>8317.3954999999987</v>
      </c>
      <c r="G8" s="165">
        <f t="shared" si="3"/>
        <v>8862.1010000000006</v>
      </c>
      <c r="H8" s="165">
        <f t="shared" si="3"/>
        <v>9406.8064999999988</v>
      </c>
      <c r="I8" s="165">
        <f t="shared" si="3"/>
        <v>9951.5119999999988</v>
      </c>
    </row>
    <row r="9" spans="2:9" ht="20" customHeight="1" x14ac:dyDescent="0.35">
      <c r="B9" s="153"/>
      <c r="C9" s="153"/>
      <c r="D9" s="164"/>
      <c r="E9" s="165"/>
      <c r="F9" s="165"/>
      <c r="G9" s="165"/>
      <c r="H9" s="165"/>
      <c r="I9" s="165"/>
    </row>
    <row r="10" spans="2:9" ht="20" customHeight="1" x14ac:dyDescent="0.35">
      <c r="B10" s="149" t="s">
        <v>207</v>
      </c>
      <c r="C10" s="149"/>
      <c r="D10" s="159">
        <f>-('Data Sheet'!K67-'Data Sheet'!J67)</f>
        <v>-765.49999999999955</v>
      </c>
      <c r="E10" s="160">
        <f>-('[1]Balance Sheet'!H8-'[1]Balance Sheet'!G8)</f>
        <v>-3380.7346870078909</v>
      </c>
      <c r="F10" s="160">
        <f>-('[1]Balance Sheet'!I8-'[1]Balance Sheet'!H8)</f>
        <v>-1934.1450064460878</v>
      </c>
      <c r="G10" s="160">
        <f>-('[1]Balance Sheet'!J8-'[1]Balance Sheet'!I8)</f>
        <v>-2218.5355650519195</v>
      </c>
      <c r="H10" s="160">
        <f>-('[1]Balance Sheet'!K8-'[1]Balance Sheet'!J8)</f>
        <v>-1679.9924280766245</v>
      </c>
      <c r="I10" s="160">
        <f>-('[1]Balance Sheet'!L8-'[1]Balance Sheet'!K8)</f>
        <v>-1722.310964730259</v>
      </c>
    </row>
    <row r="11" spans="2:9" ht="20" customHeight="1" x14ac:dyDescent="0.35">
      <c r="B11" s="149" t="s">
        <v>29</v>
      </c>
      <c r="C11" s="149"/>
      <c r="D11" s="159">
        <f>-('RAW FS'!M31-'RAW FS'!L31)</f>
        <v>-58</v>
      </c>
      <c r="E11" s="160">
        <f>-('[1]Working capital'!H7-'[1]Working capital'!G7)</f>
        <v>-7394.9342860934739</v>
      </c>
      <c r="F11" s="160">
        <f>-('[1]Working capital'!I7-'[1]Working capital'!H7)</f>
        <v>-2482.2238123534371</v>
      </c>
      <c r="G11" s="160">
        <f>-('[1]Working capital'!J7-'[1]Working capital'!I7)</f>
        <v>-2847.2021434647104</v>
      </c>
      <c r="H11" s="160">
        <f>-('[1]Working capital'!K7-'[1]Working capital'!J7)</f>
        <v>-2156.0520000554061</v>
      </c>
      <c r="I11" s="160">
        <f>-('[1]Working capital'!L7-'[1]Working capital'!K7)</f>
        <v>-2210.3623434037654</v>
      </c>
    </row>
    <row r="12" spans="2:9" ht="20" customHeight="1" x14ac:dyDescent="0.35">
      <c r="B12" s="152" t="s">
        <v>323</v>
      </c>
      <c r="C12" s="152"/>
      <c r="D12" s="162">
        <f>'RAW FS'!M12-'RAW FS'!L12</f>
        <v>-529</v>
      </c>
      <c r="E12" s="163">
        <f>'[1]Balance Sheet'!H20-'[1]Balance Sheet'!G20</f>
        <v>975.25156481304293</v>
      </c>
      <c r="F12" s="163">
        <f>'[1]Balance Sheet'!I20-'[1]Balance Sheet'!H20</f>
        <v>584.53183145470393</v>
      </c>
      <c r="G12" s="163">
        <f>'[1]Balance Sheet'!J20-'[1]Balance Sheet'!I20</f>
        <v>673.07499766541332</v>
      </c>
      <c r="H12" s="163">
        <f>'[1]Balance Sheet'!K20-'[1]Balance Sheet'!J20</f>
        <v>514.87119921461453</v>
      </c>
      <c r="I12" s="163">
        <f>'[1]Balance Sheet'!L20-'[1]Balance Sheet'!K20</f>
        <v>530.6670669021396</v>
      </c>
    </row>
    <row r="13" spans="2:9" ht="20" customHeight="1" x14ac:dyDescent="0.35">
      <c r="B13" s="153" t="s">
        <v>324</v>
      </c>
      <c r="C13" s="153"/>
      <c r="D13" s="164">
        <f t="shared" ref="D13:I13" si="4">SUM(D10:D12)</f>
        <v>-1352.4999999999995</v>
      </c>
      <c r="E13" s="165">
        <f t="shared" si="4"/>
        <v>-9800.4174082883219</v>
      </c>
      <c r="F13" s="165">
        <f t="shared" si="4"/>
        <v>-3831.836987344821</v>
      </c>
      <c r="G13" s="165">
        <f t="shared" si="4"/>
        <v>-4392.6627108512166</v>
      </c>
      <c r="H13" s="165">
        <f t="shared" si="4"/>
        <v>-3321.1732289174161</v>
      </c>
      <c r="I13" s="165">
        <f t="shared" si="4"/>
        <v>-3402.0062412318848</v>
      </c>
    </row>
    <row r="14" spans="2:9" ht="20" customHeight="1" x14ac:dyDescent="0.35">
      <c r="B14" s="153"/>
      <c r="C14" s="153"/>
      <c r="D14" s="164"/>
      <c r="E14" s="165"/>
      <c r="F14" s="165"/>
      <c r="G14" s="165"/>
      <c r="H14" s="165"/>
      <c r="I14" s="165"/>
    </row>
    <row r="15" spans="2:9" ht="20" customHeight="1" x14ac:dyDescent="0.35">
      <c r="B15" s="149" t="s">
        <v>325</v>
      </c>
      <c r="C15" s="149"/>
      <c r="D15" s="159">
        <f>'Data Sheet'!K77</f>
        <v>4427</v>
      </c>
      <c r="E15" s="160">
        <f>Predictions!$D14</f>
        <v>4349.7999999999993</v>
      </c>
      <c r="F15" s="160">
        <f>Predictions!$D15</f>
        <v>4667</v>
      </c>
      <c r="G15" s="160">
        <f>Predictions!$D16</f>
        <v>4984.1999999999989</v>
      </c>
      <c r="H15" s="160">
        <f>Predictions!$D17</f>
        <v>5301.4</v>
      </c>
      <c r="I15" s="160">
        <f>Predictions!$D18</f>
        <v>5618.6</v>
      </c>
    </row>
    <row r="16" spans="2:9" ht="20" customHeight="1" x14ac:dyDescent="0.35">
      <c r="B16" s="149" t="s">
        <v>326</v>
      </c>
      <c r="C16" s="149"/>
      <c r="D16" s="159">
        <f>-Predictions!$I13</f>
        <v>-1747</v>
      </c>
      <c r="E16" s="159">
        <f>-Predictions!$I14</f>
        <v>-747.26666666666688</v>
      </c>
      <c r="F16" s="159">
        <f>-Predictions!$I15</f>
        <v>-737.93333333333351</v>
      </c>
      <c r="G16" s="159">
        <f>-Predictions!$I16</f>
        <v>-728.60000000000025</v>
      </c>
      <c r="H16" s="159">
        <f>-Predictions!$I17</f>
        <v>-719.26666666666688</v>
      </c>
      <c r="I16" s="159">
        <f>-Predictions!$I18</f>
        <v>-709.93333333333362</v>
      </c>
    </row>
    <row r="17" spans="2:11" ht="20" customHeight="1" x14ac:dyDescent="0.35">
      <c r="B17" s="149" t="s">
        <v>327</v>
      </c>
      <c r="C17" s="149"/>
      <c r="D17" s="159">
        <f>Predictions!$N13</f>
        <v>3120</v>
      </c>
      <c r="E17" s="159">
        <f>Predictions!$N14</f>
        <v>2506.8000000000002</v>
      </c>
      <c r="F17" s="159">
        <f>Predictions!$N15</f>
        <v>2672.4545454545455</v>
      </c>
      <c r="G17" s="159">
        <f>Predictions!$N16</f>
        <v>2838.1090909090908</v>
      </c>
      <c r="H17" s="159">
        <f>Predictions!$N17</f>
        <v>3003.7636363636361</v>
      </c>
      <c r="I17" s="159">
        <f>Predictions!$N18</f>
        <v>3169.4181818181819</v>
      </c>
    </row>
    <row r="18" spans="2:11" ht="20" customHeight="1" x14ac:dyDescent="0.35">
      <c r="B18" s="153"/>
      <c r="C18" s="153"/>
      <c r="D18" s="164"/>
      <c r="E18" s="165"/>
      <c r="F18" s="165"/>
      <c r="G18" s="165"/>
      <c r="H18" s="165"/>
      <c r="I18" s="165"/>
    </row>
    <row r="19" spans="2:11" ht="20" customHeight="1" x14ac:dyDescent="0.35">
      <c r="B19" s="254" t="s">
        <v>328</v>
      </c>
      <c r="C19" s="254"/>
      <c r="D19" s="255">
        <f t="shared" ref="D19:I19" si="5">D8+D13+D15+D16+D17</f>
        <v>12486.02</v>
      </c>
      <c r="E19" s="255">
        <f t="shared" si="5"/>
        <v>4081.6059250450094</v>
      </c>
      <c r="F19" s="255">
        <f t="shared" si="5"/>
        <v>11087.079724776389</v>
      </c>
      <c r="G19" s="255">
        <f t="shared" si="5"/>
        <v>11563.147380057873</v>
      </c>
      <c r="H19" s="255">
        <f t="shared" si="5"/>
        <v>13671.530240779552</v>
      </c>
      <c r="I19" s="256">
        <f t="shared" si="5"/>
        <v>14627.590607252961</v>
      </c>
    </row>
    <row r="20" spans="2:11" ht="6" customHeight="1" x14ac:dyDescent="0.35"/>
    <row r="21" spans="2:11" ht="20" customHeight="1" x14ac:dyDescent="0.35">
      <c r="B21" s="136" t="s">
        <v>303</v>
      </c>
      <c r="C21" s="136"/>
      <c r="D21" s="137">
        <v>0.22140000000000001</v>
      </c>
      <c r="E21" s="2"/>
      <c r="F21" s="2"/>
      <c r="G21" s="2"/>
      <c r="H21" s="2"/>
      <c r="I21" s="2"/>
    </row>
    <row r="22" spans="2:11" s="2" customFormat="1" ht="20" customHeight="1" x14ac:dyDescent="0.35">
      <c r="B22" s="136" t="s">
        <v>304</v>
      </c>
      <c r="C22" s="136"/>
      <c r="D22" s="137">
        <v>5.3800000000000001E-2</v>
      </c>
      <c r="E22"/>
      <c r="F22"/>
      <c r="G22"/>
      <c r="H22"/>
      <c r="I22"/>
    </row>
    <row r="23" spans="2:11" ht="20" customHeight="1" x14ac:dyDescent="0.35">
      <c r="B23" s="136" t="s">
        <v>167</v>
      </c>
      <c r="C23" s="136"/>
      <c r="D23" s="138">
        <f>WACC!L38</f>
        <v>0.14327524296664085</v>
      </c>
    </row>
    <row r="24" spans="2:11" ht="6" customHeight="1" thickBot="1" x14ac:dyDescent="0.4"/>
    <row r="25" spans="2:11" ht="20" customHeight="1" thickTop="1" thickBot="1" x14ac:dyDescent="0.4">
      <c r="B25" s="166" t="s">
        <v>330</v>
      </c>
      <c r="C25" s="166"/>
      <c r="D25" s="183">
        <v>5.5E-2</v>
      </c>
      <c r="E25" s="167" t="s">
        <v>331</v>
      </c>
      <c r="F25" s="167"/>
      <c r="G25" s="167"/>
      <c r="H25" s="167"/>
      <c r="I25" s="167"/>
      <c r="J25" s="167"/>
      <c r="K25" s="167"/>
    </row>
    <row r="26" spans="2:11" ht="20" customHeight="1" thickTop="1" x14ac:dyDescent="0.35">
      <c r="B26" s="167"/>
      <c r="C26" s="167"/>
      <c r="D26" s="167"/>
      <c r="E26" s="167">
        <v>1</v>
      </c>
      <c r="F26" s="167">
        <v>2</v>
      </c>
      <c r="G26" s="167">
        <v>3</v>
      </c>
      <c r="H26" s="167">
        <v>4</v>
      </c>
      <c r="I26" s="167">
        <v>5</v>
      </c>
    </row>
    <row r="27" spans="2:11" ht="20" customHeight="1" x14ac:dyDescent="0.35">
      <c r="B27" s="168"/>
      <c r="C27" s="168"/>
      <c r="D27" s="156">
        <f>D3</f>
        <v>2023</v>
      </c>
      <c r="E27" s="178">
        <f t="shared" ref="E27:I27" si="6">E3</f>
        <v>2024</v>
      </c>
      <c r="F27" s="178">
        <f t="shared" si="6"/>
        <v>2025</v>
      </c>
      <c r="G27" s="178">
        <f t="shared" si="6"/>
        <v>2026</v>
      </c>
      <c r="H27" s="178">
        <f t="shared" si="6"/>
        <v>2027</v>
      </c>
      <c r="I27" s="178">
        <f t="shared" si="6"/>
        <v>2028</v>
      </c>
    </row>
    <row r="28" spans="2:11" ht="20" customHeight="1" x14ac:dyDescent="0.35">
      <c r="B28" s="167" t="s">
        <v>320</v>
      </c>
      <c r="C28" s="167"/>
      <c r="D28" s="169"/>
      <c r="E28" s="179">
        <f>E19</f>
        <v>4081.6059250450094</v>
      </c>
      <c r="F28" s="179">
        <f t="shared" ref="F28:I28" si="7">F19</f>
        <v>11087.079724776389</v>
      </c>
      <c r="G28" s="179">
        <f t="shared" si="7"/>
        <v>11563.147380057873</v>
      </c>
      <c r="H28" s="179">
        <f t="shared" si="7"/>
        <v>13671.530240779552</v>
      </c>
      <c r="I28" s="179">
        <f t="shared" si="7"/>
        <v>14627.590607252961</v>
      </c>
    </row>
    <row r="29" spans="2:11" ht="20" customHeight="1" x14ac:dyDescent="0.35">
      <c r="B29" s="167" t="s">
        <v>332</v>
      </c>
      <c r="C29" s="167"/>
      <c r="D29" s="169"/>
      <c r="E29" s="179"/>
      <c r="F29" s="179"/>
      <c r="G29" s="179"/>
      <c r="H29" s="179"/>
      <c r="I29" s="179">
        <f>(I28*(1+D25))/(D23-D25)</f>
        <v>174818.07551052174</v>
      </c>
    </row>
    <row r="30" spans="2:11" ht="20" customHeight="1" x14ac:dyDescent="0.35">
      <c r="B30" s="167"/>
      <c r="C30" s="167"/>
      <c r="D30" s="169"/>
      <c r="E30" s="179"/>
      <c r="F30" s="179"/>
      <c r="G30" s="180"/>
      <c r="H30" s="180"/>
      <c r="I30" s="180"/>
    </row>
    <row r="31" spans="2:11" s="2" customFormat="1" ht="20" customHeight="1" x14ac:dyDescent="0.35">
      <c r="B31" s="167" t="s">
        <v>333</v>
      </c>
      <c r="C31" s="167"/>
      <c r="D31" s="169"/>
      <c r="E31" s="181">
        <f>$D$23</f>
        <v>0.14327524296664085</v>
      </c>
      <c r="F31" s="181">
        <f t="shared" ref="F31:I31" si="8">$D$23</f>
        <v>0.14327524296664085</v>
      </c>
      <c r="G31" s="181">
        <f t="shared" si="8"/>
        <v>0.14327524296664085</v>
      </c>
      <c r="H31" s="181">
        <f t="shared" si="8"/>
        <v>0.14327524296664085</v>
      </c>
      <c r="I31" s="181">
        <f t="shared" si="8"/>
        <v>0.14327524296664085</v>
      </c>
    </row>
    <row r="32" spans="2:11" ht="20" customHeight="1" x14ac:dyDescent="0.35">
      <c r="B32" s="170" t="s">
        <v>334</v>
      </c>
      <c r="C32" s="170"/>
      <c r="D32" s="171"/>
      <c r="E32" s="182">
        <f>E28/(1+E31)^E26</f>
        <v>3570.0991079399282</v>
      </c>
      <c r="F32" s="182">
        <f>F28/(1+F31)^F26</f>
        <v>8482.3379627757022</v>
      </c>
      <c r="G32" s="182">
        <f>G28/(1+G31)^G26</f>
        <v>7737.9098115453635</v>
      </c>
      <c r="H32" s="182">
        <f>H28/(1+H31)^H26</f>
        <v>8002.283454250769</v>
      </c>
      <c r="I32" s="182">
        <f>I28/(1+I31)^I26</f>
        <v>7488.9132712343981</v>
      </c>
    </row>
    <row r="33" spans="2:14" s="2" customFormat="1" ht="20" customHeight="1" x14ac:dyDescent="0.35">
      <c r="B33" s="184" t="s">
        <v>335</v>
      </c>
      <c r="C33" s="184"/>
      <c r="D33" s="185"/>
      <c r="E33" s="186"/>
      <c r="F33" s="186"/>
      <c r="G33" s="186"/>
      <c r="H33" s="186"/>
      <c r="I33" s="187">
        <f>I29/(1+I31)^I26</f>
        <v>89501.917362470442</v>
      </c>
    </row>
    <row r="34" spans="2:14" ht="6" customHeight="1" x14ac:dyDescent="0.35"/>
    <row r="35" spans="2:14" ht="20" customHeight="1" x14ac:dyDescent="0.35">
      <c r="B35" s="257" t="s">
        <v>336</v>
      </c>
      <c r="C35" s="257"/>
      <c r="D35" s="257"/>
      <c r="E35" s="257"/>
      <c r="F35" s="257"/>
      <c r="G35" s="257"/>
      <c r="H35" s="257"/>
      <c r="I35" s="257"/>
      <c r="J35" s="167"/>
      <c r="K35" s="167"/>
    </row>
    <row r="36" spans="2:14" s="2" customFormat="1" ht="20" customHeight="1" x14ac:dyDescent="0.35">
      <c r="B36" s="167" t="s">
        <v>337</v>
      </c>
      <c r="C36" s="167"/>
      <c r="D36" s="167"/>
      <c r="E36" s="167"/>
      <c r="F36" s="167"/>
      <c r="G36" s="167"/>
      <c r="H36" s="172"/>
      <c r="I36" s="172">
        <f>SUM(E32:I32)</f>
        <v>35281.543607746164</v>
      </c>
      <c r="J36" s="173"/>
      <c r="K36" s="167"/>
      <c r="L36" s="167"/>
    </row>
    <row r="37" spans="2:14" ht="20" customHeight="1" x14ac:dyDescent="0.35">
      <c r="B37" s="167" t="s">
        <v>338</v>
      </c>
      <c r="C37" s="167"/>
      <c r="D37" s="167"/>
      <c r="E37" s="167"/>
      <c r="F37" s="167"/>
      <c r="G37" s="167"/>
      <c r="H37" s="172"/>
      <c r="I37" s="172">
        <f>I29</f>
        <v>174818.07551052174</v>
      </c>
      <c r="J37" s="167"/>
      <c r="K37" s="167"/>
      <c r="L37" s="167"/>
    </row>
    <row r="38" spans="2:14" ht="20" customHeight="1" x14ac:dyDescent="0.35">
      <c r="B38" s="167" t="s">
        <v>339</v>
      </c>
      <c r="C38" s="167"/>
      <c r="D38" s="167"/>
      <c r="E38" s="167"/>
      <c r="F38" s="167"/>
      <c r="G38" s="167"/>
      <c r="H38" s="172"/>
      <c r="I38" s="172">
        <f>I33</f>
        <v>89501.917362470442</v>
      </c>
      <c r="J38" s="173"/>
      <c r="K38" s="167"/>
      <c r="L38" s="167"/>
    </row>
    <row r="39" spans="2:14" ht="20" customHeight="1" x14ac:dyDescent="0.35">
      <c r="B39" s="174" t="s">
        <v>340</v>
      </c>
      <c r="C39" s="174"/>
      <c r="D39" s="174"/>
      <c r="E39" s="174"/>
      <c r="F39" s="174"/>
      <c r="G39" s="174"/>
      <c r="H39" s="175"/>
      <c r="I39" s="175">
        <f>I36+I38</f>
        <v>124783.46097021661</v>
      </c>
      <c r="J39" s="167"/>
      <c r="K39" s="167"/>
      <c r="L39" s="167"/>
    </row>
    <row r="40" spans="2:14" ht="20" customHeight="1" x14ac:dyDescent="0.35">
      <c r="B40" s="176" t="s">
        <v>341</v>
      </c>
      <c r="C40" s="176"/>
      <c r="D40" s="167"/>
      <c r="E40" s="167"/>
      <c r="F40" s="167"/>
      <c r="G40" s="167"/>
      <c r="H40" s="172"/>
      <c r="I40" s="172">
        <f>'Data Sheet'!K69</f>
        <v>843.82</v>
      </c>
      <c r="J40" s="172"/>
      <c r="K40" s="167"/>
      <c r="L40" s="167"/>
      <c r="M40" s="167"/>
      <c r="N40" s="167"/>
    </row>
    <row r="41" spans="2:14" ht="20" customHeight="1" x14ac:dyDescent="0.35">
      <c r="B41" s="176" t="s">
        <v>342</v>
      </c>
      <c r="C41" s="176"/>
      <c r="D41" s="167"/>
      <c r="E41" s="167"/>
      <c r="F41" s="167"/>
      <c r="G41" s="167"/>
      <c r="H41" s="172"/>
      <c r="I41" s="172">
        <f>-SUM('RAW FS'!M6:M7)</f>
        <v>-972</v>
      </c>
      <c r="J41" s="167"/>
      <c r="K41" s="167"/>
      <c r="L41" s="167"/>
      <c r="M41" s="167"/>
      <c r="N41" s="167"/>
    </row>
    <row r="42" spans="2:14" ht="20" customHeight="1" x14ac:dyDescent="0.35">
      <c r="B42" s="174" t="s">
        <v>343</v>
      </c>
      <c r="C42" s="174"/>
      <c r="D42" s="174"/>
      <c r="E42" s="174"/>
      <c r="F42" s="174"/>
      <c r="G42" s="174"/>
      <c r="H42" s="175"/>
      <c r="I42" s="175">
        <f>SUM(I39:I41)</f>
        <v>124655.28097021661</v>
      </c>
      <c r="J42" s="167"/>
      <c r="K42" s="167"/>
      <c r="L42" s="167"/>
      <c r="M42" s="167"/>
      <c r="N42" s="167"/>
    </row>
    <row r="43" spans="2:14" ht="20" customHeight="1" x14ac:dyDescent="0.35">
      <c r="B43" s="167" t="s">
        <v>344</v>
      </c>
      <c r="C43" s="167"/>
      <c r="D43" s="167"/>
      <c r="E43" s="167"/>
      <c r="F43" s="167"/>
      <c r="G43" s="167"/>
      <c r="H43" s="167"/>
      <c r="I43" s="172">
        <f>'Data Sheet'!B6</f>
        <v>95.881152439881859</v>
      </c>
      <c r="J43" s="167"/>
      <c r="K43" s="167"/>
      <c r="L43" s="167"/>
      <c r="M43" s="167"/>
      <c r="N43" s="167"/>
    </row>
    <row r="44" spans="2:14" ht="20" customHeight="1" x14ac:dyDescent="0.35">
      <c r="B44" s="177" t="s">
        <v>345</v>
      </c>
      <c r="C44" s="177"/>
      <c r="D44" s="177"/>
      <c r="E44" s="177"/>
      <c r="F44" s="177"/>
      <c r="G44" s="177"/>
      <c r="H44" s="177"/>
      <c r="I44" s="258">
        <f>I42/I43</f>
        <v>1300.1020304629351</v>
      </c>
      <c r="J44" s="167"/>
    </row>
    <row r="45" spans="2:14" ht="6" customHeight="1" x14ac:dyDescent="0.35"/>
    <row r="46" spans="2:14" ht="20" customHeight="1" x14ac:dyDescent="0.35">
      <c r="B46" s="184" t="s">
        <v>385</v>
      </c>
      <c r="J46" s="167"/>
      <c r="K46" s="167"/>
    </row>
    <row r="47" spans="2:14" ht="20" customHeight="1" x14ac:dyDescent="0.35">
      <c r="B47" s="257" t="s">
        <v>167</v>
      </c>
      <c r="C47" s="257"/>
      <c r="D47" s="257"/>
      <c r="E47" s="257"/>
      <c r="F47" s="257"/>
      <c r="G47" s="257"/>
      <c r="H47" s="257"/>
      <c r="I47" s="257"/>
    </row>
    <row r="48" spans="2:14" ht="20" customHeight="1" x14ac:dyDescent="0.35">
      <c r="B48" s="262" t="s">
        <v>386</v>
      </c>
      <c r="C48" s="266">
        <f>I44</f>
        <v>1300.1020304629351</v>
      </c>
      <c r="D48" s="259">
        <f>E48-0.02</f>
        <v>0.10327524296664084</v>
      </c>
      <c r="E48" s="259">
        <f>F48-0.02</f>
        <v>0.12327524296664084</v>
      </c>
      <c r="F48" s="259">
        <v>0.14327524296664085</v>
      </c>
      <c r="G48" s="259">
        <f>F48+0.02</f>
        <v>0.16327524296664084</v>
      </c>
      <c r="H48" s="259">
        <f t="shared" ref="H48:I48" si="9">G48+0.02</f>
        <v>0.18327524296664083</v>
      </c>
      <c r="I48" s="259">
        <f t="shared" si="9"/>
        <v>0.20327524296664082</v>
      </c>
    </row>
    <row r="49" spans="2:9" ht="20" customHeight="1" x14ac:dyDescent="0.35">
      <c r="B49" s="262"/>
      <c r="C49" s="259">
        <f>C50-0.01</f>
        <v>2.4999999999999994E-2</v>
      </c>
      <c r="D49" s="260">
        <f t="dataTable" ref="D49:I55" dt2D="1" dtr="1" r1="D23" r2="D25"/>
        <v>1633.7536039514191</v>
      </c>
      <c r="E49" s="260">
        <v>1277.9660185230166</v>
      </c>
      <c r="F49" s="260">
        <v>1043.5208262169383</v>
      </c>
      <c r="G49" s="260">
        <v>877.69906302535094</v>
      </c>
      <c r="H49" s="260">
        <v>754.43408330508078</v>
      </c>
      <c r="I49" s="260">
        <v>659.3608978376833</v>
      </c>
    </row>
    <row r="50" spans="2:9" ht="20" customHeight="1" x14ac:dyDescent="0.35">
      <c r="B50" s="262"/>
      <c r="C50" s="259">
        <f>C51-0.01</f>
        <v>3.4999999999999996E-2</v>
      </c>
      <c r="D50" s="260">
        <v>1826.4246171845878</v>
      </c>
      <c r="E50" s="260">
        <v>1388.4277268085507</v>
      </c>
      <c r="F50" s="260">
        <v>1113.2498105008988</v>
      </c>
      <c r="G50" s="260">
        <v>924.66925481844726</v>
      </c>
      <c r="H50" s="260">
        <v>787.59410499307501</v>
      </c>
      <c r="I50" s="260">
        <v>683.61964471699878</v>
      </c>
    </row>
    <row r="51" spans="2:9" ht="20" customHeight="1" x14ac:dyDescent="0.35">
      <c r="B51" s="262"/>
      <c r="C51" s="259">
        <f>C52-0.01</f>
        <v>4.4999999999999998E-2</v>
      </c>
      <c r="D51" s="260">
        <v>2085.2201125905585</v>
      </c>
      <c r="E51" s="260">
        <v>1527.1133547138838</v>
      </c>
      <c r="F51" s="260">
        <v>1197.1693441397213</v>
      </c>
      <c r="G51" s="260">
        <v>979.58196959690645</v>
      </c>
      <c r="H51" s="260">
        <v>825.55036076846739</v>
      </c>
      <c r="I51" s="260">
        <v>710.94377900935763</v>
      </c>
    </row>
    <row r="52" spans="2:9" ht="20" customHeight="1" x14ac:dyDescent="0.35">
      <c r="B52" s="262"/>
      <c r="C52" s="259">
        <v>5.5E-2</v>
      </c>
      <c r="D52" s="260">
        <v>2451.2322596391955</v>
      </c>
      <c r="E52" s="260">
        <v>1706.4244339187733</v>
      </c>
      <c r="F52" s="261">
        <v>1300.1020304629351</v>
      </c>
      <c r="G52" s="260">
        <v>1044.6378552930939</v>
      </c>
      <c r="H52" s="260">
        <v>869.42455595252079</v>
      </c>
      <c r="I52" s="260">
        <v>741.95350959488928</v>
      </c>
    </row>
    <row r="53" spans="2:9" ht="20" customHeight="1" x14ac:dyDescent="0.35">
      <c r="B53" s="262"/>
      <c r="C53" s="259">
        <f>C52+0.01</f>
        <v>6.5000000000000002E-2</v>
      </c>
      <c r="D53" s="260">
        <v>3008.4970905010432</v>
      </c>
      <c r="E53" s="260">
        <v>1947.2748804695987</v>
      </c>
      <c r="F53" s="260">
        <v>1429.3349063280918</v>
      </c>
      <c r="G53" s="260">
        <v>1122.9332677983418</v>
      </c>
      <c r="H53" s="260">
        <v>920.7177500891155</v>
      </c>
      <c r="I53" s="260">
        <v>777.44845820213345</v>
      </c>
    </row>
    <row r="54" spans="2:9" ht="20" customHeight="1" x14ac:dyDescent="0.35">
      <c r="B54" s="262"/>
      <c r="C54" s="259">
        <f>C53+0.01</f>
        <v>7.4999999999999997E-2</v>
      </c>
      <c r="D54" s="260">
        <v>3959.9334809277775</v>
      </c>
      <c r="E54" s="260">
        <v>2287.9075059386155</v>
      </c>
      <c r="F54" s="260">
        <v>1596.4242204129696</v>
      </c>
      <c r="G54" s="260">
        <v>1218.9676091071806</v>
      </c>
      <c r="H54" s="260">
        <v>981.48553744410583</v>
      </c>
      <c r="I54" s="260">
        <v>818.47759217302939</v>
      </c>
    </row>
    <row r="55" spans="2:9" ht="20" customHeight="1" x14ac:dyDescent="0.35">
      <c r="B55" s="263"/>
      <c r="C55" s="264">
        <f>C54+0.01</f>
        <v>8.4999999999999992E-2</v>
      </c>
      <c r="D55" s="265">
        <v>5952.5996839085346</v>
      </c>
      <c r="E55" s="265">
        <v>2806.5312290818642</v>
      </c>
      <c r="F55" s="265">
        <v>1820.8584053482455</v>
      </c>
      <c r="G55" s="265">
        <v>1339.5395532822965</v>
      </c>
      <c r="H55" s="265">
        <v>1054.6201804833133</v>
      </c>
      <c r="I55" s="265">
        <v>866.44463351013019</v>
      </c>
    </row>
    <row r="56" spans="2:9" ht="20" customHeight="1" x14ac:dyDescent="0.35">
      <c r="B56" s="184"/>
    </row>
    <row r="57" spans="2:9" ht="20" customHeight="1" x14ac:dyDescent="0.35">
      <c r="B57" s="184"/>
    </row>
    <row r="58" spans="2:9" ht="20" customHeight="1" x14ac:dyDescent="0.35">
      <c r="B58" s="184"/>
    </row>
    <row r="59" spans="2:9" ht="20" customHeight="1" x14ac:dyDescent="0.35">
      <c r="B59" s="184"/>
    </row>
    <row r="60" spans="2:9" ht="20" customHeight="1" x14ac:dyDescent="0.35">
      <c r="B60" s="184"/>
    </row>
    <row r="61" spans="2:9" ht="20" customHeight="1" x14ac:dyDescent="0.35">
      <c r="B61" s="184"/>
    </row>
    <row r="62" spans="2:9" ht="20" customHeight="1" x14ac:dyDescent="0.35">
      <c r="B62" s="184"/>
    </row>
    <row r="63" spans="2:9" ht="20" customHeight="1" x14ac:dyDescent="0.35">
      <c r="B63" s="184"/>
    </row>
    <row r="64" spans="2:9" ht="20" customHeight="1" x14ac:dyDescent="0.35">
      <c r="B64" s="184"/>
    </row>
    <row r="65" spans="2:2" ht="20" customHeight="1" x14ac:dyDescent="0.35">
      <c r="B65" s="184"/>
    </row>
    <row r="66" spans="2:2" ht="20" customHeight="1" x14ac:dyDescent="0.35">
      <c r="B66" s="184"/>
    </row>
    <row r="67" spans="2:2" ht="20" customHeight="1" x14ac:dyDescent="0.35">
      <c r="B67" s="184"/>
    </row>
    <row r="68" spans="2:2" ht="20" customHeight="1" x14ac:dyDescent="0.35">
      <c r="B68" s="184"/>
    </row>
    <row r="69" spans="2:2" ht="20" customHeight="1" x14ac:dyDescent="0.35">
      <c r="B69" s="184"/>
    </row>
    <row r="70" spans="2:2" ht="20" customHeight="1" x14ac:dyDescent="0.35">
      <c r="B70" s="184"/>
    </row>
    <row r="71" spans="2:2" ht="20" customHeight="1" x14ac:dyDescent="0.35">
      <c r="B71" s="184"/>
    </row>
    <row r="72" spans="2:2" ht="20" customHeight="1" x14ac:dyDescent="0.35">
      <c r="B72" s="184"/>
    </row>
    <row r="73" spans="2:2" ht="20" customHeight="1" x14ac:dyDescent="0.35">
      <c r="B73" s="184"/>
    </row>
    <row r="74" spans="2:2" ht="20" customHeight="1" x14ac:dyDescent="0.35">
      <c r="B74" s="184"/>
    </row>
    <row r="75" spans="2:2" ht="20" customHeight="1" x14ac:dyDescent="0.35">
      <c r="B75" s="184"/>
    </row>
    <row r="76" spans="2:2" ht="20" customHeight="1" x14ac:dyDescent="0.35">
      <c r="B76" s="184"/>
    </row>
    <row r="77" spans="2:2" ht="20" customHeight="1" x14ac:dyDescent="0.35">
      <c r="B77" s="184"/>
    </row>
    <row r="78" spans="2:2" ht="20" customHeight="1" x14ac:dyDescent="0.35">
      <c r="B78" s="184"/>
    </row>
    <row r="79" spans="2:2" ht="20" customHeight="1" x14ac:dyDescent="0.35">
      <c r="B79" s="184"/>
    </row>
    <row r="80" spans="2:2" ht="20" customHeight="1" x14ac:dyDescent="0.35">
      <c r="B80" s="184"/>
    </row>
    <row r="81" spans="2:2" ht="20" customHeight="1" x14ac:dyDescent="0.35">
      <c r="B81" s="184"/>
    </row>
    <row r="82" spans="2:2" ht="20" customHeight="1" x14ac:dyDescent="0.35">
      <c r="B82" s="184"/>
    </row>
    <row r="83" spans="2:2" ht="20" customHeight="1" x14ac:dyDescent="0.35">
      <c r="B83" s="184"/>
    </row>
    <row r="84" spans="2:2" ht="20" customHeight="1" x14ac:dyDescent="0.35">
      <c r="B84" s="184"/>
    </row>
    <row r="85" spans="2:2" ht="20" customHeight="1" x14ac:dyDescent="0.35">
      <c r="B85" s="184"/>
    </row>
    <row r="86" spans="2:2" ht="20" customHeight="1" x14ac:dyDescent="0.35">
      <c r="B86" s="184"/>
    </row>
    <row r="87" spans="2:2" ht="20" customHeight="1" x14ac:dyDescent="0.35">
      <c r="B87" s="184"/>
    </row>
    <row r="88" spans="2:2" ht="20" customHeight="1" x14ac:dyDescent="0.35">
      <c r="B88" s="184"/>
    </row>
    <row r="89" spans="2:2" ht="20" customHeight="1" x14ac:dyDescent="0.35">
      <c r="B89" s="184"/>
    </row>
    <row r="90" spans="2:2" ht="20" customHeight="1" x14ac:dyDescent="0.35">
      <c r="B90" s="184"/>
    </row>
    <row r="91" spans="2:2" ht="20" customHeight="1" x14ac:dyDescent="0.35">
      <c r="B91" s="184"/>
    </row>
    <row r="92" spans="2:2" ht="20" customHeight="1" x14ac:dyDescent="0.35">
      <c r="B92" s="184"/>
    </row>
    <row r="93" spans="2:2" ht="20" customHeight="1" x14ac:dyDescent="0.35">
      <c r="B93" s="184"/>
    </row>
    <row r="94" spans="2:2" ht="20" customHeight="1" x14ac:dyDescent="0.35">
      <c r="B94" s="184"/>
    </row>
    <row r="95" spans="2:2" ht="20" customHeight="1" x14ac:dyDescent="0.35">
      <c r="B95" s="184"/>
    </row>
    <row r="96" spans="2:2" ht="20" customHeight="1" x14ac:dyDescent="0.35">
      <c r="B96" s="184"/>
    </row>
    <row r="97" spans="2:2" ht="20" customHeight="1" x14ac:dyDescent="0.35">
      <c r="B97" s="184"/>
    </row>
    <row r="98" spans="2:2" ht="20" customHeight="1" x14ac:dyDescent="0.35">
      <c r="B98" s="184"/>
    </row>
    <row r="99" spans="2:2" ht="20" customHeight="1" x14ac:dyDescent="0.35">
      <c r="B99" s="184"/>
    </row>
    <row r="100" spans="2:2" ht="20" customHeight="1" x14ac:dyDescent="0.35">
      <c r="B100" s="184"/>
    </row>
    <row r="101" spans="2:2" ht="20" customHeight="1" x14ac:dyDescent="0.35">
      <c r="B101" s="184"/>
    </row>
    <row r="102" spans="2:2" ht="20" customHeight="1" x14ac:dyDescent="0.35">
      <c r="B102" s="184"/>
    </row>
    <row r="103" spans="2:2" ht="20" customHeight="1" x14ac:dyDescent="0.35">
      <c r="B103" s="184"/>
    </row>
    <row r="104" spans="2:2" ht="20" customHeight="1" x14ac:dyDescent="0.35">
      <c r="B104" s="184"/>
    </row>
    <row r="105" spans="2:2" ht="20" customHeight="1" x14ac:dyDescent="0.35">
      <c r="B105" s="184"/>
    </row>
    <row r="106" spans="2:2" ht="20" customHeight="1" x14ac:dyDescent="0.35">
      <c r="B106" s="184"/>
    </row>
    <row r="107" spans="2:2" ht="20" customHeight="1" x14ac:dyDescent="0.35">
      <c r="B107" s="184"/>
    </row>
    <row r="108" spans="2:2" ht="20" customHeight="1" x14ac:dyDescent="0.35">
      <c r="B108" s="184"/>
    </row>
    <row r="109" spans="2:2" ht="20" customHeight="1" x14ac:dyDescent="0.35">
      <c r="B109" s="184"/>
    </row>
    <row r="110" spans="2:2" ht="20" customHeight="1" x14ac:dyDescent="0.35">
      <c r="B110" s="184"/>
    </row>
    <row r="111" spans="2:2" ht="20" customHeight="1" x14ac:dyDescent="0.35">
      <c r="B111" s="184"/>
    </row>
    <row r="112" spans="2:2" ht="20" customHeight="1" x14ac:dyDescent="0.35">
      <c r="B112" s="184"/>
    </row>
    <row r="113" spans="2:2" ht="20" customHeight="1" x14ac:dyDescent="0.35">
      <c r="B113" s="184"/>
    </row>
    <row r="114" spans="2:2" ht="20" customHeight="1" x14ac:dyDescent="0.35">
      <c r="B114" s="184"/>
    </row>
    <row r="115" spans="2:2" ht="20" customHeight="1" x14ac:dyDescent="0.35">
      <c r="B115" s="184"/>
    </row>
    <row r="116" spans="2:2" ht="20" customHeight="1" x14ac:dyDescent="0.35">
      <c r="B116" s="184"/>
    </row>
    <row r="117" spans="2:2" ht="20" customHeight="1" x14ac:dyDescent="0.35">
      <c r="B117" s="184"/>
    </row>
    <row r="118" spans="2:2" ht="20" customHeight="1" x14ac:dyDescent="0.35">
      <c r="B118" s="184"/>
    </row>
    <row r="119" spans="2:2" ht="20" customHeight="1" x14ac:dyDescent="0.35">
      <c r="B119" s="184"/>
    </row>
    <row r="120" spans="2:2" ht="20" customHeight="1" x14ac:dyDescent="0.35">
      <c r="B120" s="184"/>
    </row>
    <row r="121" spans="2:2" ht="20" customHeight="1" x14ac:dyDescent="0.35">
      <c r="B121" s="184"/>
    </row>
    <row r="122" spans="2:2" ht="20" customHeight="1" x14ac:dyDescent="0.35">
      <c r="B122" s="184"/>
    </row>
    <row r="123" spans="2:2" ht="20" customHeight="1" x14ac:dyDescent="0.35">
      <c r="B123" s="184"/>
    </row>
    <row r="124" spans="2:2" ht="20" customHeight="1" x14ac:dyDescent="0.35">
      <c r="B124" s="184"/>
    </row>
    <row r="125" spans="2:2" ht="20" customHeight="1" x14ac:dyDescent="0.35">
      <c r="B125" s="184"/>
    </row>
    <row r="126" spans="2:2" ht="20" customHeight="1" x14ac:dyDescent="0.35">
      <c r="B126" s="184"/>
    </row>
    <row r="127" spans="2:2" ht="20" customHeight="1" x14ac:dyDescent="0.35">
      <c r="B127" s="184"/>
    </row>
    <row r="128" spans="2:2" ht="20" customHeight="1" x14ac:dyDescent="0.35">
      <c r="B128" s="184"/>
    </row>
    <row r="129" spans="2:2" ht="20" customHeight="1" x14ac:dyDescent="0.35">
      <c r="B129" s="184"/>
    </row>
    <row r="130" spans="2:2" ht="20" customHeight="1" x14ac:dyDescent="0.35">
      <c r="B130" s="184"/>
    </row>
    <row r="131" spans="2:2" ht="20" customHeight="1" x14ac:dyDescent="0.35">
      <c r="B131" s="184"/>
    </row>
    <row r="132" spans="2:2" ht="20" customHeight="1" x14ac:dyDescent="0.35">
      <c r="B132" s="184"/>
    </row>
    <row r="133" spans="2:2" ht="20" customHeight="1" x14ac:dyDescent="0.35">
      <c r="B133" s="184"/>
    </row>
    <row r="134" spans="2:2" ht="20" customHeight="1" x14ac:dyDescent="0.35">
      <c r="B134" s="184"/>
    </row>
    <row r="135" spans="2:2" ht="20" customHeight="1" x14ac:dyDescent="0.35">
      <c r="B135" s="184"/>
    </row>
    <row r="136" spans="2:2" ht="20" customHeight="1" x14ac:dyDescent="0.35">
      <c r="B136" s="184"/>
    </row>
    <row r="137" spans="2:2" ht="20" customHeight="1" x14ac:dyDescent="0.35">
      <c r="B137" s="184"/>
    </row>
    <row r="138" spans="2:2" ht="20" customHeight="1" x14ac:dyDescent="0.35">
      <c r="B138" s="184"/>
    </row>
    <row r="139" spans="2:2" ht="20" customHeight="1" x14ac:dyDescent="0.35">
      <c r="B139" s="184"/>
    </row>
    <row r="140" spans="2:2" ht="20" customHeight="1" x14ac:dyDescent="0.35">
      <c r="B140" s="184"/>
    </row>
    <row r="141" spans="2:2" ht="20" customHeight="1" x14ac:dyDescent="0.35">
      <c r="B141" s="184"/>
    </row>
    <row r="142" spans="2:2" ht="20" customHeight="1" x14ac:dyDescent="0.35">
      <c r="B142" s="184"/>
    </row>
    <row r="143" spans="2:2" ht="20" customHeight="1" x14ac:dyDescent="0.35">
      <c r="B143" s="184"/>
    </row>
    <row r="144" spans="2:2" ht="20" customHeight="1" x14ac:dyDescent="0.35">
      <c r="B144" s="184"/>
    </row>
    <row r="145" spans="2:2" ht="20" customHeight="1" x14ac:dyDescent="0.35">
      <c r="B145" s="184"/>
    </row>
    <row r="146" spans="2:2" ht="20" customHeight="1" x14ac:dyDescent="0.35">
      <c r="B146" s="184"/>
    </row>
    <row r="147" spans="2:2" ht="20" customHeight="1" x14ac:dyDescent="0.35">
      <c r="B147" s="184"/>
    </row>
    <row r="148" spans="2:2" ht="20" customHeight="1" x14ac:dyDescent="0.35">
      <c r="B148" s="184"/>
    </row>
    <row r="149" spans="2:2" ht="20" customHeight="1" x14ac:dyDescent="0.35">
      <c r="B149" s="184"/>
    </row>
    <row r="150" spans="2:2" ht="20" customHeight="1" x14ac:dyDescent="0.35">
      <c r="B150" s="184"/>
    </row>
    <row r="151" spans="2:2" ht="20" customHeight="1" x14ac:dyDescent="0.35">
      <c r="B151" s="184"/>
    </row>
    <row r="152" spans="2:2" ht="20" customHeight="1" x14ac:dyDescent="0.35">
      <c r="B152" s="184"/>
    </row>
    <row r="153" spans="2:2" ht="20" customHeight="1" x14ac:dyDescent="0.35">
      <c r="B153" s="184"/>
    </row>
    <row r="154" spans="2:2" ht="20" customHeight="1" x14ac:dyDescent="0.35">
      <c r="B154" s="184"/>
    </row>
    <row r="155" spans="2:2" ht="20" customHeight="1" x14ac:dyDescent="0.35">
      <c r="B155" s="184"/>
    </row>
    <row r="156" spans="2:2" ht="20" customHeight="1" x14ac:dyDescent="0.35">
      <c r="B156" s="184"/>
    </row>
    <row r="157" spans="2:2" ht="20" customHeight="1" x14ac:dyDescent="0.35">
      <c r="B157" s="184"/>
    </row>
    <row r="158" spans="2:2" ht="20" customHeight="1" x14ac:dyDescent="0.35">
      <c r="B158" s="184"/>
    </row>
    <row r="159" spans="2:2" ht="20" customHeight="1" x14ac:dyDescent="0.35">
      <c r="B159" s="184"/>
    </row>
    <row r="160" spans="2:2" ht="20" customHeight="1" x14ac:dyDescent="0.35">
      <c r="B160" s="184"/>
    </row>
    <row r="161" spans="2:2" ht="20" customHeight="1" x14ac:dyDescent="0.35">
      <c r="B161" s="184"/>
    </row>
    <row r="162" spans="2:2" ht="20" customHeight="1" x14ac:dyDescent="0.35">
      <c r="B162" s="184"/>
    </row>
    <row r="163" spans="2:2" ht="20" customHeight="1" x14ac:dyDescent="0.35">
      <c r="B163" s="184"/>
    </row>
    <row r="164" spans="2:2" ht="20" customHeight="1" x14ac:dyDescent="0.35">
      <c r="B164" s="184"/>
    </row>
    <row r="165" spans="2:2" ht="20" customHeight="1" x14ac:dyDescent="0.35">
      <c r="B165" s="184"/>
    </row>
    <row r="166" spans="2:2" ht="20" customHeight="1" x14ac:dyDescent="0.35">
      <c r="B166" s="184"/>
    </row>
    <row r="167" spans="2:2" ht="20" customHeight="1" x14ac:dyDescent="0.35">
      <c r="B167" s="184"/>
    </row>
    <row r="168" spans="2:2" ht="20" customHeight="1" x14ac:dyDescent="0.35">
      <c r="B168" s="184"/>
    </row>
    <row r="169" spans="2:2" ht="20" customHeight="1" x14ac:dyDescent="0.35">
      <c r="B169" s="184"/>
    </row>
    <row r="170" spans="2:2" ht="20" customHeight="1" x14ac:dyDescent="0.35">
      <c r="B170" s="184"/>
    </row>
    <row r="171" spans="2:2" ht="20" customHeight="1" x14ac:dyDescent="0.35">
      <c r="B171" s="184"/>
    </row>
    <row r="172" spans="2:2" ht="20" customHeight="1" x14ac:dyDescent="0.35">
      <c r="B172" s="184"/>
    </row>
    <row r="173" spans="2:2" ht="20" customHeight="1" x14ac:dyDescent="0.35">
      <c r="B173" s="184"/>
    </row>
    <row r="174" spans="2:2" ht="20" customHeight="1" x14ac:dyDescent="0.35">
      <c r="B174" s="184"/>
    </row>
    <row r="175" spans="2:2" ht="20" customHeight="1" x14ac:dyDescent="0.35">
      <c r="B175" s="184"/>
    </row>
    <row r="176" spans="2:2" ht="20" customHeight="1" x14ac:dyDescent="0.35">
      <c r="B176" s="184"/>
    </row>
    <row r="177" spans="2:2" ht="20" customHeight="1" x14ac:dyDescent="0.35">
      <c r="B177" s="184"/>
    </row>
    <row r="178" spans="2:2" ht="20" customHeight="1" x14ac:dyDescent="0.35">
      <c r="B178" s="184"/>
    </row>
    <row r="179" spans="2:2" ht="20" customHeight="1" x14ac:dyDescent="0.35">
      <c r="B179" s="184"/>
    </row>
    <row r="180" spans="2:2" ht="20" customHeight="1" x14ac:dyDescent="0.35">
      <c r="B180" s="184"/>
    </row>
    <row r="181" spans="2:2" ht="20" customHeight="1" x14ac:dyDescent="0.35">
      <c r="B181" s="184"/>
    </row>
    <row r="182" spans="2:2" ht="20" customHeight="1" x14ac:dyDescent="0.35">
      <c r="B182" s="184"/>
    </row>
    <row r="183" spans="2:2" ht="20" customHeight="1" x14ac:dyDescent="0.35">
      <c r="B183" s="184"/>
    </row>
    <row r="184" spans="2:2" ht="20" customHeight="1" x14ac:dyDescent="0.35">
      <c r="B184" s="184"/>
    </row>
    <row r="185" spans="2:2" ht="20" customHeight="1" x14ac:dyDescent="0.35">
      <c r="B185" s="184"/>
    </row>
    <row r="186" spans="2:2" ht="20" customHeight="1" x14ac:dyDescent="0.35">
      <c r="B186" s="184"/>
    </row>
    <row r="187" spans="2:2" ht="20" customHeight="1" x14ac:dyDescent="0.35">
      <c r="B187" s="184"/>
    </row>
    <row r="188" spans="2:2" ht="20" customHeight="1" x14ac:dyDescent="0.35">
      <c r="B188" s="184"/>
    </row>
    <row r="189" spans="2:2" ht="20" customHeight="1" x14ac:dyDescent="0.35">
      <c r="B189" s="184"/>
    </row>
    <row r="190" spans="2:2" ht="20" customHeight="1" x14ac:dyDescent="0.35">
      <c r="B190" s="184"/>
    </row>
    <row r="191" spans="2:2" ht="20" customHeight="1" x14ac:dyDescent="0.35">
      <c r="B191" s="184"/>
    </row>
    <row r="192" spans="2:2" ht="20" customHeight="1" x14ac:dyDescent="0.35">
      <c r="B192" s="184"/>
    </row>
    <row r="193" spans="2:2" ht="20" customHeight="1" x14ac:dyDescent="0.35">
      <c r="B193" s="184"/>
    </row>
    <row r="194" spans="2:2" ht="20" customHeight="1" x14ac:dyDescent="0.35">
      <c r="B194" s="184"/>
    </row>
    <row r="195" spans="2:2" ht="20" customHeight="1" x14ac:dyDescent="0.35">
      <c r="B195" s="184"/>
    </row>
    <row r="196" spans="2:2" ht="20" customHeight="1" x14ac:dyDescent="0.35">
      <c r="B196" s="184"/>
    </row>
    <row r="197" spans="2:2" ht="20" customHeight="1" x14ac:dyDescent="0.35">
      <c r="B197" s="184"/>
    </row>
    <row r="198" spans="2:2" ht="20" customHeight="1" x14ac:dyDescent="0.35">
      <c r="B198" s="184"/>
    </row>
    <row r="199" spans="2:2" ht="20" customHeight="1" x14ac:dyDescent="0.35">
      <c r="B199" s="184"/>
    </row>
    <row r="200" spans="2:2" ht="20" customHeight="1" x14ac:dyDescent="0.35">
      <c r="B200" s="184"/>
    </row>
    <row r="201" spans="2:2" ht="20" customHeight="1" x14ac:dyDescent="0.35">
      <c r="B201" s="184"/>
    </row>
    <row r="202" spans="2:2" ht="20" customHeight="1" x14ac:dyDescent="0.35">
      <c r="B202" s="184"/>
    </row>
    <row r="203" spans="2:2" ht="20" customHeight="1" x14ac:dyDescent="0.35">
      <c r="B203" s="184"/>
    </row>
    <row r="204" spans="2:2" ht="20" customHeight="1" x14ac:dyDescent="0.35">
      <c r="B204" s="184"/>
    </row>
    <row r="205" spans="2:2" ht="20" customHeight="1" x14ac:dyDescent="0.35">
      <c r="B205" s="184"/>
    </row>
    <row r="206" spans="2:2" ht="20" customHeight="1" x14ac:dyDescent="0.35">
      <c r="B206" s="184"/>
    </row>
    <row r="207" spans="2:2" ht="20" customHeight="1" x14ac:dyDescent="0.35">
      <c r="B207" s="184"/>
    </row>
    <row r="208" spans="2:2" ht="20" customHeight="1" x14ac:dyDescent="0.35">
      <c r="B208" s="184"/>
    </row>
    <row r="209" spans="2:2" ht="20" customHeight="1" x14ac:dyDescent="0.35">
      <c r="B209" s="184"/>
    </row>
    <row r="210" spans="2:2" ht="20" customHeight="1" x14ac:dyDescent="0.35">
      <c r="B210" s="184"/>
    </row>
    <row r="211" spans="2:2" ht="20" customHeight="1" x14ac:dyDescent="0.35">
      <c r="B211" s="184"/>
    </row>
    <row r="212" spans="2:2" ht="20" customHeight="1" x14ac:dyDescent="0.35">
      <c r="B212" s="184"/>
    </row>
    <row r="213" spans="2:2" ht="20" customHeight="1" x14ac:dyDescent="0.35">
      <c r="B213" s="184"/>
    </row>
    <row r="214" spans="2:2" ht="20" customHeight="1" x14ac:dyDescent="0.35">
      <c r="B214" s="184"/>
    </row>
    <row r="215" spans="2:2" ht="20" customHeight="1" x14ac:dyDescent="0.35">
      <c r="B215" s="184"/>
    </row>
    <row r="216" spans="2:2" ht="20" customHeight="1" x14ac:dyDescent="0.35">
      <c r="B216" s="184"/>
    </row>
    <row r="217" spans="2:2" ht="20" customHeight="1" x14ac:dyDescent="0.35">
      <c r="B217" s="184"/>
    </row>
    <row r="218" spans="2:2" ht="20" customHeight="1" x14ac:dyDescent="0.35">
      <c r="B218" s="184"/>
    </row>
    <row r="219" spans="2:2" ht="20" customHeight="1" x14ac:dyDescent="0.35">
      <c r="B219" s="184"/>
    </row>
    <row r="220" spans="2:2" ht="20" customHeight="1" x14ac:dyDescent="0.35">
      <c r="B220" s="184"/>
    </row>
    <row r="221" spans="2:2" ht="20" customHeight="1" x14ac:dyDescent="0.35">
      <c r="B221" s="184"/>
    </row>
    <row r="222" spans="2:2" ht="20" customHeight="1" x14ac:dyDescent="0.35">
      <c r="B222" s="184"/>
    </row>
    <row r="223" spans="2:2" ht="20" customHeight="1" x14ac:dyDescent="0.35">
      <c r="B223" s="184"/>
    </row>
    <row r="224" spans="2:2" ht="20" customHeight="1" x14ac:dyDescent="0.35">
      <c r="B224" s="184"/>
    </row>
    <row r="225" spans="2:2" ht="20" customHeight="1" x14ac:dyDescent="0.35">
      <c r="B225" s="184"/>
    </row>
    <row r="226" spans="2:2" ht="20" customHeight="1" x14ac:dyDescent="0.35">
      <c r="B226" s="184"/>
    </row>
  </sheetData>
  <mergeCells count="4">
    <mergeCell ref="B47:I47"/>
    <mergeCell ref="B48:B55"/>
    <mergeCell ref="B35:I35"/>
    <mergeCell ref="C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84C7-02E3-482A-98BF-7F1E1570CF38}">
  <dimension ref="B2:P39"/>
  <sheetViews>
    <sheetView showGridLines="0" workbookViewId="0">
      <selection activeCell="B4" sqref="B4"/>
    </sheetView>
  </sheetViews>
  <sheetFormatPr defaultRowHeight="14.5" x14ac:dyDescent="0.35"/>
  <cols>
    <col min="1" max="1" width="1.81640625" customWidth="1"/>
    <col min="2" max="2" width="19.1796875" customWidth="1"/>
    <col min="3" max="3" width="12.90625" bestFit="1" customWidth="1"/>
    <col min="4" max="4" width="11.26953125" customWidth="1"/>
    <col min="5" max="5" width="12.90625" customWidth="1"/>
    <col min="6" max="6" width="10.36328125" customWidth="1"/>
    <col min="7" max="7" width="11.81640625" customWidth="1"/>
    <col min="8" max="8" width="12.453125" customWidth="1"/>
    <col min="9" max="9" width="2.6328125" customWidth="1"/>
    <col min="10" max="10" width="14" customWidth="1"/>
    <col min="11" max="11" width="12.08984375" customWidth="1"/>
    <col min="12" max="12" width="12.6328125" customWidth="1"/>
    <col min="13" max="13" width="2.6328125" customWidth="1"/>
    <col min="14" max="14" width="9.7265625" customWidth="1"/>
    <col min="15" max="15" width="10.1796875" customWidth="1"/>
    <col min="16" max="16" width="10" customWidth="1"/>
  </cols>
  <sheetData>
    <row r="2" spans="2:16" x14ac:dyDescent="0.35">
      <c r="B2" s="42" t="s">
        <v>354</v>
      </c>
      <c r="C2" s="203"/>
    </row>
    <row r="3" spans="2:16" ht="15.5" x14ac:dyDescent="0.35">
      <c r="B3" s="204" t="str">
        <f>"Comparable Company Valuation for " &amp; 'Data Sheet'!B1</f>
        <v>Comparable Company Valuation for ASIAN PAINTS LTD</v>
      </c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</row>
    <row r="5" spans="2:16" x14ac:dyDescent="0.35">
      <c r="B5" s="100"/>
      <c r="C5" s="206" t="s">
        <v>355</v>
      </c>
      <c r="D5" s="206"/>
      <c r="E5" s="206"/>
      <c r="F5" s="206"/>
      <c r="G5" s="206"/>
      <c r="H5" s="206"/>
      <c r="I5" s="207"/>
      <c r="J5" s="206" t="s">
        <v>356</v>
      </c>
      <c r="K5" s="206"/>
      <c r="L5" s="206"/>
      <c r="M5" s="207"/>
      <c r="N5" s="206" t="s">
        <v>357</v>
      </c>
      <c r="O5" s="206"/>
      <c r="P5" s="206"/>
    </row>
    <row r="6" spans="2:16" ht="29" x14ac:dyDescent="0.35">
      <c r="B6" s="208" t="s">
        <v>358</v>
      </c>
      <c r="C6" s="207" t="s">
        <v>359</v>
      </c>
      <c r="D6" s="207" t="s">
        <v>360</v>
      </c>
      <c r="E6" s="207" t="s">
        <v>361</v>
      </c>
      <c r="F6" s="207" t="s">
        <v>343</v>
      </c>
      <c r="G6" s="207" t="s">
        <v>362</v>
      </c>
      <c r="H6" s="207" t="s">
        <v>340</v>
      </c>
      <c r="I6" s="207"/>
      <c r="J6" s="207" t="s">
        <v>363</v>
      </c>
      <c r="K6" s="207" t="s">
        <v>61</v>
      </c>
      <c r="L6" s="207" t="s">
        <v>66</v>
      </c>
      <c r="M6" s="207"/>
      <c r="N6" s="207" t="s">
        <v>364</v>
      </c>
      <c r="O6" s="207" t="s">
        <v>365</v>
      </c>
      <c r="P6" s="209" t="s">
        <v>366</v>
      </c>
    </row>
    <row r="7" spans="2:16" x14ac:dyDescent="0.35">
      <c r="B7" s="210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2"/>
      <c r="O7" s="212"/>
      <c r="P7" s="212"/>
    </row>
    <row r="8" spans="2:16" x14ac:dyDescent="0.35">
      <c r="B8" s="45" t="str">
        <f>'COMPS_VAL RAW DATABASE'!C3</f>
        <v>Asian Paints</v>
      </c>
      <c r="C8" s="213" t="s">
        <v>377</v>
      </c>
      <c r="D8" s="214">
        <f>'COMPS_VAL RAW DATABASE'!D3</f>
        <v>2808.55</v>
      </c>
      <c r="E8" s="215">
        <f>'COMPS_VAL RAW DATABASE'!E3</f>
        <v>95.92</v>
      </c>
      <c r="F8" s="214">
        <f>'COMPS_VAL RAW DATABASE'!L3</f>
        <v>269395.5</v>
      </c>
      <c r="G8" s="214">
        <f>-'COMPS_VAL RAW DATABASE'!F3</f>
        <v>-2326.77</v>
      </c>
      <c r="H8" s="214">
        <f>F8+G8</f>
        <v>267068.73</v>
      </c>
      <c r="I8" s="213"/>
      <c r="J8" s="214">
        <f>'COMPS_VAL RAW DATABASE'!H3</f>
        <v>35551.31</v>
      </c>
      <c r="K8" s="214">
        <f>'COMPS_VAL RAW DATABASE'!I3+'COMPS_VAL RAW DATABASE'!J3</f>
        <v>8495.73</v>
      </c>
      <c r="L8" s="214">
        <f>'COMPS_VAL RAW DATABASE'!K3</f>
        <v>5540.8</v>
      </c>
      <c r="M8" s="213"/>
      <c r="N8" s="216">
        <f>$H8/K8</f>
        <v>31.435642375640469</v>
      </c>
      <c r="O8" s="216">
        <f>$H8/L8</f>
        <v>48.200391640196358</v>
      </c>
      <c r="P8" s="216">
        <f>F8/L8</f>
        <v>48.620325584753104</v>
      </c>
    </row>
    <row r="9" spans="2:16" x14ac:dyDescent="0.35">
      <c r="B9" s="27" t="str">
        <f>'COMPS_VAL RAW DATABASE'!C4</f>
        <v>Berger Paints</v>
      </c>
      <c r="C9" s="26" t="s">
        <v>378</v>
      </c>
      <c r="D9" s="217">
        <f>'COMPS_VAL RAW DATABASE'!D4</f>
        <v>504.55</v>
      </c>
      <c r="E9" s="218">
        <f>'COMPS_VAL RAW DATABASE'!E4</f>
        <v>116.58</v>
      </c>
      <c r="F9" s="217">
        <f>'COMPS_VAL RAW DATABASE'!L4</f>
        <v>58820.24</v>
      </c>
      <c r="G9" s="217">
        <f>-'COMPS_VAL RAW DATABASE'!F4</f>
        <v>-1154.17</v>
      </c>
      <c r="H9" s="217">
        <f t="shared" ref="H9:H11" si="0">F9+G9</f>
        <v>57666.07</v>
      </c>
      <c r="I9" s="26"/>
      <c r="J9" s="217">
        <f>'COMPS_VAL RAW DATABASE'!H4</f>
        <v>11122.27</v>
      </c>
      <c r="K9" s="217">
        <f>'COMPS_VAL RAW DATABASE'!I4+'COMPS_VAL RAW DATABASE'!J4</f>
        <v>1928.88</v>
      </c>
      <c r="L9" s="217">
        <f>'COMPS_VAL RAW DATABASE'!K4</f>
        <v>1133.21</v>
      </c>
      <c r="M9" s="26"/>
      <c r="N9" s="219">
        <f t="shared" ref="N9:O11" si="1">$H9/K9</f>
        <v>29.896141802496786</v>
      </c>
      <c r="O9" s="219">
        <f t="shared" si="1"/>
        <v>50.887364213164375</v>
      </c>
      <c r="P9" s="219">
        <f t="shared" ref="P9:P11" si="2">F9/L9</f>
        <v>51.905860343625626</v>
      </c>
    </row>
    <row r="10" spans="2:16" x14ac:dyDescent="0.35">
      <c r="B10" s="27" t="str">
        <f>'COMPS_VAL RAW DATABASE'!C5</f>
        <v>Kansai Nerolac</v>
      </c>
      <c r="C10" s="26" t="s">
        <v>379</v>
      </c>
      <c r="D10" s="217">
        <f>'COMPS_VAL RAW DATABASE'!D5</f>
        <v>273.35000000000002</v>
      </c>
      <c r="E10" s="218">
        <f>'COMPS_VAL RAW DATABASE'!E5</f>
        <v>80.84</v>
      </c>
      <c r="F10" s="217">
        <f>'COMPS_VAL RAW DATABASE'!L5</f>
        <v>22097.06</v>
      </c>
      <c r="G10" s="217">
        <f>-'COMPS_VAL RAW DATABASE'!F5</f>
        <v>-323.27</v>
      </c>
      <c r="H10" s="217">
        <f t="shared" si="0"/>
        <v>21773.79</v>
      </c>
      <c r="I10" s="26"/>
      <c r="J10" s="217">
        <f>'COMPS_VAL RAW DATABASE'!H5</f>
        <v>7765.64</v>
      </c>
      <c r="K10" s="217">
        <f>'COMPS_VAL RAW DATABASE'!I5+'COMPS_VAL RAW DATABASE'!J5</f>
        <v>1085.9100000000001</v>
      </c>
      <c r="L10" s="217">
        <f>'COMPS_VAL RAW DATABASE'!K5</f>
        <v>1157.81</v>
      </c>
      <c r="M10" s="26"/>
      <c r="N10" s="219">
        <f t="shared" si="1"/>
        <v>20.051192087742077</v>
      </c>
      <c r="O10" s="219">
        <f t="shared" si="1"/>
        <v>18.806013076411503</v>
      </c>
      <c r="P10" s="219">
        <f t="shared" si="2"/>
        <v>19.085221236645047</v>
      </c>
    </row>
    <row r="11" spans="2:16" x14ac:dyDescent="0.35">
      <c r="B11" s="220" t="str">
        <f>'COMPS_VAL RAW DATABASE'!C6</f>
        <v>Akzo Nobel</v>
      </c>
      <c r="C11" s="221" t="s">
        <v>380</v>
      </c>
      <c r="D11" s="222">
        <f>'COMPS_VAL RAW DATABASE'!D6</f>
        <v>2406.25</v>
      </c>
      <c r="E11" s="223">
        <f>'COMPS_VAL RAW DATABASE'!E6</f>
        <v>4.55</v>
      </c>
      <c r="F11" s="222">
        <f>'COMPS_VAL RAW DATABASE'!L6</f>
        <v>10958.14</v>
      </c>
      <c r="G11" s="222">
        <f>-'COMPS_VAL RAW DATABASE'!F6</f>
        <v>-62.8</v>
      </c>
      <c r="H11" s="222">
        <f t="shared" si="0"/>
        <v>10895.34</v>
      </c>
      <c r="I11" s="221"/>
      <c r="J11" s="222">
        <f>'COMPS_VAL RAW DATABASE'!H6</f>
        <v>3939.6</v>
      </c>
      <c r="K11" s="222">
        <f>'COMPS_VAL RAW DATABASE'!I6+'COMPS_VAL RAW DATABASE'!J6</f>
        <v>656.6</v>
      </c>
      <c r="L11" s="222">
        <f>'COMPS_VAL RAW DATABASE'!K6</f>
        <v>413.3</v>
      </c>
      <c r="M11" s="221"/>
      <c r="N11" s="224">
        <f t="shared" si="1"/>
        <v>16.593572951568685</v>
      </c>
      <c r="O11" s="224">
        <f t="shared" si="1"/>
        <v>26.361819501572707</v>
      </c>
      <c r="P11" s="224">
        <f t="shared" si="2"/>
        <v>26.51376723929349</v>
      </c>
    </row>
    <row r="12" spans="2:16" ht="6" customHeight="1" x14ac:dyDescent="0.35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2:16" x14ac:dyDescent="0.35">
      <c r="B13" s="225" t="s">
        <v>367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7">
        <f>MAX(N8:N11)</f>
        <v>31.435642375640469</v>
      </c>
      <c r="O13" s="227">
        <f>MAX(O8:O11)</f>
        <v>50.887364213164375</v>
      </c>
      <c r="P13" s="227">
        <f>MAX(P8:P11)</f>
        <v>51.905860343625626</v>
      </c>
    </row>
    <row r="14" spans="2:16" x14ac:dyDescent="0.35">
      <c r="B14" s="225" t="s">
        <v>368</v>
      </c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7">
        <f>QUARTILE(N8:N11,3)</f>
        <v>30.281016945782707</v>
      </c>
      <c r="O14" s="227">
        <f>QUARTILE(O8:O11,3)</f>
        <v>48.872134783438362</v>
      </c>
      <c r="P14" s="227">
        <f>QUARTILE(P8:P11,3)</f>
        <v>49.441709274471236</v>
      </c>
    </row>
    <row r="15" spans="2:16" x14ac:dyDescent="0.35">
      <c r="B15" s="228" t="s">
        <v>142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30">
        <f>AVERAGE(N8:N11)</f>
        <v>24.494137304362006</v>
      </c>
      <c r="O15" s="230">
        <f>AVERAGE(O8:O11)</f>
        <v>36.063897107836233</v>
      </c>
      <c r="P15" s="230">
        <f>AVERAGE(P8:P11)</f>
        <v>36.531293601079319</v>
      </c>
    </row>
    <row r="16" spans="2:16" x14ac:dyDescent="0.35">
      <c r="B16" s="228" t="s">
        <v>143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30">
        <f>MEDIAN(N8:N11)</f>
        <v>24.973666945119433</v>
      </c>
      <c r="O16" s="230">
        <f>MEDIAN(O8:O11)</f>
        <v>37.281105570884534</v>
      </c>
      <c r="P16" s="230">
        <f>MEDIAN(P8:P11)</f>
        <v>37.567046412023295</v>
      </c>
    </row>
    <row r="17" spans="2:16" x14ac:dyDescent="0.35">
      <c r="B17" s="225" t="s">
        <v>369</v>
      </c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7">
        <f>QUARTILE(N8:N11,1)</f>
        <v>19.186787303698729</v>
      </c>
      <c r="O17" s="227">
        <f>QUARTILE(O8:O11,1)</f>
        <v>24.472867895282405</v>
      </c>
      <c r="P17" s="227">
        <f>QUARTILE(P8:P11,1)</f>
        <v>24.656630738631378</v>
      </c>
    </row>
    <row r="18" spans="2:16" x14ac:dyDescent="0.35">
      <c r="B18" s="225" t="s">
        <v>370</v>
      </c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7">
        <f>MIN(N8:N11)</f>
        <v>16.593572951568685</v>
      </c>
      <c r="O18" s="227">
        <f>MIN(O8:O11)</f>
        <v>18.806013076411503</v>
      </c>
      <c r="P18" s="227">
        <f>MIN(P8:P11)</f>
        <v>19.085221236645047</v>
      </c>
    </row>
    <row r="19" spans="2:16" x14ac:dyDescent="0.35"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2:16" ht="29" x14ac:dyDescent="0.35">
      <c r="B20" s="100"/>
      <c r="C20" s="231" t="str">
        <f>B8 &amp; " Comparable Valuation"</f>
        <v>Asian Paints Comparable Valuation</v>
      </c>
      <c r="D20" s="231"/>
      <c r="E20" s="231"/>
      <c r="F20" s="231"/>
      <c r="G20" s="231"/>
      <c r="H20" s="231"/>
      <c r="I20" s="207"/>
      <c r="J20" s="100"/>
      <c r="K20" s="100"/>
      <c r="L20" s="100"/>
      <c r="M20" s="207"/>
      <c r="N20" s="207" t="s">
        <v>364</v>
      </c>
      <c r="O20" s="207" t="s">
        <v>365</v>
      </c>
      <c r="P20" s="209" t="s">
        <v>371</v>
      </c>
    </row>
    <row r="21" spans="2:16" ht="6" customHeight="1" x14ac:dyDescent="0.35">
      <c r="B21" s="2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2:16" x14ac:dyDescent="0.35">
      <c r="B22" s="44" t="s">
        <v>372</v>
      </c>
      <c r="C22" s="59"/>
      <c r="D22" s="59"/>
      <c r="E22" s="59"/>
      <c r="F22" s="59"/>
      <c r="G22" s="59"/>
      <c r="H22" s="59"/>
      <c r="I22" s="59"/>
      <c r="J22" s="59"/>
      <c r="K22" s="59"/>
      <c r="L22" s="59" t="s">
        <v>143</v>
      </c>
      <c r="M22" s="59"/>
      <c r="N22" s="232">
        <f>N16*$K$8</f>
        <v>212169.53147565952</v>
      </c>
      <c r="O22" s="232">
        <f>O16*$K$8</f>
        <v>316730.20703173085</v>
      </c>
      <c r="P22" s="232">
        <f>P26+$P$25</f>
        <v>205824.7207597387</v>
      </c>
    </row>
    <row r="23" spans="2:16" x14ac:dyDescent="0.35">
      <c r="B23" s="27"/>
      <c r="C23" s="26"/>
      <c r="D23" s="26"/>
      <c r="E23" s="26"/>
      <c r="F23" s="26"/>
      <c r="G23" s="26"/>
      <c r="H23" s="26"/>
      <c r="I23" s="26"/>
      <c r="J23" s="26"/>
      <c r="K23" s="26"/>
      <c r="L23" s="26" t="s">
        <v>369</v>
      </c>
      <c r="M23" s="26"/>
      <c r="N23" s="217">
        <f>N17*$K$8</f>
        <v>163005.7644996524</v>
      </c>
      <c r="O23" s="217">
        <f>O17*$K$8</f>
        <v>207914.87796398759</v>
      </c>
      <c r="P23" s="217">
        <f>P27+$P$25</f>
        <v>134290.68959660875</v>
      </c>
    </row>
    <row r="24" spans="2:16" x14ac:dyDescent="0.35">
      <c r="B24" s="210"/>
      <c r="C24" s="211"/>
      <c r="D24" s="211"/>
      <c r="E24" s="211"/>
      <c r="F24" s="211"/>
      <c r="G24" s="211"/>
      <c r="H24" s="211"/>
      <c r="I24" s="211"/>
      <c r="J24" s="211"/>
      <c r="K24" s="211"/>
      <c r="L24" s="233"/>
      <c r="M24" s="211"/>
      <c r="N24" s="212"/>
      <c r="O24" s="212"/>
      <c r="P24" s="212"/>
    </row>
    <row r="25" spans="2:16" x14ac:dyDescent="0.35">
      <c r="B25" s="50" t="s">
        <v>362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234">
        <f>$G$8</f>
        <v>-2326.77</v>
      </c>
      <c r="O25" s="234">
        <f t="shared" ref="O25:P25" si="3">$G$8</f>
        <v>-2326.77</v>
      </c>
      <c r="P25" s="234">
        <f t="shared" si="3"/>
        <v>-2326.77</v>
      </c>
    </row>
    <row r="26" spans="2:16" x14ac:dyDescent="0.35">
      <c r="B26" s="27" t="s">
        <v>373</v>
      </c>
      <c r="C26" s="26"/>
      <c r="D26" s="26"/>
      <c r="E26" s="26"/>
      <c r="F26" s="26"/>
      <c r="G26" s="26"/>
      <c r="H26" s="26"/>
      <c r="I26" s="26"/>
      <c r="J26" s="26"/>
      <c r="K26" s="26"/>
      <c r="L26" s="26" t="s">
        <v>143</v>
      </c>
      <c r="M26" s="26"/>
      <c r="N26" s="217">
        <f>N22-N$25</f>
        <v>214496.30147565951</v>
      </c>
      <c r="O26" s="217">
        <f>O22-O$25</f>
        <v>319056.97703173087</v>
      </c>
      <c r="P26" s="217">
        <f>P16*$L$8</f>
        <v>208151.49075973869</v>
      </c>
    </row>
    <row r="27" spans="2:16" x14ac:dyDescent="0.35">
      <c r="B27" s="27"/>
      <c r="C27" s="26"/>
      <c r="D27" s="26"/>
      <c r="E27" s="26"/>
      <c r="F27" s="26"/>
      <c r="G27" s="26"/>
      <c r="H27" s="26"/>
      <c r="I27" s="26"/>
      <c r="J27" s="26"/>
      <c r="K27" s="26"/>
      <c r="L27" s="26" t="s">
        <v>369</v>
      </c>
      <c r="M27" s="26"/>
      <c r="N27" s="217">
        <f>N23-N$25</f>
        <v>165332.53449965239</v>
      </c>
      <c r="O27" s="217">
        <f>O23-O$25</f>
        <v>210241.64796398758</v>
      </c>
      <c r="P27" s="217">
        <f>P17*$L$8</f>
        <v>136617.45959660874</v>
      </c>
    </row>
    <row r="28" spans="2:16" x14ac:dyDescent="0.35">
      <c r="B28" s="210"/>
      <c r="C28" s="211"/>
      <c r="D28" s="211"/>
      <c r="E28" s="211"/>
      <c r="F28" s="211"/>
      <c r="G28" s="211"/>
      <c r="H28" s="211"/>
      <c r="I28" s="211"/>
      <c r="J28" s="211"/>
      <c r="K28" s="211"/>
      <c r="L28" s="233"/>
      <c r="M28" s="211"/>
      <c r="N28" s="212"/>
      <c r="O28" s="212"/>
      <c r="P28" s="212"/>
    </row>
    <row r="29" spans="2:16" x14ac:dyDescent="0.35">
      <c r="B29" s="50" t="s">
        <v>374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235">
        <f>$E$8</f>
        <v>95.92</v>
      </c>
      <c r="O29" s="235">
        <f t="shared" ref="O29:P29" si="4">$E$8</f>
        <v>95.92</v>
      </c>
      <c r="P29" s="235">
        <f t="shared" si="4"/>
        <v>95.92</v>
      </c>
    </row>
    <row r="30" spans="2:16" x14ac:dyDescent="0.35">
      <c r="B30" s="236" t="s">
        <v>375</v>
      </c>
      <c r="C30" s="237"/>
      <c r="D30" s="237"/>
      <c r="E30" s="237"/>
      <c r="F30" s="237"/>
      <c r="G30" s="237"/>
      <c r="H30" s="237"/>
      <c r="I30" s="237"/>
      <c r="J30" s="237"/>
      <c r="K30" s="237"/>
      <c r="L30" s="237" t="s">
        <v>143</v>
      </c>
      <c r="M30" s="237"/>
      <c r="N30" s="238">
        <f t="shared" ref="N30:P31" si="5">N26/N$29</f>
        <v>2236.1999736828557</v>
      </c>
      <c r="O30" s="238">
        <f t="shared" si="5"/>
        <v>3326.2820791464851</v>
      </c>
      <c r="P30" s="238">
        <f t="shared" si="5"/>
        <v>2170.053072974757</v>
      </c>
    </row>
    <row r="31" spans="2:16" x14ac:dyDescent="0.35">
      <c r="B31" s="239"/>
      <c r="C31" s="240"/>
      <c r="D31" s="240"/>
      <c r="E31" s="240"/>
      <c r="F31" s="240"/>
      <c r="G31" s="240"/>
      <c r="H31" s="240"/>
      <c r="I31" s="240"/>
      <c r="J31" s="240"/>
      <c r="K31" s="240"/>
      <c r="L31" s="240" t="s">
        <v>369</v>
      </c>
      <c r="M31" s="240"/>
      <c r="N31" s="241">
        <f t="shared" si="5"/>
        <v>1723.6502762682692</v>
      </c>
      <c r="O31" s="241">
        <f t="shared" si="5"/>
        <v>2191.8437027104628</v>
      </c>
      <c r="P31" s="241">
        <f t="shared" si="5"/>
        <v>1424.285441999674</v>
      </c>
    </row>
    <row r="32" spans="2:16" ht="6" customHeight="1" x14ac:dyDescent="0.35">
      <c r="B32" s="2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2:16" x14ac:dyDescent="0.35">
      <c r="B33" s="242" t="s">
        <v>376</v>
      </c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4" t="str">
        <f>IF(N30&gt;$D$8,"Under valued","Over valued")</f>
        <v>Over valued</v>
      </c>
      <c r="O33" s="244" t="str">
        <f t="shared" ref="O33:P33" si="6">IF(O30&gt;$D$8,"Under valued","Over valued")</f>
        <v>Under valued</v>
      </c>
      <c r="P33" s="244" t="str">
        <f t="shared" si="6"/>
        <v>Over valued</v>
      </c>
    </row>
    <row r="34" spans="2:16" x14ac:dyDescent="0.35">
      <c r="B34" s="2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 x14ac:dyDescent="0.35"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2:16" x14ac:dyDescent="0.35"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2:16" x14ac:dyDescent="0.35"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2:16" x14ac:dyDescent="0.35"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 x14ac:dyDescent="0.3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</sheetData>
  <mergeCells count="4">
    <mergeCell ref="C5:H5"/>
    <mergeCell ref="J5:L5"/>
    <mergeCell ref="N5:P5"/>
    <mergeCell ref="C20:H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12C3-22BA-4532-9A7F-4245449B3BFE}">
  <dimension ref="B2:Q12"/>
  <sheetViews>
    <sheetView showGridLines="0" tabSelected="1" workbookViewId="0">
      <selection activeCell="S20" sqref="S20"/>
    </sheetView>
  </sheetViews>
  <sheetFormatPr defaultRowHeight="14.5" x14ac:dyDescent="0.35"/>
  <cols>
    <col min="1" max="1" width="1.81640625" customWidth="1"/>
    <col min="11" max="11" width="2.6328125" customWidth="1"/>
    <col min="13" max="13" width="2.6328125" customWidth="1"/>
  </cols>
  <sheetData>
    <row r="2" spans="2:17" x14ac:dyDescent="0.35">
      <c r="B2" s="188" t="str">
        <f>" Football Field Analysis for "&amp;'Data Sheet'!B1</f>
        <v xml:space="preserve"> Football Field Analysis for ASIAN PAINTS LTD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2:17" ht="6" customHeight="1" x14ac:dyDescent="0.35"/>
    <row r="4" spans="2:17" x14ac:dyDescent="0.35">
      <c r="L4" s="251"/>
      <c r="M4" s="251"/>
      <c r="N4" s="252" t="s">
        <v>381</v>
      </c>
      <c r="O4" s="252" t="s">
        <v>370</v>
      </c>
      <c r="P4" s="252" t="s">
        <v>382</v>
      </c>
      <c r="Q4" s="252" t="s">
        <v>367</v>
      </c>
    </row>
    <row r="5" spans="2:17" x14ac:dyDescent="0.35">
      <c r="L5" s="86" t="s">
        <v>383</v>
      </c>
      <c r="M5" s="43"/>
      <c r="N5" s="247">
        <f>O5</f>
        <v>2170.053072974757</v>
      </c>
      <c r="O5" s="247">
        <v>2170.053072974757</v>
      </c>
      <c r="P5" s="247">
        <f>Q5</f>
        <v>3326.2820791464851</v>
      </c>
      <c r="Q5" s="247">
        <v>3326.2820791464851</v>
      </c>
    </row>
    <row r="6" spans="2:17" x14ac:dyDescent="0.35">
      <c r="L6" s="246" t="s">
        <v>387</v>
      </c>
      <c r="M6" s="245"/>
      <c r="N6" s="248">
        <f t="shared" ref="N6:N12" si="0">O6</f>
        <v>294.45535099473335</v>
      </c>
      <c r="O6" s="248">
        <f>'FCFF Valuation'!J20</f>
        <v>294.45535099473335</v>
      </c>
      <c r="P6" s="248">
        <f t="shared" ref="P6:P12" si="1">Q6</f>
        <v>422.76013800847551</v>
      </c>
      <c r="Q6" s="248">
        <f>'FCFF Valuation'!J26</f>
        <v>422.76013800847551</v>
      </c>
    </row>
    <row r="7" spans="2:17" x14ac:dyDescent="0.35">
      <c r="L7" s="246" t="s">
        <v>388</v>
      </c>
      <c r="M7" s="245"/>
      <c r="N7" s="248">
        <f t="shared" si="0"/>
        <v>342.76083151993441</v>
      </c>
      <c r="O7" s="248">
        <f>'FCFF Valuation'!$I$20</f>
        <v>342.76083151993441</v>
      </c>
      <c r="P7" s="248">
        <f t="shared" si="1"/>
        <v>562.94291569498216</v>
      </c>
      <c r="Q7" s="248">
        <f>'FCFF Valuation'!$I$26</f>
        <v>562.94291569498216</v>
      </c>
    </row>
    <row r="8" spans="2:17" x14ac:dyDescent="0.35">
      <c r="L8" s="246" t="s">
        <v>389</v>
      </c>
      <c r="M8" s="245"/>
      <c r="N8" s="248">
        <f t="shared" si="0"/>
        <v>413.363002970514</v>
      </c>
      <c r="O8" s="248">
        <f>'FCFF Valuation'!H20</f>
        <v>413.363002970514</v>
      </c>
      <c r="P8" s="248">
        <f t="shared" si="1"/>
        <v>852.41066772822944</v>
      </c>
      <c r="Q8" s="248">
        <f>'FCFF Valuation'!H26</f>
        <v>852.41066772822944</v>
      </c>
    </row>
    <row r="9" spans="2:17" x14ac:dyDescent="0.35">
      <c r="L9" s="246" t="s">
        <v>390</v>
      </c>
      <c r="M9" s="245"/>
      <c r="N9" s="248">
        <f t="shared" si="0"/>
        <v>877.69906302535094</v>
      </c>
      <c r="O9" s="248">
        <f>'DCF Valuation'!G49</f>
        <v>877.69906302535094</v>
      </c>
      <c r="P9" s="248">
        <f t="shared" si="1"/>
        <v>1339.5395532822965</v>
      </c>
      <c r="Q9" s="248">
        <f>'DCF Valuation'!G55</f>
        <v>1339.5395532822965</v>
      </c>
    </row>
    <row r="10" spans="2:17" x14ac:dyDescent="0.35">
      <c r="L10" s="246" t="s">
        <v>391</v>
      </c>
      <c r="M10" s="245"/>
      <c r="N10" s="248">
        <f t="shared" si="0"/>
        <v>1043.5208262169383</v>
      </c>
      <c r="O10" s="248">
        <f>'DCF Valuation'!$F$49</f>
        <v>1043.5208262169383</v>
      </c>
      <c r="P10" s="248">
        <f t="shared" si="1"/>
        <v>1820.8584053482455</v>
      </c>
      <c r="Q10" s="248">
        <f>'DCF Valuation'!$F$55</f>
        <v>1820.8584053482455</v>
      </c>
    </row>
    <row r="11" spans="2:17" x14ac:dyDescent="0.35">
      <c r="L11" s="246" t="s">
        <v>392</v>
      </c>
      <c r="M11" s="245"/>
      <c r="N11" s="248">
        <f t="shared" si="0"/>
        <v>1277.9660185230166</v>
      </c>
      <c r="O11" s="248">
        <f>'DCF Valuation'!E49</f>
        <v>1277.9660185230166</v>
      </c>
      <c r="P11" s="248">
        <f t="shared" si="1"/>
        <v>2806.5312290818642</v>
      </c>
      <c r="Q11" s="248">
        <f>'DCF Valuation'!E55</f>
        <v>2806.5312290818642</v>
      </c>
    </row>
    <row r="12" spans="2:17" ht="15" thickBot="1" x14ac:dyDescent="0.4">
      <c r="L12" s="249" t="s">
        <v>384</v>
      </c>
      <c r="M12" s="119"/>
      <c r="N12" s="250">
        <f t="shared" si="0"/>
        <v>2766.15</v>
      </c>
      <c r="O12" s="250">
        <v>2766.15</v>
      </c>
      <c r="P12" s="250">
        <f t="shared" si="1"/>
        <v>3568</v>
      </c>
      <c r="Q12" s="250">
        <v>3568</v>
      </c>
    </row>
  </sheetData>
  <mergeCells count="1">
    <mergeCell ref="B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FINANCIALS</vt:lpstr>
      <vt:lpstr>Historical Financials</vt:lpstr>
      <vt:lpstr>RAW DATA</vt:lpstr>
      <vt:lpstr>Data Sheet</vt:lpstr>
      <vt:lpstr>Cash flow data</vt:lpstr>
      <vt:lpstr>RAW FS</vt:lpstr>
      <vt:lpstr>RM</vt:lpstr>
      <vt:lpstr>Peer Comps Raw Data</vt:lpstr>
      <vt:lpstr>COMPS_VAL RAW DATABASE</vt:lpstr>
      <vt:lpstr>CALCULATIONS</vt:lpstr>
      <vt:lpstr>Beta</vt:lpstr>
      <vt:lpstr>WACC</vt:lpstr>
      <vt:lpstr>Predictions</vt:lpstr>
      <vt:lpstr>VALUATIONS</vt:lpstr>
      <vt:lpstr>Intrisic Growth</vt:lpstr>
      <vt:lpstr>FCFF Valuation</vt:lpstr>
      <vt:lpstr>DCF Valuation</vt:lpstr>
      <vt:lpstr>Comps Valuation</vt:lpstr>
      <vt:lpstr>Footbal Field Analysis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Swagat Dash</cp:lastModifiedBy>
  <cp:lastPrinted>2012-12-06T18:14:13Z</cp:lastPrinted>
  <dcterms:created xsi:type="dcterms:W3CDTF">2012-08-17T09:55:37Z</dcterms:created>
  <dcterms:modified xsi:type="dcterms:W3CDTF">2024-04-20T08:48:57Z</dcterms:modified>
</cp:coreProperties>
</file>