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financial modelling\Tesla valuation\"/>
    </mc:Choice>
  </mc:AlternateContent>
  <xr:revisionPtr revIDLastSave="0" documentId="13_ncr:1_{E1B7E719-3441-4A04-BE9B-C24A084AFF41}" xr6:coauthVersionLast="47" xr6:coauthVersionMax="47" xr10:uidLastSave="{00000000-0000-0000-0000-000000000000}"/>
  <bookViews>
    <workbookView xWindow="-110" yWindow="-110" windowWidth="25820" windowHeight="15500" tabRatio="881" activeTab="2" xr2:uid="{00000000-000D-0000-FFFF-FFFF00000000}"/>
  </bookViews>
  <sheets>
    <sheet name="Drivers" sheetId="5" r:id="rId1"/>
    <sheet name="RAW INPUT---&gt;" sheetId="3" r:id="rId2"/>
    <sheet name="P&amp;L Input" sheetId="1" r:id="rId3"/>
    <sheet name="Balance Sheet Input" sheetId="2" r:id="rId4"/>
    <sheet name="WORKINGS---&gt;" sheetId="23" r:id="rId5"/>
    <sheet name="Income Statement items---&gt;" sheetId="22" r:id="rId6"/>
    <sheet name="Automotive---&gt;" sheetId="24" r:id="rId7"/>
    <sheet name="Deliveries" sheetId="8" r:id="rId8"/>
    <sheet name="Deliveries development" sheetId="7" r:id="rId9"/>
    <sheet name="Deliveries comparables" sheetId="9" r:id="rId10"/>
    <sheet name="Average Prices" sheetId="10" r:id="rId11"/>
    <sheet name="Revenue automotive" sheetId="11" r:id="rId12"/>
    <sheet name="GP% automotive" sheetId="12" r:id="rId13"/>
    <sheet name="GP automotive" sheetId="13" r:id="rId14"/>
    <sheet name="Cost of sales automotive" sheetId="14" r:id="rId15"/>
    <sheet name="Revenue &amp; GP automotive" sheetId="15" r:id="rId16"/>
    <sheet name="Energy and Others---&gt;" sheetId="25" r:id="rId17"/>
    <sheet name="Revenue Energy &amp; Other" sheetId="16" r:id="rId18"/>
    <sheet name="Gross Profit Energy &amp; Other" sheetId="17" r:id="rId19"/>
    <sheet name="Cost of sales Energy &amp; Other" sheetId="18" r:id="rId20"/>
    <sheet name="Operating expenses---&gt;" sheetId="6" r:id="rId21"/>
    <sheet name="Opex comparables" sheetId="19" r:id="rId22"/>
    <sheet name="Opex" sheetId="20" r:id="rId23"/>
    <sheet name="Balance Sheet---&gt;" sheetId="26" r:id="rId24"/>
    <sheet name="PP&amp;E---&gt;" sheetId="27" r:id="rId25"/>
    <sheet name="PP&amp;E" sheetId="29" r:id="rId26"/>
    <sheet name="PP&amp;E Comparables" sheetId="30" r:id="rId27"/>
    <sheet name="Working capital---&gt;" sheetId="32" r:id="rId28"/>
    <sheet name="Working capital" sheetId="31" r:id="rId29"/>
    <sheet name="W C development" sheetId="37" r:id="rId30"/>
    <sheet name="Financials---&gt;" sheetId="39" r:id="rId31"/>
    <sheet name="Financing" sheetId="38" r:id="rId32"/>
    <sheet name="WACC" sheetId="40" r:id="rId33"/>
    <sheet name="OUTPUT---&gt;" sheetId="34" r:id="rId34"/>
    <sheet name="P&amp;L" sheetId="33" r:id="rId35"/>
    <sheet name="Balance Sheet" sheetId="36" r:id="rId36"/>
    <sheet name="Cash Flow" sheetId="35" r:id="rId37"/>
    <sheet name="DCF Model" sheetId="41" r:id="rId38"/>
  </sheets>
  <externalReferences>
    <externalReference r:id="rId39"/>
  </externalReferences>
  <definedNames>
    <definedName name="ExternalData_1" localSheetId="7" hidden="1">Deliveries!#REF!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41" l="1"/>
  <c r="F18" i="41"/>
  <c r="C3" i="41"/>
  <c r="D24" i="40"/>
  <c r="E24" i="40"/>
  <c r="F24" i="40"/>
  <c r="G24" i="40"/>
  <c r="C24" i="40"/>
  <c r="D22" i="40"/>
  <c r="E22" i="40"/>
  <c r="F22" i="40"/>
  <c r="G22" i="40"/>
  <c r="H22" i="40"/>
  <c r="I22" i="40"/>
  <c r="J22" i="40"/>
  <c r="K22" i="40"/>
  <c r="L22" i="40"/>
  <c r="M22" i="40"/>
  <c r="N22" i="40"/>
  <c r="O22" i="40"/>
  <c r="P22" i="40"/>
  <c r="Q22" i="40"/>
  <c r="C22" i="40"/>
  <c r="D21" i="40"/>
  <c r="E21" i="40"/>
  <c r="F21" i="40"/>
  <c r="G21" i="40"/>
  <c r="H21" i="40"/>
  <c r="I21" i="40"/>
  <c r="J21" i="40"/>
  <c r="K21" i="40"/>
  <c r="L21" i="40"/>
  <c r="M21" i="40"/>
  <c r="N21" i="40"/>
  <c r="O21" i="40"/>
  <c r="P21" i="40"/>
  <c r="Q21" i="40"/>
  <c r="C21" i="40"/>
  <c r="D18" i="40"/>
  <c r="E18" i="40"/>
  <c r="F18" i="40"/>
  <c r="G18" i="40"/>
  <c r="D19" i="40"/>
  <c r="E19" i="40"/>
  <c r="F19" i="40"/>
  <c r="G19" i="40"/>
  <c r="C19" i="40"/>
  <c r="C18" i="40"/>
  <c r="D16" i="40"/>
  <c r="E16" i="40"/>
  <c r="F16" i="40"/>
  <c r="G16" i="40"/>
  <c r="C16" i="40"/>
  <c r="D15" i="40"/>
  <c r="E15" i="40"/>
  <c r="F15" i="40"/>
  <c r="G15" i="40"/>
  <c r="C15" i="40"/>
  <c r="B10" i="40" l="1"/>
  <c r="C10" i="40"/>
  <c r="C7" i="40"/>
  <c r="B6" i="40"/>
  <c r="C6" i="40"/>
  <c r="C5" i="40"/>
  <c r="C4" i="40"/>
  <c r="C9" i="40" l="1"/>
  <c r="Q13" i="35" l="1"/>
  <c r="P13" i="35"/>
  <c r="O13" i="35"/>
  <c r="N13" i="35"/>
  <c r="N14" i="35" s="1"/>
  <c r="M13" i="35"/>
  <c r="L13" i="35"/>
  <c r="K13" i="35"/>
  <c r="J13" i="35"/>
  <c r="I13" i="35"/>
  <c r="H13" i="35"/>
  <c r="O14" i="35"/>
  <c r="P14" i="35"/>
  <c r="Q14" i="35"/>
  <c r="H11" i="35"/>
  <c r="H14" i="35" s="1"/>
  <c r="I11" i="35"/>
  <c r="I14" i="35" s="1"/>
  <c r="J11" i="35"/>
  <c r="K11" i="35"/>
  <c r="L11" i="35"/>
  <c r="M11" i="35"/>
  <c r="N11" i="35"/>
  <c r="O11" i="35"/>
  <c r="P11" i="35"/>
  <c r="Q11" i="35"/>
  <c r="L14" i="35"/>
  <c r="E6" i="35"/>
  <c r="F6" i="35"/>
  <c r="G6" i="35"/>
  <c r="H6" i="35"/>
  <c r="I6" i="35"/>
  <c r="J6" i="35"/>
  <c r="K6" i="35"/>
  <c r="L6" i="35"/>
  <c r="M6" i="35"/>
  <c r="N6" i="35"/>
  <c r="O6" i="35"/>
  <c r="P6" i="35"/>
  <c r="Q6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E7" i="35"/>
  <c r="E9" i="35" s="1"/>
  <c r="G25" i="35"/>
  <c r="F7" i="35"/>
  <c r="F9" i="35" s="1"/>
  <c r="G7" i="35"/>
  <c r="G9" i="35" s="1"/>
  <c r="E8" i="35"/>
  <c r="F8" i="35"/>
  <c r="G8" i="35"/>
  <c r="E11" i="35"/>
  <c r="F11" i="35"/>
  <c r="G11" i="35"/>
  <c r="G14" i="35" s="1"/>
  <c r="E12" i="35"/>
  <c r="E14" i="35" s="1"/>
  <c r="F12" i="35"/>
  <c r="F14" i="35" s="1"/>
  <c r="G12" i="35"/>
  <c r="H12" i="35"/>
  <c r="I12" i="35"/>
  <c r="J12" i="35"/>
  <c r="K12" i="35"/>
  <c r="L12" i="35"/>
  <c r="M12" i="35"/>
  <c r="N12" i="35"/>
  <c r="O12" i="35"/>
  <c r="P12" i="35"/>
  <c r="Q12" i="35"/>
  <c r="E13" i="35"/>
  <c r="F13" i="35"/>
  <c r="G13" i="35"/>
  <c r="E16" i="35"/>
  <c r="F16" i="35"/>
  <c r="G16" i="35"/>
  <c r="E17" i="35"/>
  <c r="F17" i="35"/>
  <c r="G17" i="35"/>
  <c r="E18" i="35"/>
  <c r="F18" i="35"/>
  <c r="G18" i="35"/>
  <c r="H18" i="35"/>
  <c r="I18" i="35"/>
  <c r="J18" i="35"/>
  <c r="K18" i="35"/>
  <c r="L18" i="35"/>
  <c r="M18" i="35"/>
  <c r="N18" i="35"/>
  <c r="O18" i="35"/>
  <c r="P18" i="35"/>
  <c r="Q18" i="35"/>
  <c r="E22" i="35"/>
  <c r="F22" i="35"/>
  <c r="G22" i="35"/>
  <c r="E23" i="35"/>
  <c r="F23" i="35"/>
  <c r="G23" i="35"/>
  <c r="E24" i="35"/>
  <c r="F24" i="35"/>
  <c r="G24" i="35"/>
  <c r="E25" i="35"/>
  <c r="F25" i="35"/>
  <c r="E26" i="35"/>
  <c r="F26" i="35"/>
  <c r="G26" i="35"/>
  <c r="H26" i="35"/>
  <c r="I26" i="35"/>
  <c r="J26" i="35"/>
  <c r="K26" i="35"/>
  <c r="L26" i="35"/>
  <c r="M26" i="35"/>
  <c r="N26" i="35"/>
  <c r="O26" i="35"/>
  <c r="P26" i="35"/>
  <c r="Q26" i="35"/>
  <c r="H30" i="35"/>
  <c r="E30" i="35"/>
  <c r="F30" i="35"/>
  <c r="G30" i="35"/>
  <c r="D24" i="35"/>
  <c r="D22" i="35"/>
  <c r="D6" i="35"/>
  <c r="D5" i="35"/>
  <c r="D16" i="35"/>
  <c r="D13" i="35"/>
  <c r="D11" i="35"/>
  <c r="C8" i="35"/>
  <c r="C9" i="35" s="1"/>
  <c r="C7" i="35"/>
  <c r="C6" i="35"/>
  <c r="C5" i="35"/>
  <c r="D30" i="35"/>
  <c r="G20" i="35" l="1"/>
  <c r="F20" i="35"/>
  <c r="F28" i="35" s="1"/>
  <c r="E20" i="35"/>
  <c r="E28" i="35" s="1"/>
  <c r="E31" i="35" s="1"/>
  <c r="E32" i="35" s="1"/>
  <c r="E34" i="35" s="1"/>
  <c r="M14" i="35"/>
  <c r="J14" i="35"/>
  <c r="K14" i="35"/>
  <c r="G28" i="35"/>
  <c r="G31" i="35" s="1"/>
  <c r="G32" i="35" s="1"/>
  <c r="G34" i="35" s="1"/>
  <c r="F31" i="35"/>
  <c r="F32" i="35" s="1"/>
  <c r="F34" i="35" s="1"/>
  <c r="I19" i="17" l="1"/>
  <c r="J19" i="17"/>
  <c r="K19" i="17"/>
  <c r="L19" i="17"/>
  <c r="M19" i="17"/>
  <c r="N19" i="17"/>
  <c r="O19" i="17"/>
  <c r="P19" i="17"/>
  <c r="Q19" i="17"/>
  <c r="H19" i="17"/>
  <c r="I16" i="17"/>
  <c r="J16" i="17"/>
  <c r="K16" i="17"/>
  <c r="L16" i="17"/>
  <c r="M16" i="17"/>
  <c r="N16" i="17"/>
  <c r="O16" i="17"/>
  <c r="P16" i="17"/>
  <c r="Q16" i="17"/>
  <c r="H16" i="17"/>
  <c r="F16" i="10"/>
  <c r="F11" i="10"/>
  <c r="R7" i="11" s="1"/>
  <c r="H7" i="11" s="1"/>
  <c r="F7" i="10"/>
  <c r="I13" i="38"/>
  <c r="J13" i="38"/>
  <c r="K13" i="38"/>
  <c r="L13" i="38"/>
  <c r="M13" i="38"/>
  <c r="N13" i="38"/>
  <c r="O13" i="38"/>
  <c r="P13" i="38"/>
  <c r="Q13" i="38"/>
  <c r="H13" i="38"/>
  <c r="I25" i="36"/>
  <c r="J25" i="36"/>
  <c r="K25" i="36"/>
  <c r="L25" i="36"/>
  <c r="M25" i="36"/>
  <c r="N25" i="36"/>
  <c r="O25" i="36"/>
  <c r="P25" i="36"/>
  <c r="Q25" i="36"/>
  <c r="I27" i="36"/>
  <c r="J27" i="36"/>
  <c r="K27" i="36"/>
  <c r="L27" i="36"/>
  <c r="M27" i="36"/>
  <c r="N27" i="36"/>
  <c r="O27" i="36"/>
  <c r="P27" i="36"/>
  <c r="Q27" i="36"/>
  <c r="I30" i="36"/>
  <c r="J30" i="36"/>
  <c r="K30" i="36"/>
  <c r="L30" i="36"/>
  <c r="M30" i="36"/>
  <c r="N30" i="36"/>
  <c r="O30" i="36"/>
  <c r="P30" i="36"/>
  <c r="Q30" i="36"/>
  <c r="I23" i="36"/>
  <c r="J23" i="36"/>
  <c r="K23" i="36"/>
  <c r="L23" i="36"/>
  <c r="M23" i="36"/>
  <c r="N23" i="36"/>
  <c r="O23" i="36"/>
  <c r="P23" i="36"/>
  <c r="Q23" i="36"/>
  <c r="H30" i="36"/>
  <c r="H27" i="36"/>
  <c r="H25" i="36"/>
  <c r="H23" i="36"/>
  <c r="I21" i="36"/>
  <c r="J21" i="36"/>
  <c r="K21" i="36"/>
  <c r="L21" i="36"/>
  <c r="M21" i="36"/>
  <c r="N21" i="36"/>
  <c r="O21" i="36"/>
  <c r="P21" i="36"/>
  <c r="Q21" i="36"/>
  <c r="H21" i="36"/>
  <c r="R7" i="8" l="1"/>
  <c r="I14" i="36"/>
  <c r="J14" i="36"/>
  <c r="K14" i="36"/>
  <c r="L14" i="36"/>
  <c r="M14" i="36"/>
  <c r="N14" i="36"/>
  <c r="O14" i="36"/>
  <c r="P14" i="36"/>
  <c r="Q14" i="36"/>
  <c r="H14" i="36"/>
  <c r="I12" i="36"/>
  <c r="J12" i="36"/>
  <c r="K12" i="36"/>
  <c r="L12" i="36"/>
  <c r="M12" i="36"/>
  <c r="N12" i="36"/>
  <c r="O12" i="36"/>
  <c r="P12" i="36"/>
  <c r="Q12" i="36"/>
  <c r="H12" i="36"/>
  <c r="I6" i="36"/>
  <c r="J6" i="36"/>
  <c r="K6" i="36"/>
  <c r="L6" i="36"/>
  <c r="M6" i="36"/>
  <c r="N6" i="36"/>
  <c r="O6" i="36"/>
  <c r="P6" i="36"/>
  <c r="Q6" i="36"/>
  <c r="H6" i="36"/>
  <c r="D12" i="35"/>
  <c r="C7" i="38"/>
  <c r="D12" i="38"/>
  <c r="E12" i="38"/>
  <c r="F12" i="38"/>
  <c r="G12" i="38"/>
  <c r="G13" i="38" s="1"/>
  <c r="C12" i="38"/>
  <c r="C13" i="38" s="1"/>
  <c r="D11" i="38"/>
  <c r="E11" i="38"/>
  <c r="F11" i="38"/>
  <c r="G11" i="38"/>
  <c r="C11" i="38"/>
  <c r="D13" i="38"/>
  <c r="F13" i="38"/>
  <c r="B12" i="38"/>
  <c r="E13" i="38"/>
  <c r="D26" i="35"/>
  <c r="D23" i="35"/>
  <c r="D18" i="35" l="1"/>
  <c r="D17" i="35"/>
  <c r="D29" i="36"/>
  <c r="E29" i="36"/>
  <c r="E30" i="36" s="1"/>
  <c r="F29" i="36"/>
  <c r="G29" i="36"/>
  <c r="C29" i="36"/>
  <c r="D31" i="36"/>
  <c r="D34" i="36" s="1"/>
  <c r="F31" i="36"/>
  <c r="G31" i="36"/>
  <c r="G34" i="36" s="1"/>
  <c r="C31" i="36"/>
  <c r="D32" i="36"/>
  <c r="E32" i="36"/>
  <c r="F32" i="36"/>
  <c r="G32" i="36"/>
  <c r="C32" i="36"/>
  <c r="D30" i="36"/>
  <c r="F30" i="36"/>
  <c r="G30" i="36"/>
  <c r="C30" i="36"/>
  <c r="D28" i="36"/>
  <c r="E28" i="36"/>
  <c r="F28" i="36"/>
  <c r="G28" i="36"/>
  <c r="C28" i="36"/>
  <c r="D27" i="36"/>
  <c r="E27" i="36"/>
  <c r="F27" i="36"/>
  <c r="G27" i="36"/>
  <c r="C27" i="36"/>
  <c r="D26" i="36"/>
  <c r="E26" i="36"/>
  <c r="F26" i="36"/>
  <c r="G26" i="36"/>
  <c r="C26" i="36"/>
  <c r="D25" i="36"/>
  <c r="E25" i="36"/>
  <c r="F25" i="36"/>
  <c r="G25" i="36"/>
  <c r="C25" i="36"/>
  <c r="D24" i="36"/>
  <c r="E24" i="36"/>
  <c r="F24" i="36"/>
  <c r="G24" i="36"/>
  <c r="C24" i="36"/>
  <c r="D23" i="36"/>
  <c r="E23" i="36"/>
  <c r="F23" i="36"/>
  <c r="G23" i="36"/>
  <c r="C23" i="36"/>
  <c r="D22" i="36"/>
  <c r="E22" i="36"/>
  <c r="F22" i="36"/>
  <c r="G22" i="36"/>
  <c r="C22" i="36"/>
  <c r="D21" i="36"/>
  <c r="E21" i="36"/>
  <c r="F21" i="36"/>
  <c r="G21" i="36"/>
  <c r="C21" i="36"/>
  <c r="D20" i="36"/>
  <c r="E20" i="36"/>
  <c r="F20" i="36"/>
  <c r="G20" i="36"/>
  <c r="C20" i="36"/>
  <c r="D19" i="36"/>
  <c r="E19" i="36"/>
  <c r="F19" i="36"/>
  <c r="G19" i="36"/>
  <c r="C19" i="36"/>
  <c r="D16" i="36"/>
  <c r="E16" i="36"/>
  <c r="F16" i="36"/>
  <c r="G16" i="36"/>
  <c r="C16" i="36"/>
  <c r="D15" i="36"/>
  <c r="E15" i="36"/>
  <c r="F15" i="36"/>
  <c r="G15" i="36"/>
  <c r="C15" i="36"/>
  <c r="C17" i="36"/>
  <c r="D14" i="36"/>
  <c r="E14" i="36"/>
  <c r="F14" i="36"/>
  <c r="G14" i="36"/>
  <c r="C14" i="36"/>
  <c r="D13" i="36"/>
  <c r="E13" i="36"/>
  <c r="F13" i="36"/>
  <c r="G13" i="36"/>
  <c r="C13" i="36"/>
  <c r="D12" i="36"/>
  <c r="E12" i="36"/>
  <c r="F12" i="36"/>
  <c r="G12" i="36"/>
  <c r="C12" i="36"/>
  <c r="D10" i="36"/>
  <c r="E10" i="36"/>
  <c r="F10" i="36"/>
  <c r="G10" i="36"/>
  <c r="C10" i="36"/>
  <c r="D7" i="36"/>
  <c r="E7" i="36"/>
  <c r="F7" i="36"/>
  <c r="G7" i="36"/>
  <c r="D8" i="36"/>
  <c r="E8" i="36"/>
  <c r="F8" i="36"/>
  <c r="G8" i="36"/>
  <c r="D9" i="36"/>
  <c r="E9" i="36"/>
  <c r="F9" i="36"/>
  <c r="G9" i="36"/>
  <c r="C8" i="36"/>
  <c r="C9" i="36"/>
  <c r="C7" i="36"/>
  <c r="C6" i="36"/>
  <c r="D6" i="36"/>
  <c r="E6" i="36"/>
  <c r="F6" i="36"/>
  <c r="G6" i="36"/>
  <c r="D5" i="36"/>
  <c r="E5" i="36"/>
  <c r="F5" i="36"/>
  <c r="G5" i="36"/>
  <c r="C5" i="36"/>
  <c r="D19" i="2"/>
  <c r="E19" i="2"/>
  <c r="F19" i="2"/>
  <c r="G19" i="2"/>
  <c r="C19" i="2"/>
  <c r="G17" i="36"/>
  <c r="F17" i="36"/>
  <c r="D17" i="36"/>
  <c r="I16" i="36" l="1"/>
  <c r="J16" i="36"/>
  <c r="K16" i="36"/>
  <c r="L16" i="36"/>
  <c r="M16" i="36"/>
  <c r="N16" i="36"/>
  <c r="O16" i="36"/>
  <c r="Q16" i="36"/>
  <c r="H16" i="36"/>
  <c r="P16" i="36"/>
  <c r="J10" i="36"/>
  <c r="N10" i="36"/>
  <c r="O10" i="36"/>
  <c r="P10" i="36"/>
  <c r="H10" i="36"/>
  <c r="I10" i="36"/>
  <c r="K10" i="36"/>
  <c r="Q10" i="36"/>
  <c r="L10" i="36"/>
  <c r="M10" i="36"/>
  <c r="E31" i="36"/>
  <c r="E34" i="36" s="1"/>
  <c r="C34" i="36"/>
  <c r="E17" i="36"/>
  <c r="C36" i="36"/>
  <c r="G36" i="36"/>
  <c r="D36" i="36"/>
  <c r="F34" i="36"/>
  <c r="F36" i="36" s="1"/>
  <c r="E36" i="36" l="1"/>
  <c r="D8" i="35"/>
  <c r="D25" i="35"/>
  <c r="D7" i="35" l="1"/>
  <c r="D9" i="35" s="1"/>
  <c r="D17" i="33"/>
  <c r="E17" i="33"/>
  <c r="F17" i="33"/>
  <c r="G17" i="33"/>
  <c r="C17" i="33"/>
  <c r="D13" i="33"/>
  <c r="E13" i="33"/>
  <c r="F13" i="33"/>
  <c r="G13" i="33"/>
  <c r="C13" i="33"/>
  <c r="D12" i="33"/>
  <c r="E12" i="33"/>
  <c r="F12" i="33"/>
  <c r="G12" i="33"/>
  <c r="C12" i="33"/>
  <c r="D10" i="33"/>
  <c r="E10" i="33"/>
  <c r="F10" i="33"/>
  <c r="G10" i="33"/>
  <c r="C10" i="33"/>
  <c r="D8" i="33"/>
  <c r="E8" i="33"/>
  <c r="F8" i="33"/>
  <c r="G8" i="33"/>
  <c r="C8" i="33"/>
  <c r="D6" i="33"/>
  <c r="E6" i="33"/>
  <c r="F6" i="33"/>
  <c r="G6" i="33"/>
  <c r="C6" i="33"/>
  <c r="D5" i="33"/>
  <c r="E5" i="33"/>
  <c r="F5" i="33"/>
  <c r="G5" i="33"/>
  <c r="C5" i="33"/>
  <c r="C7" i="33" s="1"/>
  <c r="C9" i="33" s="1"/>
  <c r="C11" i="33" s="1"/>
  <c r="C14" i="33" s="1"/>
  <c r="D7" i="33"/>
  <c r="D9" i="33" s="1"/>
  <c r="E7" i="33"/>
  <c r="E9" i="33" s="1"/>
  <c r="F7" i="33"/>
  <c r="F9" i="33" s="1"/>
  <c r="F11" i="33" s="1"/>
  <c r="F14" i="33" s="1"/>
  <c r="G7" i="33"/>
  <c r="G9" i="33" s="1"/>
  <c r="G11" i="33" s="1"/>
  <c r="G14" i="33" s="1"/>
  <c r="D5" i="31"/>
  <c r="E5" i="31"/>
  <c r="F5" i="31"/>
  <c r="G5" i="31"/>
  <c r="D6" i="31"/>
  <c r="E6" i="31"/>
  <c r="F6" i="31"/>
  <c r="G6" i="31"/>
  <c r="D7" i="31"/>
  <c r="E7" i="31"/>
  <c r="F7" i="31"/>
  <c r="G7" i="31"/>
  <c r="C6" i="31"/>
  <c r="C7" i="31"/>
  <c r="C5" i="31"/>
  <c r="D28" i="29"/>
  <c r="E28" i="29"/>
  <c r="F28" i="29"/>
  <c r="G28" i="29"/>
  <c r="M41" i="29"/>
  <c r="O41" i="29"/>
  <c r="K42" i="29"/>
  <c r="K35" i="29"/>
  <c r="K31" i="29" s="1"/>
  <c r="L35" i="29"/>
  <c r="L31" i="29" s="1"/>
  <c r="H36" i="29"/>
  <c r="H32" i="29" s="1"/>
  <c r="H35" i="29"/>
  <c r="H31" i="29" s="1"/>
  <c r="I38" i="29"/>
  <c r="I41" i="29" s="1"/>
  <c r="J38" i="29"/>
  <c r="J41" i="29" s="1"/>
  <c r="K38" i="29"/>
  <c r="K41" i="29" s="1"/>
  <c r="L38" i="29"/>
  <c r="L41" i="29" s="1"/>
  <c r="M38" i="29"/>
  <c r="M35" i="29" s="1"/>
  <c r="M31" i="29" s="1"/>
  <c r="N38" i="29"/>
  <c r="N35" i="29" s="1"/>
  <c r="N31" i="29" s="1"/>
  <c r="O38" i="29"/>
  <c r="O35" i="29" s="1"/>
  <c r="O31" i="29" s="1"/>
  <c r="P38" i="29"/>
  <c r="P35" i="29" s="1"/>
  <c r="P31" i="29" s="1"/>
  <c r="Q38" i="29"/>
  <c r="Q41" i="29" s="1"/>
  <c r="I39" i="29"/>
  <c r="I42" i="29" s="1"/>
  <c r="J39" i="29"/>
  <c r="J42" i="29" s="1"/>
  <c r="K39" i="29"/>
  <c r="K36" i="29" s="1"/>
  <c r="K32" i="29" s="1"/>
  <c r="L39" i="29"/>
  <c r="L42" i="29" s="1"/>
  <c r="M39" i="29"/>
  <c r="M42" i="29" s="1"/>
  <c r="N39" i="29"/>
  <c r="N42" i="29" s="1"/>
  <c r="O39" i="29"/>
  <c r="O42" i="29" s="1"/>
  <c r="P39" i="29"/>
  <c r="P42" i="29" s="1"/>
  <c r="Q39" i="29"/>
  <c r="Q42" i="29" s="1"/>
  <c r="H39" i="29"/>
  <c r="H42" i="29" s="1"/>
  <c r="H38" i="29"/>
  <c r="H41" i="29" s="1"/>
  <c r="G15" i="30"/>
  <c r="G12" i="30"/>
  <c r="G13" i="30"/>
  <c r="G14" i="30"/>
  <c r="D12" i="30"/>
  <c r="D13" i="30"/>
  <c r="D8" i="30"/>
  <c r="D9" i="30"/>
  <c r="D10" i="30"/>
  <c r="D11" i="30"/>
  <c r="D15" i="30"/>
  <c r="G11" i="30"/>
  <c r="G10" i="30"/>
  <c r="G9" i="30"/>
  <c r="G8" i="30"/>
  <c r="C16" i="30"/>
  <c r="C28" i="29"/>
  <c r="B3" i="29"/>
  <c r="C10" i="29"/>
  <c r="D7" i="29" s="1"/>
  <c r="D10" i="29" s="1"/>
  <c r="E7" i="29" s="1"/>
  <c r="E10" i="29" s="1"/>
  <c r="F7" i="29" s="1"/>
  <c r="C8" i="31" l="1"/>
  <c r="G8" i="31"/>
  <c r="F8" i="31"/>
  <c r="E8" i="31"/>
  <c r="D8" i="31"/>
  <c r="E11" i="33"/>
  <c r="E14" i="33" s="1"/>
  <c r="D11" i="33"/>
  <c r="D14" i="33" s="1"/>
  <c r="P41" i="29"/>
  <c r="Q36" i="29"/>
  <c r="Q32" i="29" s="1"/>
  <c r="J35" i="29"/>
  <c r="J31" i="29" s="1"/>
  <c r="N41" i="29"/>
  <c r="P36" i="29"/>
  <c r="P32" i="29" s="1"/>
  <c r="I35" i="29"/>
  <c r="I31" i="29" s="1"/>
  <c r="O36" i="29"/>
  <c r="O32" i="29" s="1"/>
  <c r="N36" i="29"/>
  <c r="N32" i="29" s="1"/>
  <c r="M36" i="29"/>
  <c r="M32" i="29" s="1"/>
  <c r="L36" i="29"/>
  <c r="L32" i="29" s="1"/>
  <c r="J36" i="29"/>
  <c r="J32" i="29" s="1"/>
  <c r="I36" i="29"/>
  <c r="I32" i="29" s="1"/>
  <c r="Q35" i="29"/>
  <c r="Q31" i="29" s="1"/>
  <c r="F10" i="29"/>
  <c r="G7" i="29" s="1"/>
  <c r="G10" i="29" s="1"/>
  <c r="H7" i="29" s="1"/>
  <c r="G16" i="30"/>
  <c r="D16" i="30"/>
  <c r="F16" i="30"/>
  <c r="E18" i="38" l="1"/>
  <c r="D14" i="35"/>
  <c r="D20" i="35" s="1"/>
  <c r="I17" i="29"/>
  <c r="J17" i="29"/>
  <c r="K17" i="29"/>
  <c r="L17" i="29"/>
  <c r="M17" i="29"/>
  <c r="N17" i="29"/>
  <c r="O17" i="29"/>
  <c r="P17" i="29"/>
  <c r="Q17" i="29"/>
  <c r="H17" i="29"/>
  <c r="I19" i="20"/>
  <c r="J19" i="20"/>
  <c r="K19" i="20"/>
  <c r="L19" i="20"/>
  <c r="M19" i="20"/>
  <c r="N19" i="20"/>
  <c r="O19" i="20"/>
  <c r="P19" i="20"/>
  <c r="Q19" i="20"/>
  <c r="H19" i="20"/>
  <c r="I16" i="20"/>
  <c r="J16" i="20"/>
  <c r="K16" i="20"/>
  <c r="L16" i="20"/>
  <c r="M16" i="20"/>
  <c r="N16" i="20"/>
  <c r="O16" i="20"/>
  <c r="P16" i="20"/>
  <c r="Q16" i="20"/>
  <c r="H16" i="20"/>
  <c r="D6" i="20"/>
  <c r="E6" i="20"/>
  <c r="F6" i="20"/>
  <c r="G6" i="20"/>
  <c r="C6" i="20"/>
  <c r="D7" i="20"/>
  <c r="E7" i="20"/>
  <c r="F7" i="20"/>
  <c r="G7" i="20"/>
  <c r="C7" i="20"/>
  <c r="D5" i="20"/>
  <c r="E5" i="20"/>
  <c r="F5" i="20"/>
  <c r="G5" i="20"/>
  <c r="C5" i="20"/>
  <c r="C11" i="19"/>
  <c r="C10" i="19"/>
  <c r="C8" i="19"/>
  <c r="C7" i="19"/>
  <c r="C18" i="19"/>
  <c r="D17" i="19"/>
  <c r="D16" i="19"/>
  <c r="D15" i="19"/>
  <c r="D11" i="19"/>
  <c r="D10" i="19"/>
  <c r="D9" i="19"/>
  <c r="D8" i="19"/>
  <c r="D7" i="19"/>
  <c r="G18" i="38" l="1"/>
  <c r="F18" i="38"/>
  <c r="D28" i="35"/>
  <c r="D31" i="35" s="1"/>
  <c r="D32" i="35" s="1"/>
  <c r="D34" i="35" s="1"/>
  <c r="D18" i="38"/>
  <c r="Q13" i="20"/>
  <c r="Q9" i="20" s="1"/>
  <c r="Q6" i="20" s="1"/>
  <c r="O13" i="20"/>
  <c r="O9" i="20" s="1"/>
  <c r="O6" i="20" s="1"/>
  <c r="P13" i="20"/>
  <c r="P9" i="20" s="1"/>
  <c r="P6" i="20" s="1"/>
  <c r="N13" i="20"/>
  <c r="N9" i="20" s="1"/>
  <c r="N6" i="20" s="1"/>
  <c r="M13" i="20"/>
  <c r="M9" i="20" s="1"/>
  <c r="M6" i="20" s="1"/>
  <c r="K13" i="20"/>
  <c r="K9" i="20" s="1"/>
  <c r="K6" i="20" s="1"/>
  <c r="J13" i="20"/>
  <c r="J9" i="20" s="1"/>
  <c r="J6" i="20" s="1"/>
  <c r="I13" i="20"/>
  <c r="I9" i="20" s="1"/>
  <c r="I6" i="20" s="1"/>
  <c r="H13" i="20"/>
  <c r="L13" i="20"/>
  <c r="L9" i="20" s="1"/>
  <c r="L6" i="20" s="1"/>
  <c r="D18" i="19"/>
  <c r="H9" i="20" l="1"/>
  <c r="H6" i="20" s="1"/>
  <c r="H8" i="20"/>
  <c r="C6" i="18"/>
  <c r="D6" i="18"/>
  <c r="E6" i="18"/>
  <c r="F6" i="18"/>
  <c r="G6" i="18"/>
  <c r="G7" i="18" s="1"/>
  <c r="D5" i="18"/>
  <c r="E5" i="18"/>
  <c r="F5" i="18"/>
  <c r="G5" i="18"/>
  <c r="C5" i="18"/>
  <c r="C7" i="18" s="1"/>
  <c r="D7" i="18"/>
  <c r="I9" i="17"/>
  <c r="J9" i="17"/>
  <c r="K9" i="17"/>
  <c r="L9" i="17"/>
  <c r="M9" i="17"/>
  <c r="N9" i="17"/>
  <c r="O9" i="17"/>
  <c r="P9" i="17"/>
  <c r="Q9" i="17"/>
  <c r="H9" i="17"/>
  <c r="H8" i="17"/>
  <c r="I13" i="17"/>
  <c r="J13" i="17"/>
  <c r="K13" i="17"/>
  <c r="L13" i="17"/>
  <c r="M13" i="17"/>
  <c r="N13" i="17"/>
  <c r="O13" i="17"/>
  <c r="P13" i="17"/>
  <c r="Q13" i="17"/>
  <c r="H13" i="17"/>
  <c r="I19" i="16"/>
  <c r="J19" i="16"/>
  <c r="K19" i="16"/>
  <c r="L19" i="16"/>
  <c r="M19" i="16"/>
  <c r="N19" i="16"/>
  <c r="O19" i="16"/>
  <c r="P19" i="16"/>
  <c r="Q19" i="16"/>
  <c r="H19" i="16"/>
  <c r="I13" i="16"/>
  <c r="J13" i="16"/>
  <c r="K13" i="16"/>
  <c r="L13" i="16"/>
  <c r="M13" i="16"/>
  <c r="N13" i="16"/>
  <c r="O13" i="16"/>
  <c r="P13" i="16"/>
  <c r="Q13" i="16"/>
  <c r="H13" i="16"/>
  <c r="D16" i="17"/>
  <c r="E16" i="17"/>
  <c r="F16" i="17"/>
  <c r="G16" i="17"/>
  <c r="C16" i="17"/>
  <c r="E7" i="18" l="1"/>
  <c r="F7" i="18"/>
  <c r="C6" i="17"/>
  <c r="D6" i="17"/>
  <c r="E6" i="17"/>
  <c r="F6" i="17"/>
  <c r="G6" i="17"/>
  <c r="D5" i="17"/>
  <c r="E5" i="17"/>
  <c r="F5" i="17"/>
  <c r="F7" i="17" s="1"/>
  <c r="G5" i="17"/>
  <c r="C5" i="17"/>
  <c r="D7" i="17"/>
  <c r="C7" i="17"/>
  <c r="E7" i="17"/>
  <c r="I9" i="16"/>
  <c r="J9" i="16"/>
  <c r="K9" i="16"/>
  <c r="L9" i="16"/>
  <c r="M9" i="16"/>
  <c r="N9" i="16"/>
  <c r="O9" i="16"/>
  <c r="P9" i="16"/>
  <c r="Q9" i="16"/>
  <c r="H9" i="16"/>
  <c r="H7" i="16" s="1"/>
  <c r="H8" i="16"/>
  <c r="E16" i="16"/>
  <c r="F16" i="16"/>
  <c r="G16" i="16"/>
  <c r="D16" i="16"/>
  <c r="C6" i="16"/>
  <c r="D6" i="16"/>
  <c r="E6" i="16"/>
  <c r="E7" i="16" s="1"/>
  <c r="F6" i="16"/>
  <c r="G6" i="16"/>
  <c r="D5" i="16"/>
  <c r="E5" i="16"/>
  <c r="F5" i="16"/>
  <c r="G5" i="16"/>
  <c r="C5" i="16"/>
  <c r="C7" i="16" s="1"/>
  <c r="D7" i="16"/>
  <c r="F7" i="16"/>
  <c r="G7" i="16"/>
  <c r="D7" i="15"/>
  <c r="E7" i="15"/>
  <c r="F7" i="15"/>
  <c r="G7" i="15"/>
  <c r="C7" i="15"/>
  <c r="D6" i="15"/>
  <c r="E6" i="15"/>
  <c r="F6" i="15"/>
  <c r="G6" i="15"/>
  <c r="C6" i="15"/>
  <c r="D5" i="15"/>
  <c r="E5" i="15"/>
  <c r="F5" i="15"/>
  <c r="G5" i="15"/>
  <c r="C5" i="15"/>
  <c r="H7" i="17" l="1"/>
  <c r="H7" i="18" s="1"/>
  <c r="I7" i="16"/>
  <c r="G7" i="17"/>
  <c r="D11" i="14"/>
  <c r="E11" i="14"/>
  <c r="F11" i="14"/>
  <c r="G11" i="14"/>
  <c r="C11" i="14"/>
  <c r="H10" i="8"/>
  <c r="I14" i="13"/>
  <c r="J14" i="13"/>
  <c r="K14" i="13"/>
  <c r="L14" i="13"/>
  <c r="M14" i="13"/>
  <c r="N14" i="13"/>
  <c r="O14" i="13"/>
  <c r="P14" i="13"/>
  <c r="Q14" i="13"/>
  <c r="I15" i="13"/>
  <c r="J15" i="13"/>
  <c r="K15" i="13"/>
  <c r="L15" i="13"/>
  <c r="M15" i="13"/>
  <c r="N15" i="13"/>
  <c r="O15" i="13"/>
  <c r="P15" i="13"/>
  <c r="Q15" i="13"/>
  <c r="I16" i="13"/>
  <c r="J16" i="13"/>
  <c r="K16" i="13"/>
  <c r="L16" i="13"/>
  <c r="M16" i="13"/>
  <c r="N16" i="13"/>
  <c r="O16" i="13"/>
  <c r="P16" i="13"/>
  <c r="Q16" i="13"/>
  <c r="I17" i="13"/>
  <c r="J17" i="13"/>
  <c r="K17" i="13"/>
  <c r="L17" i="13"/>
  <c r="M17" i="13"/>
  <c r="N17" i="13"/>
  <c r="O17" i="13"/>
  <c r="P17" i="13"/>
  <c r="Q17" i="13"/>
  <c r="I18" i="13"/>
  <c r="J18" i="13"/>
  <c r="K18" i="13"/>
  <c r="L18" i="13"/>
  <c r="M18" i="13"/>
  <c r="N18" i="13"/>
  <c r="O18" i="13"/>
  <c r="P18" i="13"/>
  <c r="Q18" i="13"/>
  <c r="I19" i="13"/>
  <c r="J19" i="13"/>
  <c r="K19" i="13"/>
  <c r="L19" i="13"/>
  <c r="M19" i="13"/>
  <c r="N19" i="13"/>
  <c r="O19" i="13"/>
  <c r="P19" i="13"/>
  <c r="Q19" i="13"/>
  <c r="H15" i="13"/>
  <c r="H16" i="13"/>
  <c r="H17" i="13"/>
  <c r="H18" i="13"/>
  <c r="H19" i="13"/>
  <c r="D11" i="13"/>
  <c r="E11" i="13"/>
  <c r="F11" i="13"/>
  <c r="G11" i="13"/>
  <c r="C11" i="13"/>
  <c r="J7" i="16" l="1"/>
  <c r="I7" i="17"/>
  <c r="I7" i="18" s="1"/>
  <c r="H14" i="13"/>
  <c r="H13" i="13"/>
  <c r="I30" i="13"/>
  <c r="J30" i="13"/>
  <c r="K30" i="13"/>
  <c r="L30" i="13"/>
  <c r="M30" i="13"/>
  <c r="N30" i="13"/>
  <c r="O30" i="13"/>
  <c r="P30" i="13"/>
  <c r="Q30" i="13"/>
  <c r="I31" i="13"/>
  <c r="J31" i="13"/>
  <c r="K31" i="13"/>
  <c r="L31" i="13"/>
  <c r="M31" i="13"/>
  <c r="N31" i="13"/>
  <c r="O31" i="13"/>
  <c r="P31" i="13"/>
  <c r="Q31" i="13"/>
  <c r="I32" i="13"/>
  <c r="J32" i="13"/>
  <c r="K32" i="13"/>
  <c r="L32" i="13"/>
  <c r="M32" i="13"/>
  <c r="N32" i="13"/>
  <c r="O32" i="13"/>
  <c r="P32" i="13"/>
  <c r="Q32" i="13"/>
  <c r="I33" i="13"/>
  <c r="J33" i="13"/>
  <c r="K33" i="13"/>
  <c r="L33" i="13"/>
  <c r="M33" i="13"/>
  <c r="N33" i="13"/>
  <c r="O33" i="13"/>
  <c r="P33" i="13"/>
  <c r="Q33" i="13"/>
  <c r="I34" i="13"/>
  <c r="J34" i="13"/>
  <c r="K34" i="13"/>
  <c r="L34" i="13"/>
  <c r="M34" i="13"/>
  <c r="N34" i="13"/>
  <c r="O34" i="13"/>
  <c r="P34" i="13"/>
  <c r="Q34" i="13"/>
  <c r="I35" i="13"/>
  <c r="J35" i="13"/>
  <c r="K35" i="13"/>
  <c r="L35" i="13"/>
  <c r="M35" i="13"/>
  <c r="N35" i="13"/>
  <c r="O35" i="13"/>
  <c r="P35" i="13"/>
  <c r="Q35" i="13"/>
  <c r="H31" i="13"/>
  <c r="H32" i="13"/>
  <c r="H33" i="13"/>
  <c r="H34" i="13"/>
  <c r="H35" i="13"/>
  <c r="H30" i="13"/>
  <c r="C17" i="12"/>
  <c r="C18" i="12"/>
  <c r="C16" i="12"/>
  <c r="K7" i="16" l="1"/>
  <c r="J7" i="17"/>
  <c r="J7" i="18" s="1"/>
  <c r="E12" i="8"/>
  <c r="F12" i="8"/>
  <c r="G12" i="8"/>
  <c r="L7" i="16" l="1"/>
  <c r="K7" i="17"/>
  <c r="K7" i="18" s="1"/>
  <c r="E6" i="12"/>
  <c r="F11" i="12"/>
  <c r="H11" i="12" s="1"/>
  <c r="D10" i="12"/>
  <c r="F9" i="12"/>
  <c r="D9" i="12"/>
  <c r="H9" i="12" s="1"/>
  <c r="F8" i="12"/>
  <c r="E8" i="12"/>
  <c r="E7" i="12"/>
  <c r="D7" i="12"/>
  <c r="F6" i="12"/>
  <c r="F10" i="12" s="1"/>
  <c r="E10" i="12"/>
  <c r="M7" i="16" l="1"/>
  <c r="L7" i="17"/>
  <c r="L7" i="18" s="1"/>
  <c r="H10" i="12"/>
  <c r="N7" i="16" l="1"/>
  <c r="M7" i="17"/>
  <c r="M7" i="18" s="1"/>
  <c r="G32" i="1"/>
  <c r="F32" i="1"/>
  <c r="E32" i="1"/>
  <c r="D32" i="1"/>
  <c r="C32" i="1"/>
  <c r="G33" i="1"/>
  <c r="F33" i="1"/>
  <c r="E33" i="1"/>
  <c r="D33" i="1"/>
  <c r="C33" i="1"/>
  <c r="F31" i="1"/>
  <c r="E31" i="1"/>
  <c r="D31" i="1"/>
  <c r="C31" i="1"/>
  <c r="G31" i="1"/>
  <c r="G28" i="1"/>
  <c r="F28" i="1"/>
  <c r="E28" i="1"/>
  <c r="G29" i="1"/>
  <c r="F29" i="1"/>
  <c r="E29" i="1"/>
  <c r="G30" i="1"/>
  <c r="F30" i="1"/>
  <c r="E30" i="1"/>
  <c r="D30" i="1"/>
  <c r="D29" i="1"/>
  <c r="D28" i="1"/>
  <c r="F12" i="1"/>
  <c r="F44" i="2" s="1"/>
  <c r="F13" i="31" s="1"/>
  <c r="E12" i="1"/>
  <c r="E43" i="2" s="1"/>
  <c r="E12" i="31" s="1"/>
  <c r="D12" i="1"/>
  <c r="D43" i="2" s="1"/>
  <c r="D12" i="31" s="1"/>
  <c r="C12" i="1"/>
  <c r="C44" i="2" s="1"/>
  <c r="C13" i="31" s="1"/>
  <c r="G12" i="1"/>
  <c r="G44" i="2" s="1"/>
  <c r="G13" i="31" s="1"/>
  <c r="F8" i="1"/>
  <c r="F42" i="2" s="1"/>
  <c r="F11" i="31" s="1"/>
  <c r="E8" i="1"/>
  <c r="E42" i="2" s="1"/>
  <c r="E11" i="31" s="1"/>
  <c r="D8" i="1"/>
  <c r="D42" i="2" s="1"/>
  <c r="D11" i="31" s="1"/>
  <c r="C8" i="1"/>
  <c r="C42" i="2" s="1"/>
  <c r="C11" i="31" s="1"/>
  <c r="G8" i="1"/>
  <c r="G42" i="2" s="1"/>
  <c r="G11" i="31" s="1"/>
  <c r="J11" i="31" l="1"/>
  <c r="K11" i="31"/>
  <c r="L11" i="31"/>
  <c r="M11" i="31"/>
  <c r="N11" i="31"/>
  <c r="O11" i="31"/>
  <c r="P11" i="31"/>
  <c r="Q11" i="31"/>
  <c r="H11" i="31"/>
  <c r="I11" i="31"/>
  <c r="O7" i="16"/>
  <c r="N7" i="17"/>
  <c r="N7" i="18" s="1"/>
  <c r="G13" i="1"/>
  <c r="F43" i="2"/>
  <c r="G34" i="1"/>
  <c r="D44" i="2"/>
  <c r="D13" i="1"/>
  <c r="E13" i="1"/>
  <c r="E34" i="1"/>
  <c r="E44" i="2"/>
  <c r="F13" i="1"/>
  <c r="F34" i="1"/>
  <c r="H8" i="12" s="1"/>
  <c r="C13" i="1"/>
  <c r="D34" i="1"/>
  <c r="G43" i="2"/>
  <c r="C43" i="2"/>
  <c r="C34" i="1"/>
  <c r="R10" i="11"/>
  <c r="R9" i="11"/>
  <c r="R8" i="11"/>
  <c r="R6" i="11"/>
  <c r="R5" i="11"/>
  <c r="I14" i="11"/>
  <c r="J14" i="11"/>
  <c r="K14" i="11"/>
  <c r="L14" i="11"/>
  <c r="M14" i="11"/>
  <c r="N14" i="11"/>
  <c r="O14" i="11"/>
  <c r="P14" i="11"/>
  <c r="Q14" i="11"/>
  <c r="I15" i="11"/>
  <c r="J15" i="11"/>
  <c r="K15" i="11"/>
  <c r="L15" i="11"/>
  <c r="M15" i="11"/>
  <c r="N15" i="11"/>
  <c r="N6" i="11" s="1"/>
  <c r="O15" i="11"/>
  <c r="O6" i="11" s="1"/>
  <c r="P15" i="11"/>
  <c r="Q15" i="11"/>
  <c r="I16" i="11"/>
  <c r="J16" i="11"/>
  <c r="K16" i="11"/>
  <c r="L16" i="11"/>
  <c r="M16" i="11"/>
  <c r="N16" i="11"/>
  <c r="O16" i="11"/>
  <c r="P16" i="11"/>
  <c r="Q16" i="11"/>
  <c r="I17" i="11"/>
  <c r="I8" i="11" s="1"/>
  <c r="J17" i="11"/>
  <c r="J8" i="11" s="1"/>
  <c r="K17" i="11"/>
  <c r="K8" i="11" s="1"/>
  <c r="L17" i="11"/>
  <c r="L8" i="11" s="1"/>
  <c r="M17" i="11"/>
  <c r="M8" i="11" s="1"/>
  <c r="N17" i="11"/>
  <c r="N8" i="11" s="1"/>
  <c r="O17" i="11"/>
  <c r="O8" i="11" s="1"/>
  <c r="P17" i="11"/>
  <c r="P8" i="11" s="1"/>
  <c r="Q17" i="11"/>
  <c r="Q8" i="11" s="1"/>
  <c r="I18" i="11"/>
  <c r="I9" i="11" s="1"/>
  <c r="J18" i="11"/>
  <c r="K18" i="11"/>
  <c r="L18" i="11"/>
  <c r="M18" i="11"/>
  <c r="N18" i="11"/>
  <c r="O18" i="11"/>
  <c r="P18" i="11"/>
  <c r="Q18" i="11"/>
  <c r="I19" i="11"/>
  <c r="J19" i="11"/>
  <c r="K19" i="11"/>
  <c r="L19" i="11"/>
  <c r="M19" i="11"/>
  <c r="N19" i="11"/>
  <c r="O19" i="11"/>
  <c r="P19" i="11"/>
  <c r="Q19" i="11"/>
  <c r="H14" i="11"/>
  <c r="H15" i="11"/>
  <c r="H16" i="11"/>
  <c r="H17" i="11"/>
  <c r="H8" i="11" s="1"/>
  <c r="H18" i="11"/>
  <c r="H9" i="11" s="1"/>
  <c r="H19" i="11"/>
  <c r="H13" i="11"/>
  <c r="G11" i="11"/>
  <c r="D11" i="11"/>
  <c r="C11" i="11"/>
  <c r="E11" i="11"/>
  <c r="F11" i="11"/>
  <c r="M6" i="11" l="1"/>
  <c r="L6" i="11"/>
  <c r="K6" i="11"/>
  <c r="J6" i="11"/>
  <c r="I6" i="11"/>
  <c r="H6" i="11"/>
  <c r="Q6" i="11"/>
  <c r="P6" i="11"/>
  <c r="P6" i="13" s="1"/>
  <c r="P6" i="14" s="1"/>
  <c r="D45" i="2"/>
  <c r="D13" i="31"/>
  <c r="G45" i="2"/>
  <c r="G12" i="31"/>
  <c r="G14" i="31" s="1"/>
  <c r="F45" i="2"/>
  <c r="F12" i="31"/>
  <c r="F14" i="31" s="1"/>
  <c r="E45" i="2"/>
  <c r="E13" i="31"/>
  <c r="E14" i="31" s="1"/>
  <c r="C45" i="2"/>
  <c r="C12" i="31"/>
  <c r="O7" i="17"/>
  <c r="O7" i="18" s="1"/>
  <c r="P7" i="16"/>
  <c r="Q8" i="13"/>
  <c r="Q8" i="14" s="1"/>
  <c r="H9" i="13"/>
  <c r="H9" i="14" s="1"/>
  <c r="I9" i="13"/>
  <c r="I9" i="14" s="1"/>
  <c r="O6" i="13"/>
  <c r="O6" i="14" s="1"/>
  <c r="H8" i="13"/>
  <c r="H8" i="14" s="1"/>
  <c r="N6" i="13"/>
  <c r="N6" i="14" s="1"/>
  <c r="J6" i="13"/>
  <c r="J6" i="14"/>
  <c r="P8" i="13"/>
  <c r="P8" i="14" s="1"/>
  <c r="O8" i="13"/>
  <c r="O8" i="14" s="1"/>
  <c r="M6" i="13"/>
  <c r="M6" i="14" s="1"/>
  <c r="Q6" i="13"/>
  <c r="Q6" i="14" s="1"/>
  <c r="M8" i="13"/>
  <c r="M8" i="14" s="1"/>
  <c r="K8" i="13"/>
  <c r="K8" i="14" s="1"/>
  <c r="J8" i="13"/>
  <c r="J8" i="14" s="1"/>
  <c r="L6" i="13"/>
  <c r="L6" i="14" s="1"/>
  <c r="I6" i="13"/>
  <c r="I6" i="14" s="1"/>
  <c r="H6" i="13"/>
  <c r="H6" i="14" s="1"/>
  <c r="N8" i="13"/>
  <c r="N8" i="14" s="1"/>
  <c r="L8" i="13"/>
  <c r="L8" i="14" s="1"/>
  <c r="I8" i="13"/>
  <c r="I8" i="14" s="1"/>
  <c r="K6" i="13"/>
  <c r="K6" i="14" s="1"/>
  <c r="H6" i="12"/>
  <c r="H7" i="12"/>
  <c r="R10" i="8"/>
  <c r="R9" i="8"/>
  <c r="R8" i="8"/>
  <c r="R6" i="8"/>
  <c r="R5" i="8"/>
  <c r="F20" i="10"/>
  <c r="F21" i="10"/>
  <c r="F22" i="10"/>
  <c r="F19" i="10"/>
  <c r="E11" i="10"/>
  <c r="E16" i="10"/>
  <c r="D16" i="10"/>
  <c r="D11" i="10"/>
  <c r="E7" i="10"/>
  <c r="D7" i="10"/>
  <c r="Q12" i="31" l="1"/>
  <c r="I12" i="31"/>
  <c r="J12" i="31"/>
  <c r="K12" i="31"/>
  <c r="H12" i="31"/>
  <c r="L12" i="31"/>
  <c r="M12" i="31"/>
  <c r="N12" i="31"/>
  <c r="O12" i="31"/>
  <c r="P12" i="31"/>
  <c r="C14" i="31"/>
  <c r="J13" i="31"/>
  <c r="M13" i="31"/>
  <c r="Q13" i="31"/>
  <c r="K13" i="31"/>
  <c r="O13" i="31"/>
  <c r="L13" i="31"/>
  <c r="N13" i="31"/>
  <c r="P13" i="31"/>
  <c r="H13" i="31"/>
  <c r="D14" i="31"/>
  <c r="I13" i="31"/>
  <c r="Q7" i="16"/>
  <c r="P7" i="17"/>
  <c r="P7" i="18" s="1"/>
  <c r="D11" i="9"/>
  <c r="D10" i="9"/>
  <c r="D9" i="9"/>
  <c r="D8" i="9"/>
  <c r="D7" i="9"/>
  <c r="Q7" i="17" l="1"/>
  <c r="Q7" i="18" s="1"/>
  <c r="N14" i="31"/>
  <c r="O14" i="31"/>
  <c r="M14" i="31"/>
  <c r="L14" i="31"/>
  <c r="H14" i="31"/>
  <c r="K14" i="31"/>
  <c r="J14" i="31"/>
  <c r="I14" i="31"/>
  <c r="P14" i="31"/>
  <c r="Q14" i="31"/>
  <c r="D18" i="9"/>
  <c r="F21" i="8"/>
  <c r="J9" i="8"/>
  <c r="J9" i="11" s="1"/>
  <c r="I19" i="8"/>
  <c r="J8" i="8"/>
  <c r="K8" i="8" s="1"/>
  <c r="L8" i="8" s="1"/>
  <c r="M8" i="8" s="1"/>
  <c r="N8" i="8" s="1"/>
  <c r="O8" i="8" s="1"/>
  <c r="P8" i="8" s="1"/>
  <c r="Q8" i="8" s="1"/>
  <c r="H7" i="8"/>
  <c r="H6" i="8"/>
  <c r="H5" i="8"/>
  <c r="E17" i="8"/>
  <c r="F17" i="8"/>
  <c r="G17" i="8"/>
  <c r="D11" i="8"/>
  <c r="E15" i="8"/>
  <c r="F15" i="8"/>
  <c r="G15" i="8"/>
  <c r="D15" i="8"/>
  <c r="G16" i="8"/>
  <c r="F16" i="8"/>
  <c r="E16" i="8"/>
  <c r="D16" i="8"/>
  <c r="G11" i="8"/>
  <c r="F11" i="8"/>
  <c r="E11" i="8"/>
  <c r="E21" i="8" s="1"/>
  <c r="C11" i="8"/>
  <c r="D12" i="8" s="1"/>
  <c r="D21" i="8" l="1"/>
  <c r="I5" i="8"/>
  <c r="H5" i="11"/>
  <c r="H5" i="13" s="1"/>
  <c r="H5" i="14" s="1"/>
  <c r="K9" i="8"/>
  <c r="J9" i="13"/>
  <c r="J9" i="14" s="1"/>
  <c r="H7" i="13"/>
  <c r="H7" i="14" s="1"/>
  <c r="I10" i="8"/>
  <c r="H10" i="11"/>
  <c r="I7" i="8"/>
  <c r="I11" i="8" s="1"/>
  <c r="G21" i="8"/>
  <c r="I6" i="8"/>
  <c r="H11" i="8"/>
  <c r="J5" i="8" l="1"/>
  <c r="I5" i="11"/>
  <c r="I5" i="13" s="1"/>
  <c r="I5" i="14" s="1"/>
  <c r="L9" i="8"/>
  <c r="K9" i="11"/>
  <c r="K9" i="13" s="1"/>
  <c r="K9" i="14" s="1"/>
  <c r="H11" i="11"/>
  <c r="H10" i="13"/>
  <c r="H11" i="13" s="1"/>
  <c r="H6" i="15" s="1"/>
  <c r="J10" i="8"/>
  <c r="I10" i="11"/>
  <c r="J7" i="8"/>
  <c r="I7" i="11"/>
  <c r="J6" i="8"/>
  <c r="I21" i="8"/>
  <c r="D23" i="9"/>
  <c r="H21" i="8"/>
  <c r="J5" i="11" l="1"/>
  <c r="K5" i="8"/>
  <c r="M9" i="8"/>
  <c r="L9" i="11"/>
  <c r="L9" i="13" s="1"/>
  <c r="L9" i="14" s="1"/>
  <c r="H5" i="33"/>
  <c r="H8" i="29"/>
  <c r="H16" i="35" s="1"/>
  <c r="H5" i="20"/>
  <c r="H7" i="20" s="1"/>
  <c r="H8" i="33" s="1"/>
  <c r="I10" i="13"/>
  <c r="I10" i="14" s="1"/>
  <c r="H5" i="15"/>
  <c r="H7" i="15" s="1"/>
  <c r="H11" i="14"/>
  <c r="H6" i="33" s="1"/>
  <c r="H10" i="14"/>
  <c r="I11" i="11"/>
  <c r="I7" i="13"/>
  <c r="I11" i="13" s="1"/>
  <c r="I6" i="15" s="1"/>
  <c r="K10" i="8"/>
  <c r="J10" i="11"/>
  <c r="K7" i="8"/>
  <c r="J7" i="11"/>
  <c r="K6" i="8"/>
  <c r="J11" i="8"/>
  <c r="H29" i="36" l="1"/>
  <c r="H24" i="36"/>
  <c r="H26" i="36"/>
  <c r="H22" i="36"/>
  <c r="H20" i="36"/>
  <c r="H9" i="36"/>
  <c r="H15" i="36"/>
  <c r="K5" i="11"/>
  <c r="K5" i="13" s="1"/>
  <c r="K5" i="14" s="1"/>
  <c r="L5" i="8"/>
  <c r="J5" i="13"/>
  <c r="J5" i="14" s="1"/>
  <c r="I5" i="33"/>
  <c r="I5" i="20"/>
  <c r="I7" i="20" s="1"/>
  <c r="I8" i="33" s="1"/>
  <c r="I8" i="29"/>
  <c r="I16" i="35" s="1"/>
  <c r="N9" i="8"/>
  <c r="M9" i="11"/>
  <c r="H7" i="31"/>
  <c r="H6" i="31"/>
  <c r="I18" i="29"/>
  <c r="O18" i="29"/>
  <c r="Q18" i="29"/>
  <c r="L18" i="29"/>
  <c r="M18" i="29"/>
  <c r="P18" i="29"/>
  <c r="K18" i="29"/>
  <c r="H18" i="29"/>
  <c r="H28" i="29" s="1"/>
  <c r="H9" i="29" s="1"/>
  <c r="H8" i="35" s="1"/>
  <c r="J18" i="29"/>
  <c r="N18" i="29"/>
  <c r="H7" i="33"/>
  <c r="H9" i="33" s="1"/>
  <c r="H5" i="31"/>
  <c r="J10" i="13"/>
  <c r="J10" i="14" s="1"/>
  <c r="I5" i="15"/>
  <c r="I7" i="15" s="1"/>
  <c r="I11" i="14"/>
  <c r="I6" i="33" s="1"/>
  <c r="I7" i="14"/>
  <c r="J11" i="11"/>
  <c r="J7" i="13"/>
  <c r="L10" i="8"/>
  <c r="K10" i="11"/>
  <c r="L7" i="8"/>
  <c r="K7" i="11"/>
  <c r="J21" i="8"/>
  <c r="L6" i="8"/>
  <c r="K11" i="8"/>
  <c r="C17" i="1"/>
  <c r="D17" i="1"/>
  <c r="E17" i="1"/>
  <c r="F17" i="1"/>
  <c r="G17" i="1"/>
  <c r="C28" i="2"/>
  <c r="D28" i="2"/>
  <c r="E28" i="2"/>
  <c r="F28" i="2"/>
  <c r="G28" i="2"/>
  <c r="C11" i="2"/>
  <c r="D11" i="2"/>
  <c r="E11" i="2"/>
  <c r="F11" i="2"/>
  <c r="G11" i="2"/>
  <c r="H17" i="35" l="1"/>
  <c r="J11" i="13"/>
  <c r="J6" i="15" s="1"/>
  <c r="H10" i="29"/>
  <c r="H7" i="36"/>
  <c r="I22" i="36"/>
  <c r="I24" i="36"/>
  <c r="I20" i="36"/>
  <c r="I26" i="36"/>
  <c r="I29" i="36"/>
  <c r="I15" i="36"/>
  <c r="I9" i="36"/>
  <c r="I17" i="35" s="1"/>
  <c r="H8" i="36"/>
  <c r="H19" i="36"/>
  <c r="L5" i="11"/>
  <c r="L5" i="13" s="1"/>
  <c r="L5" i="14" s="1"/>
  <c r="M5" i="8"/>
  <c r="J5" i="33"/>
  <c r="J8" i="29"/>
  <c r="J16" i="35" s="1"/>
  <c r="J5" i="20"/>
  <c r="J7" i="20" s="1"/>
  <c r="J8" i="33" s="1"/>
  <c r="J19" i="29"/>
  <c r="K19" i="29"/>
  <c r="L19" i="29"/>
  <c r="O19" i="29"/>
  <c r="P19" i="29"/>
  <c r="N19" i="29"/>
  <c r="I19" i="29"/>
  <c r="I28" i="29" s="1"/>
  <c r="I9" i="29" s="1"/>
  <c r="I8" i="35" s="1"/>
  <c r="M19" i="29"/>
  <c r="Q19" i="29"/>
  <c r="I7" i="31"/>
  <c r="I6" i="31"/>
  <c r="M9" i="13"/>
  <c r="M9" i="14" s="1"/>
  <c r="O9" i="8"/>
  <c r="N9" i="11"/>
  <c r="I7" i="33"/>
  <c r="I9" i="33" s="1"/>
  <c r="I5" i="31"/>
  <c r="H8" i="31"/>
  <c r="K7" i="13"/>
  <c r="K7" i="14" s="1"/>
  <c r="J5" i="15"/>
  <c r="J7" i="15" s="1"/>
  <c r="J11" i="14"/>
  <c r="J6" i="33" s="1"/>
  <c r="K10" i="13"/>
  <c r="K10" i="14" s="1"/>
  <c r="J7" i="14"/>
  <c r="K11" i="13"/>
  <c r="K6" i="15" s="1"/>
  <c r="E33" i="2"/>
  <c r="E40" i="2"/>
  <c r="C33" i="2"/>
  <c r="C40" i="2"/>
  <c r="G41" i="2"/>
  <c r="F41" i="2"/>
  <c r="E41" i="2"/>
  <c r="D41" i="2"/>
  <c r="C41" i="2"/>
  <c r="G33" i="2"/>
  <c r="G40" i="2"/>
  <c r="D33" i="2"/>
  <c r="D40" i="2"/>
  <c r="F33" i="2"/>
  <c r="F40" i="2"/>
  <c r="E21" i="1"/>
  <c r="E23" i="1" s="1"/>
  <c r="E25" i="1" s="1"/>
  <c r="E35" i="1"/>
  <c r="G21" i="1"/>
  <c r="G23" i="1" s="1"/>
  <c r="G25" i="1" s="1"/>
  <c r="G35" i="1"/>
  <c r="F21" i="1"/>
  <c r="F23" i="1" s="1"/>
  <c r="F25" i="1" s="1"/>
  <c r="F35" i="1"/>
  <c r="D21" i="1"/>
  <c r="D23" i="1" s="1"/>
  <c r="D25" i="1" s="1"/>
  <c r="D35" i="1"/>
  <c r="C21" i="1"/>
  <c r="C23" i="1" s="1"/>
  <c r="C25" i="1" s="1"/>
  <c r="C35" i="1"/>
  <c r="K11" i="11"/>
  <c r="M10" i="8"/>
  <c r="L10" i="11"/>
  <c r="M7" i="8"/>
  <c r="L7" i="11"/>
  <c r="K21" i="8"/>
  <c r="M6" i="8"/>
  <c r="L11" i="8"/>
  <c r="I8" i="36" l="1"/>
  <c r="I19" i="36"/>
  <c r="I7" i="36"/>
  <c r="J22" i="36"/>
  <c r="J20" i="36"/>
  <c r="J26" i="36"/>
  <c r="J29" i="36"/>
  <c r="J15" i="36"/>
  <c r="J9" i="36"/>
  <c r="J17" i="35" s="1"/>
  <c r="J24" i="36"/>
  <c r="I7" i="29"/>
  <c r="I10" i="29" s="1"/>
  <c r="H13" i="36"/>
  <c r="M5" i="11"/>
  <c r="M5" i="13" s="1"/>
  <c r="M5" i="14" s="1"/>
  <c r="N5" i="8"/>
  <c r="N9" i="13"/>
  <c r="N9" i="14" s="1"/>
  <c r="P9" i="8"/>
  <c r="O9" i="11"/>
  <c r="J7" i="31"/>
  <c r="J6" i="31"/>
  <c r="I8" i="31"/>
  <c r="J7" i="33"/>
  <c r="J9" i="33" s="1"/>
  <c r="J5" i="31"/>
  <c r="O20" i="29"/>
  <c r="L20" i="29"/>
  <c r="N20" i="29"/>
  <c r="J20" i="29"/>
  <c r="J28" i="29" s="1"/>
  <c r="J9" i="29" s="1"/>
  <c r="J8" i="35" s="1"/>
  <c r="M20" i="29"/>
  <c r="K20" i="29"/>
  <c r="P20" i="29"/>
  <c r="Q20" i="29"/>
  <c r="K5" i="33"/>
  <c r="K8" i="29"/>
  <c r="K16" i="35" s="1"/>
  <c r="K5" i="20"/>
  <c r="K7" i="20" s="1"/>
  <c r="K8" i="33" s="1"/>
  <c r="L10" i="13"/>
  <c r="L10" i="14"/>
  <c r="K5" i="15"/>
  <c r="K7" i="15" s="1"/>
  <c r="K11" i="14"/>
  <c r="K6" i="33" s="1"/>
  <c r="L11" i="11"/>
  <c r="L7" i="13"/>
  <c r="L11" i="13" s="1"/>
  <c r="L6" i="15" s="1"/>
  <c r="G36" i="2"/>
  <c r="G47" i="2"/>
  <c r="F36" i="2"/>
  <c r="F47" i="2"/>
  <c r="C36" i="2"/>
  <c r="C47" i="2"/>
  <c r="D36" i="2"/>
  <c r="D47" i="2"/>
  <c r="E36" i="2"/>
  <c r="E47" i="2"/>
  <c r="C36" i="1"/>
  <c r="C38" i="1"/>
  <c r="C37" i="1"/>
  <c r="D38" i="1"/>
  <c r="D36" i="1"/>
  <c r="D37" i="1"/>
  <c r="F37" i="1"/>
  <c r="F38" i="1"/>
  <c r="F36" i="1"/>
  <c r="G36" i="1"/>
  <c r="G37" i="1"/>
  <c r="G38" i="1"/>
  <c r="E38" i="1"/>
  <c r="E36" i="1"/>
  <c r="E37" i="1"/>
  <c r="N10" i="8"/>
  <c r="M10" i="11"/>
  <c r="N7" i="8"/>
  <c r="M7" i="11"/>
  <c r="L21" i="8"/>
  <c r="N6" i="8"/>
  <c r="M11" i="8"/>
  <c r="J7" i="29" l="1"/>
  <c r="J10" i="29" s="1"/>
  <c r="I13" i="36"/>
  <c r="K22" i="36"/>
  <c r="K20" i="36"/>
  <c r="K29" i="36"/>
  <c r="K15" i="36"/>
  <c r="K9" i="36"/>
  <c r="K17" i="35" s="1"/>
  <c r="K24" i="36"/>
  <c r="K26" i="36"/>
  <c r="J19" i="36"/>
  <c r="J7" i="36"/>
  <c r="J8" i="36"/>
  <c r="N5" i="11"/>
  <c r="O5" i="8"/>
  <c r="Q21" i="29"/>
  <c r="L21" i="29"/>
  <c r="P21" i="29"/>
  <c r="N21" i="29"/>
  <c r="M21" i="29"/>
  <c r="K21" i="29"/>
  <c r="K28" i="29" s="1"/>
  <c r="K9" i="29" s="1"/>
  <c r="K8" i="35" s="1"/>
  <c r="O21" i="29"/>
  <c r="Q9" i="8"/>
  <c r="Q9" i="11" s="1"/>
  <c r="Q9" i="13" s="1"/>
  <c r="Q9" i="14" s="1"/>
  <c r="P9" i="11"/>
  <c r="P9" i="13" s="1"/>
  <c r="P9" i="14" s="1"/>
  <c r="J8" i="31"/>
  <c r="K7" i="33"/>
  <c r="K9" i="33" s="1"/>
  <c r="K5" i="31"/>
  <c r="O9" i="13"/>
  <c r="O9" i="14" s="1"/>
  <c r="L5" i="33"/>
  <c r="L8" i="29"/>
  <c r="L16" i="35" s="1"/>
  <c r="L5" i="20"/>
  <c r="L7" i="20" s="1"/>
  <c r="L8" i="33" s="1"/>
  <c r="K7" i="31"/>
  <c r="K6" i="31"/>
  <c r="L7" i="14"/>
  <c r="L5" i="15"/>
  <c r="L7" i="15" s="1"/>
  <c r="L11" i="14"/>
  <c r="L6" i="33" s="1"/>
  <c r="M10" i="13"/>
  <c r="M10" i="14" s="1"/>
  <c r="M11" i="11"/>
  <c r="M7" i="13"/>
  <c r="O10" i="8"/>
  <c r="N10" i="11"/>
  <c r="O7" i="8"/>
  <c r="N7" i="11"/>
  <c r="D24" i="9"/>
  <c r="M21" i="8"/>
  <c r="O6" i="8"/>
  <c r="N11" i="8"/>
  <c r="K8" i="36" l="1"/>
  <c r="K7" i="36"/>
  <c r="K7" i="29"/>
  <c r="K10" i="29" s="1"/>
  <c r="J13" i="36"/>
  <c r="K19" i="36"/>
  <c r="L22" i="36"/>
  <c r="L20" i="36"/>
  <c r="L29" i="36"/>
  <c r="L9" i="36"/>
  <c r="L15" i="36"/>
  <c r="L24" i="36"/>
  <c r="L26" i="36"/>
  <c r="M11" i="13"/>
  <c r="M6" i="15" s="1"/>
  <c r="O5" i="11"/>
  <c r="P5" i="8"/>
  <c r="N5" i="13"/>
  <c r="N5" i="14" s="1"/>
  <c r="M5" i="33"/>
  <c r="M8" i="29"/>
  <c r="M16" i="35" s="1"/>
  <c r="M5" i="20"/>
  <c r="M7" i="20" s="1"/>
  <c r="M8" i="33" s="1"/>
  <c r="K8" i="31"/>
  <c r="L7" i="31"/>
  <c r="L6" i="31"/>
  <c r="L7" i="33"/>
  <c r="L9" i="33" s="1"/>
  <c r="L5" i="31"/>
  <c r="N22" i="29"/>
  <c r="L22" i="29"/>
  <c r="L28" i="29" s="1"/>
  <c r="L9" i="29" s="1"/>
  <c r="L8" i="35" s="1"/>
  <c r="Q22" i="29"/>
  <c r="M22" i="29"/>
  <c r="P22" i="29"/>
  <c r="O22" i="29"/>
  <c r="N10" i="13"/>
  <c r="N10" i="14" s="1"/>
  <c r="M5" i="15"/>
  <c r="M7" i="14"/>
  <c r="N11" i="11"/>
  <c r="N7" i="13"/>
  <c r="P10" i="8"/>
  <c r="O10" i="11"/>
  <c r="P7" i="8"/>
  <c r="O7" i="11"/>
  <c r="N21" i="8"/>
  <c r="P6" i="8"/>
  <c r="O11" i="8"/>
  <c r="L17" i="35" l="1"/>
  <c r="N11" i="13"/>
  <c r="N6" i="15" s="1"/>
  <c r="M7" i="15"/>
  <c r="L7" i="29"/>
  <c r="L10" i="29" s="1"/>
  <c r="K13" i="36"/>
  <c r="M22" i="36"/>
  <c r="M29" i="36"/>
  <c r="M20" i="36"/>
  <c r="M15" i="36"/>
  <c r="M24" i="36"/>
  <c r="M26" i="36"/>
  <c r="M9" i="36"/>
  <c r="L7" i="36"/>
  <c r="L8" i="36"/>
  <c r="L19" i="36"/>
  <c r="M11" i="14"/>
  <c r="M6" i="33" s="1"/>
  <c r="M6" i="31" s="1"/>
  <c r="P5" i="11"/>
  <c r="P5" i="13" s="1"/>
  <c r="P5" i="14" s="1"/>
  <c r="Q5" i="8"/>
  <c r="Q5" i="11" s="1"/>
  <c r="Q5" i="13" s="1"/>
  <c r="Q5" i="14" s="1"/>
  <c r="O5" i="13"/>
  <c r="O5" i="14" s="1"/>
  <c r="N5" i="33"/>
  <c r="N8" i="29"/>
  <c r="N16" i="35" s="1"/>
  <c r="N5" i="20"/>
  <c r="N7" i="20" s="1"/>
  <c r="N8" i="33" s="1"/>
  <c r="M5" i="31"/>
  <c r="L8" i="31"/>
  <c r="N23" i="29"/>
  <c r="Q23" i="29"/>
  <c r="M23" i="29"/>
  <c r="M28" i="29" s="1"/>
  <c r="M9" i="29" s="1"/>
  <c r="M8" i="35" s="1"/>
  <c r="O23" i="29"/>
  <c r="P23" i="29"/>
  <c r="O7" i="13"/>
  <c r="O7" i="14" s="1"/>
  <c r="O10" i="13"/>
  <c r="O10" i="14" s="1"/>
  <c r="N5" i="15"/>
  <c r="N7" i="15" s="1"/>
  <c r="N11" i="14"/>
  <c r="N6" i="33" s="1"/>
  <c r="N7" i="14"/>
  <c r="O11" i="11"/>
  <c r="Q10" i="8"/>
  <c r="Q10" i="11" s="1"/>
  <c r="P10" i="11"/>
  <c r="Q7" i="8"/>
  <c r="Q7" i="11" s="1"/>
  <c r="P7" i="11"/>
  <c r="O21" i="8"/>
  <c r="Q6" i="8"/>
  <c r="P11" i="8"/>
  <c r="M17" i="35" l="1"/>
  <c r="M8" i="36"/>
  <c r="M7" i="33"/>
  <c r="M9" i="33" s="1"/>
  <c r="M7" i="36"/>
  <c r="N20" i="36"/>
  <c r="N22" i="36"/>
  <c r="N29" i="36"/>
  <c r="N26" i="36"/>
  <c r="N9" i="36"/>
  <c r="N17" i="35" s="1"/>
  <c r="N15" i="36"/>
  <c r="N24" i="36"/>
  <c r="M7" i="29"/>
  <c r="M10" i="29" s="1"/>
  <c r="L13" i="36"/>
  <c r="M7" i="31"/>
  <c r="O11" i="13"/>
  <c r="O6" i="15" s="1"/>
  <c r="O5" i="33"/>
  <c r="O8" i="29"/>
  <c r="O16" i="35" s="1"/>
  <c r="O5" i="20"/>
  <c r="O7" i="20" s="1"/>
  <c r="O8" i="33" s="1"/>
  <c r="M8" i="31"/>
  <c r="N6" i="31"/>
  <c r="N7" i="31"/>
  <c r="O24" i="29"/>
  <c r="Q24" i="29"/>
  <c r="P24" i="29"/>
  <c r="N24" i="29"/>
  <c r="N28" i="29" s="1"/>
  <c r="N9" i="29" s="1"/>
  <c r="N8" i="35" s="1"/>
  <c r="N7" i="33"/>
  <c r="N9" i="33" s="1"/>
  <c r="N5" i="31"/>
  <c r="O5" i="15"/>
  <c r="P10" i="13"/>
  <c r="P10" i="14" s="1"/>
  <c r="Q10" i="13"/>
  <c r="Q10" i="14" s="1"/>
  <c r="P11" i="11"/>
  <c r="P7" i="13"/>
  <c r="P11" i="13" s="1"/>
  <c r="P6" i="15" s="1"/>
  <c r="Q11" i="11"/>
  <c r="Q7" i="13"/>
  <c r="P21" i="8"/>
  <c r="Q11" i="8"/>
  <c r="O11" i="14" l="1"/>
  <c r="O6" i="33" s="1"/>
  <c r="N7" i="29"/>
  <c r="N10" i="29" s="1"/>
  <c r="M13" i="36"/>
  <c r="O7" i="15"/>
  <c r="O20" i="36"/>
  <c r="O29" i="36"/>
  <c r="O22" i="36"/>
  <c r="O26" i="36"/>
  <c r="O24" i="36"/>
  <c r="O15" i="36"/>
  <c r="O9" i="36"/>
  <c r="O17" i="35" s="1"/>
  <c r="N7" i="36"/>
  <c r="M19" i="36"/>
  <c r="N19" i="36"/>
  <c r="N8" i="36"/>
  <c r="N8" i="31"/>
  <c r="Q5" i="33"/>
  <c r="Q8" i="29"/>
  <c r="Q16" i="35" s="1"/>
  <c r="Q5" i="20"/>
  <c r="Q7" i="20" s="1"/>
  <c r="Q8" i="33" s="1"/>
  <c r="Q25" i="29"/>
  <c r="P25" i="29"/>
  <c r="O25" i="29"/>
  <c r="O28" i="29" s="1"/>
  <c r="O9" i="29" s="1"/>
  <c r="O8" i="35" s="1"/>
  <c r="P5" i="33"/>
  <c r="P8" i="29"/>
  <c r="P16" i="35" s="1"/>
  <c r="P5" i="20"/>
  <c r="P7" i="20" s="1"/>
  <c r="P8" i="33" s="1"/>
  <c r="O7" i="33"/>
  <c r="O9" i="33" s="1"/>
  <c r="O5" i="31"/>
  <c r="O6" i="31"/>
  <c r="O7" i="31"/>
  <c r="Q11" i="13"/>
  <c r="Q6" i="15" s="1"/>
  <c r="Q5" i="15"/>
  <c r="P5" i="15"/>
  <c r="P7" i="15" s="1"/>
  <c r="P11" i="14"/>
  <c r="P6" i="33" s="1"/>
  <c r="Q7" i="14"/>
  <c r="P7" i="14"/>
  <c r="Q21" i="8"/>
  <c r="D25" i="9"/>
  <c r="O7" i="29" l="1"/>
  <c r="O10" i="29" s="1"/>
  <c r="N13" i="36"/>
  <c r="O7" i="36"/>
  <c r="O19" i="36"/>
  <c r="O8" i="36"/>
  <c r="P5" i="31"/>
  <c r="P20" i="36"/>
  <c r="P26" i="36"/>
  <c r="P29" i="36"/>
  <c r="P22" i="36"/>
  <c r="P9" i="36"/>
  <c r="P24" i="36"/>
  <c r="P15" i="36"/>
  <c r="Q11" i="14"/>
  <c r="Q6" i="33" s="1"/>
  <c r="Q7" i="33" s="1"/>
  <c r="Q9" i="33" s="1"/>
  <c r="Q27" i="29"/>
  <c r="Q7" i="15"/>
  <c r="Q5" i="31"/>
  <c r="Q24" i="36"/>
  <c r="Q20" i="36"/>
  <c r="Q29" i="36"/>
  <c r="Q26" i="36"/>
  <c r="Q15" i="36"/>
  <c r="Q22" i="36"/>
  <c r="Q9" i="36"/>
  <c r="O8" i="31"/>
  <c r="P26" i="29"/>
  <c r="P28" i="29" s="1"/>
  <c r="P9" i="29" s="1"/>
  <c r="P8" i="35" s="1"/>
  <c r="Q26" i="29"/>
  <c r="P7" i="33"/>
  <c r="P9" i="33" s="1"/>
  <c r="P7" i="31"/>
  <c r="P6" i="31"/>
  <c r="Q17" i="35" l="1"/>
  <c r="P17" i="35"/>
  <c r="Q28" i="29"/>
  <c r="Q9" i="29" s="1"/>
  <c r="Q8" i="35" s="1"/>
  <c r="P8" i="36"/>
  <c r="P19" i="36"/>
  <c r="P7" i="36"/>
  <c r="P7" i="29"/>
  <c r="P10" i="29" s="1"/>
  <c r="O13" i="36"/>
  <c r="Q6" i="31"/>
  <c r="Q7" i="31"/>
  <c r="Q7" i="36"/>
  <c r="Q8" i="31"/>
  <c r="P8" i="31"/>
  <c r="Q19" i="36" l="1"/>
  <c r="Q8" i="36"/>
  <c r="Q7" i="29"/>
  <c r="Q10" i="29" s="1"/>
  <c r="Q13" i="36" s="1"/>
  <c r="P13" i="36"/>
  <c r="P7" i="35" l="1"/>
  <c r="P9" i="35"/>
  <c r="P20" i="35" s="1"/>
  <c r="P6" i="41" s="1"/>
  <c r="K7" i="35"/>
  <c r="K9" i="35" s="1"/>
  <c r="K20" i="35" s="1"/>
  <c r="K6" i="41" s="1"/>
  <c r="J7" i="35"/>
  <c r="J9" i="35" s="1"/>
  <c r="J20" i="35" s="1"/>
  <c r="J6" i="41" s="1"/>
  <c r="M7" i="35"/>
  <c r="M9" i="35" s="1"/>
  <c r="M20" i="35" s="1"/>
  <c r="M6" i="41" s="1"/>
  <c r="O7" i="35"/>
  <c r="O9" i="35"/>
  <c r="O20" i="35" s="1"/>
  <c r="O6" i="41" s="1"/>
  <c r="Q7" i="35"/>
  <c r="Q9" i="35" s="1"/>
  <c r="Q20" i="35" s="1"/>
  <c r="Q6" i="41" s="1"/>
  <c r="L7" i="35"/>
  <c r="L9" i="35" s="1"/>
  <c r="L20" i="35" s="1"/>
  <c r="L6" i="41" s="1"/>
  <c r="N7" i="35"/>
  <c r="N9" i="35"/>
  <c r="N20" i="35" s="1"/>
  <c r="N6" i="41" s="1"/>
  <c r="I7" i="35"/>
  <c r="I9" i="35"/>
  <c r="I20" i="35" s="1"/>
  <c r="H7" i="35"/>
  <c r="H9" i="35"/>
  <c r="H20" i="35" s="1"/>
  <c r="H6" i="41" s="1"/>
  <c r="I18" i="38" l="1"/>
  <c r="I19" i="38" s="1"/>
  <c r="I6" i="41"/>
  <c r="M18" i="38"/>
  <c r="Q18" i="38"/>
  <c r="J18" i="38"/>
  <c r="H18" i="38"/>
  <c r="L18" i="38"/>
  <c r="O18" i="38"/>
  <c r="K18" i="38"/>
  <c r="P18" i="38"/>
  <c r="N18" i="38"/>
  <c r="I20" i="38" l="1"/>
  <c r="L19" i="38"/>
  <c r="L20" i="38"/>
  <c r="Q19" i="38"/>
  <c r="Q20" i="38"/>
  <c r="K19" i="38"/>
  <c r="K20" i="38"/>
  <c r="O19" i="38"/>
  <c r="O20" i="38"/>
  <c r="H20" i="38"/>
  <c r="H19" i="38"/>
  <c r="J20" i="38"/>
  <c r="J19" i="38"/>
  <c r="N19" i="38"/>
  <c r="N20" i="38"/>
  <c r="P20" i="38"/>
  <c r="P19" i="38"/>
  <c r="M20" i="38"/>
  <c r="M19" i="38"/>
  <c r="H28" i="36" l="1"/>
  <c r="H15" i="40" s="1"/>
  <c r="H11" i="38"/>
  <c r="I11" i="38" l="1"/>
  <c r="H12" i="38"/>
  <c r="H10" i="33" s="1"/>
  <c r="H31" i="36"/>
  <c r="I28" i="36"/>
  <c r="I15" i="40" s="1"/>
  <c r="H23" i="35"/>
  <c r="I31" i="36" l="1"/>
  <c r="J28" i="36"/>
  <c r="J15" i="40" s="1"/>
  <c r="I23" i="35"/>
  <c r="H11" i="33"/>
  <c r="H22" i="35"/>
  <c r="I12" i="38"/>
  <c r="I10" i="33" s="1"/>
  <c r="J11" i="38"/>
  <c r="I22" i="35" l="1"/>
  <c r="I11" i="33"/>
  <c r="K28" i="36"/>
  <c r="K15" i="40" s="1"/>
  <c r="J23" i="35"/>
  <c r="J31" i="36"/>
  <c r="J12" i="38"/>
  <c r="J10" i="33" s="1"/>
  <c r="K11" i="38"/>
  <c r="H12" i="33"/>
  <c r="H25" i="35" s="1"/>
  <c r="H14" i="33" l="1"/>
  <c r="H32" i="36" s="1"/>
  <c r="H16" i="40" s="1"/>
  <c r="K12" i="38"/>
  <c r="K10" i="33" s="1"/>
  <c r="L11" i="38"/>
  <c r="H24" i="35"/>
  <c r="H28" i="35" s="1"/>
  <c r="H31" i="35" s="1"/>
  <c r="H32" i="35" s="1"/>
  <c r="H34" i="36"/>
  <c r="I12" i="33"/>
  <c r="I25" i="35" s="1"/>
  <c r="J22" i="35"/>
  <c r="J11" i="33"/>
  <c r="K23" i="35"/>
  <c r="L28" i="36"/>
  <c r="L15" i="40" s="1"/>
  <c r="K31" i="36"/>
  <c r="H19" i="40" l="1"/>
  <c r="H18" i="40"/>
  <c r="H24" i="40" s="1"/>
  <c r="H9" i="41" s="1"/>
  <c r="H10" i="41" s="1"/>
  <c r="J12" i="33"/>
  <c r="J25" i="35" s="1"/>
  <c r="L31" i="36"/>
  <c r="M28" i="36"/>
  <c r="M15" i="40" s="1"/>
  <c r="L23" i="35"/>
  <c r="H5" i="36"/>
  <c r="H17" i="36" s="1"/>
  <c r="H36" i="36" s="1"/>
  <c r="I30" i="35"/>
  <c r="M11" i="38"/>
  <c r="L12" i="38"/>
  <c r="L10" i="33" s="1"/>
  <c r="I14" i="33"/>
  <c r="I32" i="36" s="1"/>
  <c r="I16" i="40" s="1"/>
  <c r="K11" i="33"/>
  <c r="K22" i="35"/>
  <c r="I19" i="40" l="1"/>
  <c r="I18" i="40"/>
  <c r="I24" i="40" s="1"/>
  <c r="I9" i="41" s="1"/>
  <c r="I10" i="41" s="1"/>
  <c r="J14" i="33"/>
  <c r="H34" i="35"/>
  <c r="K12" i="33"/>
  <c r="K25" i="35" s="1"/>
  <c r="N11" i="38"/>
  <c r="M12" i="38"/>
  <c r="M10" i="33" s="1"/>
  <c r="L22" i="35"/>
  <c r="L11" i="33"/>
  <c r="J32" i="36"/>
  <c r="J16" i="40" s="1"/>
  <c r="I24" i="35"/>
  <c r="I28" i="35" s="1"/>
  <c r="I31" i="35" s="1"/>
  <c r="I32" i="35" s="1"/>
  <c r="I34" i="36"/>
  <c r="M23" i="35"/>
  <c r="M31" i="36"/>
  <c r="N28" i="36"/>
  <c r="N15" i="40" s="1"/>
  <c r="J19" i="40" l="1"/>
  <c r="J18" i="40"/>
  <c r="J24" i="40" s="1"/>
  <c r="J9" i="41" s="1"/>
  <c r="J10" i="41" s="1"/>
  <c r="K14" i="33"/>
  <c r="J30" i="35"/>
  <c r="I5" i="36"/>
  <c r="I17" i="36" s="1"/>
  <c r="I36" i="36" s="1"/>
  <c r="L12" i="33"/>
  <c r="L25" i="35" s="1"/>
  <c r="O28" i="36"/>
  <c r="O15" i="40" s="1"/>
  <c r="N31" i="36"/>
  <c r="N23" i="35"/>
  <c r="K32" i="36"/>
  <c r="K16" i="40" s="1"/>
  <c r="J24" i="35"/>
  <c r="J28" i="35" s="1"/>
  <c r="J31" i="35" s="1"/>
  <c r="J34" i="36"/>
  <c r="M22" i="35"/>
  <c r="M11" i="33"/>
  <c r="O11" i="38"/>
  <c r="N12" i="38"/>
  <c r="N10" i="33" s="1"/>
  <c r="K19" i="40" l="1"/>
  <c r="K18" i="40"/>
  <c r="I34" i="35"/>
  <c r="K24" i="35"/>
  <c r="K28" i="35" s="1"/>
  <c r="K31" i="35" s="1"/>
  <c r="K34" i="36"/>
  <c r="O23" i="35"/>
  <c r="O31" i="36"/>
  <c r="P28" i="36"/>
  <c r="P15" i="40" s="1"/>
  <c r="M12" i="33"/>
  <c r="M25" i="35" s="1"/>
  <c r="L14" i="33"/>
  <c r="L32" i="36" s="1"/>
  <c r="L16" i="40" s="1"/>
  <c r="O12" i="38"/>
  <c r="O10" i="33" s="1"/>
  <c r="P11" i="38"/>
  <c r="N11" i="33"/>
  <c r="N22" i="35"/>
  <c r="J32" i="35"/>
  <c r="L19" i="40" l="1"/>
  <c r="L18" i="40"/>
  <c r="L24" i="40" s="1"/>
  <c r="L9" i="41" s="1"/>
  <c r="L10" i="41" s="1"/>
  <c r="K24" i="40"/>
  <c r="K9" i="41" s="1"/>
  <c r="K10" i="41" s="1"/>
  <c r="L24" i="35"/>
  <c r="L28" i="35" s="1"/>
  <c r="L31" i="35" s="1"/>
  <c r="L34" i="36"/>
  <c r="K30" i="35"/>
  <c r="K32" i="35" s="1"/>
  <c r="J5" i="36"/>
  <c r="J17" i="36" s="1"/>
  <c r="J36" i="36" s="1"/>
  <c r="O11" i="33"/>
  <c r="O22" i="35"/>
  <c r="P23" i="35"/>
  <c r="P31" i="36"/>
  <c r="Q28" i="36"/>
  <c r="Q15" i="40" s="1"/>
  <c r="M14" i="33"/>
  <c r="M32" i="36" s="1"/>
  <c r="M16" i="40" s="1"/>
  <c r="N12" i="33"/>
  <c r="N25" i="35" s="1"/>
  <c r="Q11" i="38"/>
  <c r="Q12" i="38" s="1"/>
  <c r="Q10" i="33" s="1"/>
  <c r="P12" i="38"/>
  <c r="P10" i="33" s="1"/>
  <c r="M19" i="40" l="1"/>
  <c r="M18" i="40"/>
  <c r="M24" i="40" s="1"/>
  <c r="M9" i="41" s="1"/>
  <c r="M10" i="41" s="1"/>
  <c r="M24" i="35"/>
  <c r="M28" i="35" s="1"/>
  <c r="M31" i="35" s="1"/>
  <c r="M34" i="36"/>
  <c r="Q11" i="33"/>
  <c r="Q22" i="35"/>
  <c r="N14" i="33"/>
  <c r="N32" i="36" s="1"/>
  <c r="N16" i="40" s="1"/>
  <c r="O12" i="33"/>
  <c r="O25" i="35" s="1"/>
  <c r="J34" i="35"/>
  <c r="Q23" i="35"/>
  <c r="Q31" i="36"/>
  <c r="K5" i="36"/>
  <c r="K17" i="36" s="1"/>
  <c r="K36" i="36" s="1"/>
  <c r="L30" i="35"/>
  <c r="L32" i="35" s="1"/>
  <c r="P11" i="33"/>
  <c r="P22" i="35"/>
  <c r="N19" i="40" l="1"/>
  <c r="N18" i="40"/>
  <c r="N24" i="40" s="1"/>
  <c r="N9" i="41" s="1"/>
  <c r="N10" i="41" s="1"/>
  <c r="K34" i="35"/>
  <c r="N24" i="35"/>
  <c r="N28" i="35" s="1"/>
  <c r="N31" i="35" s="1"/>
  <c r="N34" i="36"/>
  <c r="L5" i="36"/>
  <c r="L17" i="36" s="1"/>
  <c r="L36" i="36" s="1"/>
  <c r="M30" i="35"/>
  <c r="M32" i="35" s="1"/>
  <c r="O14" i="33"/>
  <c r="O32" i="36" s="1"/>
  <c r="O16" i="40" s="1"/>
  <c r="Q12" i="33"/>
  <c r="Q25" i="35" s="1"/>
  <c r="P12" i="33"/>
  <c r="P25" i="35" s="1"/>
  <c r="O19" i="40" l="1"/>
  <c r="O18" i="40"/>
  <c r="O24" i="40" s="1"/>
  <c r="O9" i="41" s="1"/>
  <c r="O10" i="41" s="1"/>
  <c r="L34" i="35"/>
  <c r="P14" i="33"/>
  <c r="P32" i="36" s="1"/>
  <c r="P16" i="40" s="1"/>
  <c r="O24" i="35"/>
  <c r="O28" i="35" s="1"/>
  <c r="O31" i="35" s="1"/>
  <c r="O34" i="36"/>
  <c r="N30" i="35"/>
  <c r="N32" i="35" s="1"/>
  <c r="M5" i="36"/>
  <c r="M17" i="36" s="1"/>
  <c r="M36" i="36" s="1"/>
  <c r="Q14" i="33"/>
  <c r="P19" i="40" l="1"/>
  <c r="P18" i="40"/>
  <c r="M34" i="35"/>
  <c r="O30" i="35"/>
  <c r="O32" i="35" s="1"/>
  <c r="N5" i="36"/>
  <c r="N17" i="36" s="1"/>
  <c r="N36" i="36" s="1"/>
  <c r="Q32" i="36"/>
  <c r="Q16" i="40" s="1"/>
  <c r="P24" i="35"/>
  <c r="P28" i="35" s="1"/>
  <c r="P31" i="35" s="1"/>
  <c r="P34" i="36"/>
  <c r="P24" i="40" l="1"/>
  <c r="P9" i="41" s="1"/>
  <c r="P10" i="41" s="1"/>
  <c r="Q19" i="40"/>
  <c r="Q18" i="40"/>
  <c r="O5" i="36"/>
  <c r="O17" i="36" s="1"/>
  <c r="O36" i="36" s="1"/>
  <c r="P30" i="35"/>
  <c r="P32" i="35" s="1"/>
  <c r="Q24" i="35"/>
  <c r="Q28" i="35" s="1"/>
  <c r="Q31" i="35" s="1"/>
  <c r="Q34" i="36"/>
  <c r="N34" i="35"/>
  <c r="Q24" i="40" l="1"/>
  <c r="Q9" i="41" s="1"/>
  <c r="Q30" i="35"/>
  <c r="Q32" i="35" s="1"/>
  <c r="P5" i="36"/>
  <c r="P17" i="36" s="1"/>
  <c r="P36" i="36" s="1"/>
  <c r="O34" i="35"/>
  <c r="Q10" i="41" l="1"/>
  <c r="F14" i="41" s="1"/>
  <c r="Q7" i="41"/>
  <c r="P34" i="35"/>
  <c r="Q5" i="36"/>
  <c r="Q17" i="36" s="1"/>
  <c r="Q36" i="36" s="1"/>
  <c r="F15" i="41" l="1"/>
  <c r="Q11" i="41"/>
  <c r="F16" i="41" s="1"/>
  <c r="F17" i="41"/>
  <c r="F20" i="41" s="1"/>
  <c r="F22" i="41" s="1"/>
  <c r="Q34" i="3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7E15A4-876C-4163-AEA5-D930F00D8F1E}" keepAlive="1" name="Query - Deliveries" description="Connection to the 'Deliveries' query in the workbook." type="5" refreshedVersion="0" background="1">
    <dbPr connection="Provider=Microsoft.Mashup.OleDb.1;Data Source=$Workbook$;Location=Deliveries;Extended Properties=&quot;&quot;" command="SELECT * FROM [Deliveries]"/>
  </connection>
</connections>
</file>

<file path=xl/sharedStrings.xml><?xml version="1.0" encoding="utf-8"?>
<sst xmlns="http://schemas.openxmlformats.org/spreadsheetml/2006/main" count="1005" uniqueCount="343">
  <si>
    <t>Fiscal year is January-December. All values USD Millions.</t>
  </si>
  <si>
    <t>Sales/Revenue</t>
  </si>
  <si>
    <t>-</t>
  </si>
  <si>
    <t>Cost of Goods Sold (COGS) incl. D&amp;A</t>
  </si>
  <si>
    <t>Research &amp; Development</t>
  </si>
  <si>
    <t>Other SG&amp;A</t>
  </si>
  <si>
    <t>EBIT</t>
  </si>
  <si>
    <t>Interest Expense</t>
  </si>
  <si>
    <t>Minority Interest Expense</t>
  </si>
  <si>
    <t>EBT</t>
  </si>
  <si>
    <t>Restructuring and other</t>
  </si>
  <si>
    <t>Other income (expense), net</t>
  </si>
  <si>
    <t>Interest Income</t>
  </si>
  <si>
    <t>Provision for Income Tax</t>
  </si>
  <si>
    <t>Net loss incl. minority interests</t>
  </si>
  <si>
    <t>Gross Profit</t>
  </si>
  <si>
    <t>KPIs</t>
  </si>
  <si>
    <t>Revenue % automotive y-o-y</t>
  </si>
  <si>
    <t>Revenue % generation y-o-y</t>
  </si>
  <si>
    <t>Revenue % services y-o-y</t>
  </si>
  <si>
    <t>GP% automotive</t>
  </si>
  <si>
    <t>GP% energy generation and automotive</t>
  </si>
  <si>
    <t>GP% services and other</t>
  </si>
  <si>
    <t>Overall GP%</t>
  </si>
  <si>
    <t>EBIT %</t>
  </si>
  <si>
    <t>P&amp;L Input</t>
  </si>
  <si>
    <t>Assets</t>
  </si>
  <si>
    <t>Accounts Receivables, Net</t>
  </si>
  <si>
    <t>Total Current Assets</t>
  </si>
  <si>
    <t>Other Long-Term Investments</t>
  </si>
  <si>
    <t>Long-Term Note Receivable</t>
  </si>
  <si>
    <t>Intangible Assets</t>
  </si>
  <si>
    <t>Other Assets</t>
  </si>
  <si>
    <t>Total Assets</t>
  </si>
  <si>
    <t>Liabilities &amp; Shareholders' Equity</t>
  </si>
  <si>
    <t>All values USD Millions.</t>
  </si>
  <si>
    <t>Short Term Debt</t>
  </si>
  <si>
    <t>Current Portion of Long Term Debt</t>
  </si>
  <si>
    <t>Accounts Payable</t>
  </si>
  <si>
    <t>Income Tax Payable</t>
  </si>
  <si>
    <t>Other Current Liabilities</t>
  </si>
  <si>
    <t>Total Current Liabilities</t>
  </si>
  <si>
    <t>Long-Term Debt</t>
  </si>
  <si>
    <t>Provision for Risks &amp; Charges</t>
  </si>
  <si>
    <t>Deferred Taxes</t>
  </si>
  <si>
    <t>Other Liabilities</t>
  </si>
  <si>
    <t>Total Liabilities</t>
  </si>
  <si>
    <t>Total Shareholders' Equity</t>
  </si>
  <si>
    <t>Inventory</t>
  </si>
  <si>
    <t>Prepaid expenses and other current assets</t>
  </si>
  <si>
    <t>Noncontrolling interests in subsidiaries</t>
  </si>
  <si>
    <t>Liquidity ratios</t>
  </si>
  <si>
    <t>Quick ratio</t>
  </si>
  <si>
    <t>Current ratio</t>
  </si>
  <si>
    <t>DSO</t>
  </si>
  <si>
    <t>DIO</t>
  </si>
  <si>
    <t>DPO</t>
  </si>
  <si>
    <t>Net Trading Cycle</t>
  </si>
  <si>
    <t>Solvency ratios</t>
  </si>
  <si>
    <t>Debt ratio</t>
  </si>
  <si>
    <t>Interest coverage</t>
  </si>
  <si>
    <t>Non current deferred assets</t>
  </si>
  <si>
    <t>INPUT---&gt;</t>
  </si>
  <si>
    <t>Balance Sheet Input</t>
  </si>
  <si>
    <t>Drivers</t>
  </si>
  <si>
    <t>Selected case</t>
  </si>
  <si>
    <t>Company</t>
  </si>
  <si>
    <t>Currency</t>
  </si>
  <si>
    <t>Domestic country</t>
  </si>
  <si>
    <t>Market risk premium US</t>
  </si>
  <si>
    <t>Corporate tax rate</t>
  </si>
  <si>
    <t>Expected inflation</t>
  </si>
  <si>
    <t>10-year treasury yield (Mar 29 2024)</t>
  </si>
  <si>
    <t>Company beta (Mar 29 2024)</t>
  </si>
  <si>
    <t>Bond Yield (Mar 29 2024)</t>
  </si>
  <si>
    <t>Tesla</t>
  </si>
  <si>
    <t>USD</t>
  </si>
  <si>
    <t>United States</t>
  </si>
  <si>
    <t>Tesla share price (Aug 15 2025)</t>
  </si>
  <si>
    <t>Workings---&gt;</t>
  </si>
  <si>
    <t>Deliveries</t>
  </si>
  <si>
    <t>Tesla Deliveries</t>
  </si>
  <si>
    <t>Vehicle</t>
  </si>
  <si>
    <t>2019
Act</t>
  </si>
  <si>
    <t>2024
Fcst</t>
  </si>
  <si>
    <t>2025
Fcst</t>
  </si>
  <si>
    <t>2026
Fcst</t>
  </si>
  <si>
    <t>2027
Fcst</t>
  </si>
  <si>
    <t>2028
Fcst</t>
  </si>
  <si>
    <t>2029
Fcst</t>
  </si>
  <si>
    <t>Tesla Model 3</t>
  </si>
  <si>
    <t>Tesla Model S and X</t>
  </si>
  <si>
    <t>Tesla Model Y</t>
  </si>
  <si>
    <t>Tesla Roadster 2</t>
  </si>
  <si>
    <t>Tesla Pickup</t>
  </si>
  <si>
    <t>Tesla Semi</t>
  </si>
  <si>
    <t>Total</t>
  </si>
  <si>
    <t>y-o-y growth %</t>
  </si>
  <si>
    <t>n.a.</t>
  </si>
  <si>
    <t>Assumed growth after introduction:</t>
  </si>
  <si>
    <t>2 years</t>
  </si>
  <si>
    <t>onwards</t>
  </si>
  <si>
    <t>2020
Act</t>
  </si>
  <si>
    <t>2021
Act</t>
  </si>
  <si>
    <t>2022
Act</t>
  </si>
  <si>
    <t>2023
Act</t>
  </si>
  <si>
    <t>2030
Fcst</t>
  </si>
  <si>
    <t>2031
Fcst</t>
  </si>
  <si>
    <t>2032
Fcst</t>
  </si>
  <si>
    <t>2033
Fcst</t>
  </si>
  <si>
    <t>Deliveries comparables</t>
  </si>
  <si>
    <t>Average</t>
  </si>
  <si>
    <t>Adj. Average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</si>
  <si>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</si>
  <si>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</si>
  <si>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</si>
  <si>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</si>
  <si>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</si>
  <si>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</si>
  <si>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</si>
  <si>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</si>
  <si>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</si>
  <si>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</si>
  <si>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</si>
  <si>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Tesla Expected Deliveries</t>
  </si>
  <si>
    <t>Vehicle Sales 2019-2023 average</t>
  </si>
  <si>
    <t>Comparables 2019-2023</t>
  </si>
  <si>
    <t>Average prices</t>
  </si>
  <si>
    <t>Model and Version</t>
  </si>
  <si>
    <t>Range</t>
  </si>
  <si>
    <t>Base price</t>
  </si>
  <si>
    <t>Fully loaded</t>
  </si>
  <si>
    <t>Average Price per Model</t>
  </si>
  <si>
    <t>Model 3 Standard Range Plus</t>
  </si>
  <si>
    <t>250 miles</t>
  </si>
  <si>
    <t>Model 3 Long Range</t>
  </si>
  <si>
    <t>322 miles</t>
  </si>
  <si>
    <t>Model 3 Performance</t>
  </si>
  <si>
    <t>Average Model 3</t>
  </si>
  <si>
    <t>Model S Long Range</t>
  </si>
  <si>
    <t>373 miles</t>
  </si>
  <si>
    <t>Model S Performance</t>
  </si>
  <si>
    <t>348 miles</t>
  </si>
  <si>
    <t>Model X Long Range</t>
  </si>
  <si>
    <t>328 miles</t>
  </si>
  <si>
    <t>Model X Performance</t>
  </si>
  <si>
    <t>305 miles</t>
  </si>
  <si>
    <t>Average Model S and X</t>
  </si>
  <si>
    <t>Model</t>
  </si>
  <si>
    <t>Max price</t>
  </si>
  <si>
    <t>CyberTruck</t>
  </si>
  <si>
    <t>Model Y</t>
  </si>
  <si>
    <t>Semi</t>
  </si>
  <si>
    <t>Model Y Standard Range Plus</t>
  </si>
  <si>
    <t>Model Y Long Range</t>
  </si>
  <si>
    <t>Model Y Performance</t>
  </si>
  <si>
    <t>Average Model Y</t>
  </si>
  <si>
    <t>Roadster 2023</t>
  </si>
  <si>
    <t>Average Price ($)</t>
  </si>
  <si>
    <t>Revenue Automotive</t>
  </si>
  <si>
    <t xml:space="preserve"> </t>
  </si>
  <si>
    <t>Tesla Revenue Automotive (in mln $)</t>
  </si>
  <si>
    <t>Best case</t>
  </si>
  <si>
    <t>Base case</t>
  </si>
  <si>
    <t>Worst case</t>
  </si>
  <si>
    <t>Services Revenue</t>
  </si>
  <si>
    <t>Energy Revenue</t>
  </si>
  <si>
    <t>Automotive Revenue</t>
  </si>
  <si>
    <t>Automotive cost of revenues</t>
  </si>
  <si>
    <t>Energy generation and storage cost of revenues</t>
  </si>
  <si>
    <t>Services and other cost of revenues</t>
  </si>
  <si>
    <t>Net Income/loss %</t>
  </si>
  <si>
    <t>Net Income/Loss</t>
  </si>
  <si>
    <t>Return On Assets (ROA)</t>
  </si>
  <si>
    <t>Return Onn Equity (ROE)</t>
  </si>
  <si>
    <t>&lt;0</t>
  </si>
  <si>
    <t>GP %</t>
  </si>
  <si>
    <t>Comparable companies</t>
  </si>
  <si>
    <t>GP %
Comp. 1</t>
  </si>
  <si>
    <t>GP %
Comp. 2</t>
  </si>
  <si>
    <t>GP %
Comp. 3</t>
  </si>
  <si>
    <t>GM, Ford, Fiat Chrysler</t>
  </si>
  <si>
    <t>Historic</t>
  </si>
  <si>
    <t>BMW, Mercedes Cars, Volkswagen</t>
  </si>
  <si>
    <t>Comparables</t>
  </si>
  <si>
    <t>Jaguar, Porsche, Ferrari</t>
  </si>
  <si>
    <t>Scania, MAN, Paccar</t>
  </si>
  <si>
    <t>Historical</t>
  </si>
  <si>
    <t xml:space="preserve">  </t>
  </si>
  <si>
    <t>Historic Average GP%</t>
  </si>
  <si>
    <t>Comparables 2023</t>
  </si>
  <si>
    <t>GP automotive</t>
  </si>
  <si>
    <t>GP Automotive</t>
  </si>
  <si>
    <t>Tesla Gross Profit Automotive (in mln $)</t>
  </si>
  <si>
    <t>Cost of sales Automotive</t>
  </si>
  <si>
    <t>Revenue automotive</t>
  </si>
  <si>
    <t>Tesla Cost of Sales Automotive (in mln $)</t>
  </si>
  <si>
    <t>Total Energy and Other</t>
  </si>
  <si>
    <t>Y-o-Y %</t>
  </si>
  <si>
    <t>Energy generation and storage</t>
  </si>
  <si>
    <t>Services and other</t>
  </si>
  <si>
    <t>($ in million)</t>
  </si>
  <si>
    <t>Revenue Energy &amp; Other</t>
  </si>
  <si>
    <t>Tesla Revenue Energy &amp; Other (in mln $)</t>
  </si>
  <si>
    <t>Gross Profit Energy &amp; Other</t>
  </si>
  <si>
    <t>Tesla Gross Profit Energy &amp; Other (in mln $)</t>
  </si>
  <si>
    <t>Cost of Sales Energy &amp; Other</t>
  </si>
  <si>
    <t>Tesla Cost of Sales Energy &amp; Other (in mln $)</t>
  </si>
  <si>
    <t>Tesla Revenue &amp; Gross Profit Automotive (in mln $)</t>
  </si>
  <si>
    <t>Revenue &amp; GP Automotive</t>
  </si>
  <si>
    <t>Opex comparables</t>
  </si>
  <si>
    <t>Comparables - 2023</t>
  </si>
  <si>
    <t>Opex</t>
  </si>
  <si>
    <t>Revenues</t>
  </si>
  <si>
    <t>Opex as %age of revenues</t>
  </si>
  <si>
    <t>PP&amp;E---&gt;</t>
  </si>
  <si>
    <t>Balance Sheet---&gt;</t>
  </si>
  <si>
    <t>PP&amp;E</t>
  </si>
  <si>
    <t>D&amp;A</t>
  </si>
  <si>
    <t>Capex</t>
  </si>
  <si>
    <t>Beginning PP&amp;E</t>
  </si>
  <si>
    <t>Ending PP&amp;E</t>
  </si>
  <si>
    <t>Useful life historical assets</t>
  </si>
  <si>
    <t>Useful life Capex</t>
  </si>
  <si>
    <t>Total D&amp;A</t>
  </si>
  <si>
    <t>Capex as a % of PP&amp;E</t>
  </si>
  <si>
    <t>Capex as a % of revenue</t>
  </si>
  <si>
    <t>Capex %</t>
  </si>
  <si>
    <t>Capex as a %age of PP&amp;E</t>
  </si>
  <si>
    <t>Capex as a %age of revenues</t>
  </si>
  <si>
    <t>Mercedes</t>
  </si>
  <si>
    <t>PP&amp;E comparables</t>
  </si>
  <si>
    <t>Tesla PP&amp;E (in mln $)</t>
  </si>
  <si>
    <t>Tesla D&amp;A (in mln $)</t>
  </si>
  <si>
    <t>Working Capital---&gt;</t>
  </si>
  <si>
    <t>Working Capital</t>
  </si>
  <si>
    <t>Net trade cycle</t>
  </si>
  <si>
    <t>DSO=ACC. RECEIVEVABLES/REVENUES * 360</t>
  </si>
  <si>
    <t>DIO=INVENTORY/COGS * 360</t>
  </si>
  <si>
    <t>DPO=ACC. PAYABLES/COGS * 360</t>
  </si>
  <si>
    <t>OUTPUT---&gt;</t>
  </si>
  <si>
    <t>P&amp;L</t>
  </si>
  <si>
    <t>COGS</t>
  </si>
  <si>
    <t>Operating Expenses</t>
  </si>
  <si>
    <t>Interest expenses/income</t>
  </si>
  <si>
    <t>Taxes</t>
  </si>
  <si>
    <t>Minority interest</t>
  </si>
  <si>
    <t>Net Income</t>
  </si>
  <si>
    <t>CHECK</t>
  </si>
  <si>
    <t>Net income</t>
  </si>
  <si>
    <t>Tesla Working capital (in mln $)</t>
  </si>
  <si>
    <t>Tesla P&amp;L (in mln $)</t>
  </si>
  <si>
    <t>Tesla Cash Flow (in mln $)</t>
  </si>
  <si>
    <t>Operating taxes</t>
  </si>
  <si>
    <t>NOPAT</t>
  </si>
  <si>
    <t>Add back D&amp;A</t>
  </si>
  <si>
    <t>Gross Cash Flow</t>
  </si>
  <si>
    <t>Trade receivables</t>
  </si>
  <si>
    <t>Accounts payable</t>
  </si>
  <si>
    <t>Investments in Working Capital</t>
  </si>
  <si>
    <t>Other assets</t>
  </si>
  <si>
    <t>Other liabilities</t>
  </si>
  <si>
    <t>Unlevered Free Cash Flow (UFCF)</t>
  </si>
  <si>
    <t>Interest expenses</t>
  </si>
  <si>
    <t>Delta financial liabilities</t>
  </si>
  <si>
    <t>Delta equity/Other equity movements</t>
  </si>
  <si>
    <t>Tax adjustment</t>
  </si>
  <si>
    <t>Net Cash Flow</t>
  </si>
  <si>
    <t>Balance Sheet</t>
  </si>
  <si>
    <t>Tesla BS (in mln $)</t>
  </si>
  <si>
    <t>Assumption</t>
  </si>
  <si>
    <t>Cash</t>
  </si>
  <si>
    <t>Cash flow sheet</t>
  </si>
  <si>
    <t>Restricted cash and securities</t>
  </si>
  <si>
    <t>Stays flat</t>
  </si>
  <si>
    <t>Working capital sheet</t>
  </si>
  <si>
    <t>Prepaid expenses</t>
  </si>
  <si>
    <t>Grows as a % of revenues</t>
  </si>
  <si>
    <t>as a % of revenues</t>
  </si>
  <si>
    <t>PP&amp;E sheet</t>
  </si>
  <si>
    <t>Intangible assets</t>
  </si>
  <si>
    <t>Total assets</t>
  </si>
  <si>
    <t>Accrued liabilities</t>
  </si>
  <si>
    <t>Resale value guarantees</t>
  </si>
  <si>
    <t>Long-term debt</t>
  </si>
  <si>
    <t>Financing sheet</t>
  </si>
  <si>
    <t>Total liabilities</t>
  </si>
  <si>
    <t>Equity</t>
  </si>
  <si>
    <t>Total liabilities &amp; equity</t>
  </si>
  <si>
    <t>Check</t>
  </si>
  <si>
    <t>Restricted cash/ marketable securities</t>
  </si>
  <si>
    <t>Cash/ cash equivalents</t>
  </si>
  <si>
    <t>Net operating lease vehicles, Net Solar energy systems leased and to be leased, Operating lease right-of-use assets, D&amp;A</t>
  </si>
  <si>
    <t>Net PP&amp;E</t>
  </si>
  <si>
    <t>Operating lease vehicles/ Solar energy systems leased</t>
  </si>
  <si>
    <t>Non controlling interests in subsidiaries</t>
  </si>
  <si>
    <t>1 + 2 + 3 + 4 + 5</t>
  </si>
  <si>
    <t>Working Capital Development (2019-33)</t>
  </si>
  <si>
    <t>Financials---&gt;</t>
  </si>
  <si>
    <t>Operating expenses---&gt;</t>
  </si>
  <si>
    <t>Energy and Others---&gt;</t>
  </si>
  <si>
    <t>Income Statement items---&gt;</t>
  </si>
  <si>
    <t>Automotive---&gt;</t>
  </si>
  <si>
    <t>Financing</t>
  </si>
  <si>
    <t>Cover negative cash flows with:</t>
  </si>
  <si>
    <t>Debt</t>
  </si>
  <si>
    <t>Bond Yield as of Sep. 20</t>
  </si>
  <si>
    <t>Tesla Financing (in mln $)</t>
  </si>
  <si>
    <t>Long-term debt and capital leases, net of current</t>
  </si>
  <si>
    <t>Interest rate</t>
  </si>
  <si>
    <t>Unlevered Free Cash Flow</t>
  </si>
  <si>
    <t>Opening Cash</t>
  </si>
  <si>
    <t>Closing Cash</t>
  </si>
  <si>
    <t>WACC</t>
  </si>
  <si>
    <t>Risk-free rate</t>
  </si>
  <si>
    <t>Market risk premium</t>
  </si>
  <si>
    <t>Tax rate</t>
  </si>
  <si>
    <t>Cost of equity</t>
  </si>
  <si>
    <t>Tesla WACC calculation (in mln $)</t>
  </si>
  <si>
    <t>Debt / (Debt + Equity)</t>
  </si>
  <si>
    <t>Equity / (Debt + Equity)</t>
  </si>
  <si>
    <t>Cost of debt</t>
  </si>
  <si>
    <t>DCF Valuation</t>
  </si>
  <si>
    <t>g (Perpetuity growth)</t>
  </si>
  <si>
    <t>Continuing value</t>
  </si>
  <si>
    <t>Discount factor (WACC)</t>
  </si>
  <si>
    <t>Present value of UFCF</t>
  </si>
  <si>
    <t>Present value of CV</t>
  </si>
  <si>
    <t>Perpetuity Growth Rate-Based Valuation</t>
  </si>
  <si>
    <t>Total PV of Cash Flows</t>
  </si>
  <si>
    <t>Continuing Value</t>
  </si>
  <si>
    <t>PV of Continuing Value</t>
  </si>
  <si>
    <t>Enterprise Value</t>
  </si>
  <si>
    <t>+Cash</t>
  </si>
  <si>
    <t>-Financial liabilities</t>
  </si>
  <si>
    <t>Equity Value</t>
  </si>
  <si>
    <t>Price per share</t>
  </si>
  <si>
    <t>Number of shares outstanding (as of Mar 2024)</t>
  </si>
  <si>
    <t>Calculated Price per Share &gt; Market value ---&gt; Buying oppurtunity</t>
  </si>
  <si>
    <r>
      <t xml:space="preserve">Calculated </t>
    </r>
    <r>
      <rPr>
        <b/>
        <sz val="11"/>
        <color theme="1"/>
        <rFont val="Arial"/>
        <family val="2"/>
      </rPr>
      <t>Price per Share</t>
    </r>
    <r>
      <rPr>
        <sz val="11"/>
        <color theme="1"/>
        <rFont val="Arial"/>
        <family val="2"/>
      </rPr>
      <t xml:space="preserve"> &lt; Market value ---&gt; Selling oppurtunity</t>
    </r>
  </si>
  <si>
    <t>Notes:</t>
  </si>
  <si>
    <t>Cash flow = Total income - Total assets brought + Total liabilities brought +- Change in equity</t>
  </si>
  <si>
    <t>Net Cash flow =  Opening cash +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</si>
</sst>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_);@_)"/>
    <numFmt numFmtId="165" formatCode="_(* #,##0_);_(* \(#,##0\);_(* &quot;-&quot;??_);_(@_)"/>
    <numFmt numFmtId="166" formatCode="0.0%"/>
    <numFmt numFmtId="167" formatCode="[$$-45C]#,##0"/>
    <numFmt numFmtId="168" formatCode="0_);\(0\)"/>
    <numFmt numFmtId="169" formatCode="0.0"/>
    <numFmt numFmtId="170" formatCode="_(* #,##0.0_);_(* \(#,##0.0\);_(* &quot;-&quot;?_);_(@_)"/>
    <numFmt numFmtId="171" formatCode="_(* #,##0.0_);_(* \(#,##0.0\);_(* &quot;-&quot;??_);_(@_)"/>
    <numFmt numFmtId="172" formatCode="_(* #,##0.0_);_(* \(#,##0.0\);_(* &quot;-&quot;?_);@_)"/>
    <numFmt numFmtId="173" formatCode="&quot;$&quot;#,##0.0_);\(&quot;$&quot;#,##0.0\)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  <charset val="204"/>
    </font>
    <font>
      <b/>
      <sz val="16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7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2060"/>
      <name val="Arial"/>
      <family val="2"/>
      <charset val="204"/>
    </font>
    <font>
      <sz val="9"/>
      <name val="Arial"/>
      <family val="2"/>
      <charset val="204"/>
    </font>
    <font>
      <b/>
      <sz val="16"/>
      <color theme="3" tint="-0.499984740745262"/>
      <name val="Calibri"/>
      <family val="2"/>
      <scheme val="minor"/>
    </font>
    <font>
      <b/>
      <i/>
      <sz val="8"/>
      <name val="Arial"/>
      <family val="2"/>
      <charset val="204"/>
    </font>
    <font>
      <sz val="11"/>
      <name val="Arial"/>
      <family val="2"/>
      <charset val="204"/>
    </font>
    <font>
      <b/>
      <sz val="11"/>
      <color theme="0"/>
      <name val="Arial"/>
      <family val="2"/>
      <charset val="204"/>
    </font>
    <font>
      <b/>
      <sz val="11"/>
      <name val="Arial"/>
      <family val="2"/>
      <charset val="204"/>
    </font>
    <font>
      <b/>
      <i/>
      <sz val="11"/>
      <color rgb="FF002060"/>
      <name val="Arial"/>
      <family val="2"/>
      <charset val="204"/>
    </font>
    <font>
      <b/>
      <sz val="14"/>
      <color rgb="FF002060"/>
      <name val="Arial"/>
      <family val="2"/>
      <charset val="204"/>
    </font>
    <font>
      <b/>
      <u/>
      <sz val="13"/>
      <name val="Arial"/>
      <family val="2"/>
      <charset val="204"/>
    </font>
    <font>
      <b/>
      <sz val="11"/>
      <color rgb="FF1D2540"/>
      <name val="Arial"/>
      <family val="2"/>
    </font>
    <font>
      <b/>
      <u/>
      <sz val="11"/>
      <name val="Arial"/>
      <family val="2"/>
    </font>
    <font>
      <sz val="11"/>
      <color rgb="FF1D254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212529"/>
      <name val="Arial"/>
      <family val="2"/>
    </font>
    <font>
      <b/>
      <sz val="9"/>
      <name val="Arial"/>
      <family val="2"/>
      <charset val="204"/>
    </font>
    <font>
      <b/>
      <i/>
      <sz val="11"/>
      <name val="Arial"/>
      <family val="2"/>
      <charset val="204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b/>
      <sz val="11"/>
      <color rgb="FF002060"/>
      <name val="Arial"/>
      <family val="2"/>
      <charset val="204"/>
    </font>
    <font>
      <b/>
      <i/>
      <sz val="12"/>
      <color rgb="FF002060"/>
      <name val="Arial"/>
      <family val="2"/>
    </font>
    <font>
      <b/>
      <sz val="9"/>
      <color theme="0"/>
      <name val="Arial"/>
      <family val="2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i/>
      <sz val="8"/>
      <name val="Arial"/>
      <family val="2"/>
      <charset val="204"/>
    </font>
    <font>
      <sz val="11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11"/>
      <color theme="1"/>
      <name val="Arial"/>
      <family val="2"/>
      <charset val="204"/>
    </font>
    <font>
      <i/>
      <sz val="9"/>
      <color theme="1"/>
      <name val="Calibri Light"/>
      <family val="2"/>
      <scheme val="major"/>
    </font>
    <font>
      <i/>
      <sz val="9"/>
      <name val="Calibri Light"/>
      <family val="2"/>
      <scheme val="major"/>
    </font>
    <font>
      <sz val="9"/>
      <color theme="1"/>
      <name val="Arial"/>
      <family val="2"/>
    </font>
    <font>
      <sz val="10"/>
      <name val="Arial"/>
      <family val="2"/>
    </font>
    <font>
      <b/>
      <sz val="14"/>
      <color rgb="FF002060"/>
      <name val="Arial"/>
      <family val="2"/>
    </font>
    <font>
      <b/>
      <sz val="11"/>
      <color rgb="FF002060"/>
      <name val="Arial"/>
      <family val="2"/>
    </font>
    <font>
      <sz val="11"/>
      <color theme="1"/>
      <name val="Arial"/>
      <family val="2"/>
    </font>
    <font>
      <b/>
      <sz val="11"/>
      <color indexed="9"/>
      <name val="Arial"/>
      <family val="2"/>
    </font>
    <font>
      <b/>
      <sz val="11"/>
      <color theme="1"/>
      <name val="Arial"/>
      <family val="2"/>
    </font>
    <font>
      <b/>
      <i/>
      <sz val="9"/>
      <color theme="1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2060"/>
        <bgColor theme="0"/>
      </patternFill>
    </fill>
    <fill>
      <patternFill patternType="lightGray">
        <bgColor theme="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rgb="FF002060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6" fillId="0" borderId="0" applyNumberFormat="0" applyFill="0" applyBorder="0" applyAlignment="0" applyProtection="0"/>
  </cellStyleXfs>
  <cellXfs count="240">
    <xf numFmtId="0" fontId="0" fillId="0" borderId="0" xfId="0"/>
    <xf numFmtId="0" fontId="2" fillId="2" borderId="0" xfId="0" applyFont="1" applyFill="1"/>
    <xf numFmtId="0" fontId="3" fillId="2" borderId="0" xfId="0" applyFont="1" applyFill="1"/>
    <xf numFmtId="9" fontId="4" fillId="2" borderId="0" xfId="1" applyFont="1" applyFill="1" applyAlignment="1">
      <alignment vertical="top"/>
    </xf>
    <xf numFmtId="0" fontId="5" fillId="0" borderId="0" xfId="0" applyFont="1"/>
    <xf numFmtId="0" fontId="8" fillId="2" borderId="0" xfId="0" applyFont="1" applyFill="1"/>
    <xf numFmtId="2" fontId="9" fillId="2" borderId="0" xfId="0" applyNumberFormat="1" applyFont="1" applyFill="1"/>
    <xf numFmtId="0" fontId="9" fillId="2" borderId="0" xfId="0" applyFont="1" applyFill="1"/>
    <xf numFmtId="2" fontId="9" fillId="2" borderId="0" xfId="0" applyNumberFormat="1" applyFont="1" applyFill="1" applyAlignment="1">
      <alignment horizontal="right"/>
    </xf>
    <xf numFmtId="0" fontId="0" fillId="0" borderId="0" xfId="0" applyAlignment="1">
      <alignment wrapText="1"/>
    </xf>
    <xf numFmtId="0" fontId="7" fillId="0" borderId="0" xfId="0" applyFont="1"/>
    <xf numFmtId="0" fontId="6" fillId="3" borderId="0" xfId="0" applyFont="1" applyFill="1"/>
    <xf numFmtId="0" fontId="11" fillId="0" borderId="0" xfId="0" applyFont="1"/>
    <xf numFmtId="0" fontId="7" fillId="0" borderId="2" xfId="0" applyFont="1" applyBorder="1"/>
    <xf numFmtId="0" fontId="0" fillId="0" borderId="0" xfId="0" applyAlignment="1">
      <alignment horizontal="right"/>
    </xf>
    <xf numFmtId="0" fontId="6" fillId="3" borderId="0" xfId="0" applyFont="1" applyFill="1" applyAlignment="1">
      <alignment horizontal="right"/>
    </xf>
    <xf numFmtId="0" fontId="12" fillId="4" borderId="0" xfId="0" applyFont="1" applyFill="1" applyAlignment="1">
      <alignment vertical="top"/>
    </xf>
    <xf numFmtId="0" fontId="13" fillId="4" borderId="0" xfId="0" applyFont="1" applyFill="1" applyAlignment="1">
      <alignment vertical="top"/>
    </xf>
    <xf numFmtId="0" fontId="14" fillId="0" borderId="0" xfId="0" applyFont="1"/>
    <xf numFmtId="10" fontId="0" fillId="0" borderId="0" xfId="0" applyNumberFormat="1" applyAlignment="1">
      <alignment horizontal="right"/>
    </xf>
    <xf numFmtId="7" fontId="0" fillId="0" borderId="0" xfId="3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15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right" vertical="top"/>
    </xf>
    <xf numFmtId="9" fontId="4" fillId="2" borderId="0" xfId="1" applyFont="1" applyFill="1" applyAlignment="1">
      <alignment horizontal="right" vertical="top"/>
    </xf>
    <xf numFmtId="9" fontId="4" fillId="2" borderId="0" xfId="0" applyNumberFormat="1" applyFont="1" applyFill="1" applyAlignment="1">
      <alignment horizontal="right" vertical="top"/>
    </xf>
    <xf numFmtId="0" fontId="16" fillId="4" borderId="0" xfId="0" applyFont="1" applyFill="1" applyAlignment="1">
      <alignment vertical="top"/>
    </xf>
    <xf numFmtId="0" fontId="18" fillId="4" borderId="1" xfId="0" applyFont="1" applyFill="1" applyBorder="1" applyAlignment="1">
      <alignment horizontal="left" wrapText="1"/>
    </xf>
    <xf numFmtId="0" fontId="18" fillId="4" borderId="1" xfId="0" applyFont="1" applyFill="1" applyBorder="1" applyAlignment="1">
      <alignment horizontal="right" vertical="top" wrapText="1"/>
    </xf>
    <xf numFmtId="0" fontId="18" fillId="6" borderId="1" xfId="0" applyFont="1" applyFill="1" applyBorder="1" applyAlignment="1">
      <alignment horizontal="right" vertical="top" wrapText="1"/>
    </xf>
    <xf numFmtId="164" fontId="16" fillId="4" borderId="0" xfId="0" applyNumberFormat="1" applyFont="1" applyFill="1" applyAlignment="1">
      <alignment horizontal="right" vertical="top"/>
    </xf>
    <xf numFmtId="164" fontId="16" fillId="6" borderId="0" xfId="0" applyNumberFormat="1" applyFont="1" applyFill="1" applyAlignment="1">
      <alignment horizontal="right" vertical="top"/>
    </xf>
    <xf numFmtId="0" fontId="18" fillId="4" borderId="3" xfId="0" applyFont="1" applyFill="1" applyBorder="1"/>
    <xf numFmtId="165" fontId="18" fillId="4" borderId="3" xfId="0" applyNumberFormat="1" applyFont="1" applyFill="1" applyBorder="1"/>
    <xf numFmtId="9" fontId="16" fillId="4" borderId="0" xfId="0" applyNumberFormat="1" applyFont="1" applyFill="1" applyAlignment="1">
      <alignment vertical="top"/>
    </xf>
    <xf numFmtId="10" fontId="4" fillId="2" borderId="0" xfId="1" applyNumberFormat="1" applyFont="1" applyFill="1" applyAlignment="1">
      <alignment horizontal="right" vertical="top"/>
    </xf>
    <xf numFmtId="166" fontId="4" fillId="2" borderId="0" xfId="1" applyNumberFormat="1" applyFont="1" applyFill="1" applyAlignment="1">
      <alignment horizontal="right" vertical="top"/>
    </xf>
    <xf numFmtId="9" fontId="13" fillId="4" borderId="0" xfId="1" applyFont="1" applyFill="1" applyAlignment="1">
      <alignment vertical="top"/>
    </xf>
    <xf numFmtId="9" fontId="16" fillId="4" borderId="0" xfId="1" applyFont="1" applyFill="1" applyAlignment="1">
      <alignment vertical="top"/>
    </xf>
    <xf numFmtId="0" fontId="19" fillId="4" borderId="0" xfId="0" applyFont="1" applyFill="1" applyAlignment="1">
      <alignment vertical="top"/>
    </xf>
    <xf numFmtId="0" fontId="18" fillId="4" borderId="1" xfId="0" applyFont="1" applyFill="1" applyBorder="1" applyAlignment="1">
      <alignment horizontal="left"/>
    </xf>
    <xf numFmtId="0" fontId="18" fillId="4" borderId="1" xfId="0" applyFont="1" applyFill="1" applyBorder="1" applyAlignment="1">
      <alignment horizontal="right" wrapText="1"/>
    </xf>
    <xf numFmtId="165" fontId="16" fillId="4" borderId="0" xfId="2" applyNumberFormat="1" applyFont="1" applyFill="1" applyAlignment="1">
      <alignment vertical="top"/>
    </xf>
    <xf numFmtId="0" fontId="16" fillId="2" borderId="0" xfId="0" applyFont="1" applyFill="1" applyAlignment="1">
      <alignment vertical="top"/>
    </xf>
    <xf numFmtId="2" fontId="16" fillId="2" borderId="0" xfId="0" applyNumberFormat="1" applyFont="1" applyFill="1" applyAlignment="1">
      <alignment horizontal="right" vertical="top"/>
    </xf>
    <xf numFmtId="0" fontId="18" fillId="4" borderId="2" xfId="0" applyFont="1" applyFill="1" applyBorder="1" applyAlignment="1">
      <alignment vertical="top"/>
    </xf>
    <xf numFmtId="2" fontId="18" fillId="4" borderId="2" xfId="0" applyNumberFormat="1" applyFont="1" applyFill="1" applyBorder="1" applyAlignment="1">
      <alignment horizontal="right" vertical="top"/>
    </xf>
    <xf numFmtId="2" fontId="16" fillId="4" borderId="0" xfId="0" applyNumberFormat="1" applyFont="1" applyFill="1" applyAlignment="1">
      <alignment vertical="top"/>
    </xf>
    <xf numFmtId="0" fontId="20" fillId="4" borderId="0" xfId="0" applyFont="1" applyFill="1" applyAlignment="1">
      <alignment vertical="top"/>
    </xf>
    <xf numFmtId="165" fontId="16" fillId="4" borderId="0" xfId="2" applyNumberFormat="1" applyFont="1" applyFill="1" applyAlignment="1">
      <alignment horizontal="right" vertical="top"/>
    </xf>
    <xf numFmtId="165" fontId="18" fillId="4" borderId="2" xfId="2" applyNumberFormat="1" applyFont="1" applyFill="1" applyBorder="1" applyAlignment="1">
      <alignment horizontal="right" vertical="top"/>
    </xf>
    <xf numFmtId="0" fontId="0" fillId="4" borderId="0" xfId="0" applyFill="1" applyAlignment="1">
      <alignment vertical="top"/>
    </xf>
    <xf numFmtId="0" fontId="21" fillId="4" borderId="0" xfId="0" applyFont="1" applyFill="1" applyAlignment="1">
      <alignment vertical="top"/>
    </xf>
    <xf numFmtId="0" fontId="22" fillId="4" borderId="1" xfId="0" applyFont="1" applyFill="1" applyBorder="1" applyAlignment="1">
      <alignment vertical="top"/>
    </xf>
    <xf numFmtId="0" fontId="22" fillId="4" borderId="1" xfId="0" applyFont="1" applyFill="1" applyBorder="1" applyAlignment="1">
      <alignment horizontal="right" vertical="top" wrapText="1"/>
    </xf>
    <xf numFmtId="167" fontId="22" fillId="4" borderId="1" xfId="0" applyNumberFormat="1" applyFont="1" applyFill="1" applyBorder="1" applyAlignment="1">
      <alignment horizontal="right" vertical="top" wrapText="1"/>
    </xf>
    <xf numFmtId="0" fontId="23" fillId="4" borderId="1" xfId="0" applyFont="1" applyFill="1" applyBorder="1" applyAlignment="1">
      <alignment horizontal="right" vertical="top"/>
    </xf>
    <xf numFmtId="0" fontId="24" fillId="4" borderId="0" xfId="0" applyFont="1" applyFill="1" applyAlignment="1">
      <alignment vertical="top"/>
    </xf>
    <xf numFmtId="0" fontId="24" fillId="4" borderId="0" xfId="0" applyFont="1" applyFill="1" applyAlignment="1">
      <alignment horizontal="right" vertical="top" wrapText="1"/>
    </xf>
    <xf numFmtId="167" fontId="24" fillId="4" borderId="0" xfId="0" applyNumberFormat="1" applyFont="1" applyFill="1" applyAlignment="1">
      <alignment horizontal="right" vertical="top" wrapText="1"/>
    </xf>
    <xf numFmtId="0" fontId="23" fillId="4" borderId="0" xfId="0" applyFont="1" applyFill="1" applyAlignment="1">
      <alignment horizontal="right" vertical="top"/>
    </xf>
    <xf numFmtId="0" fontId="25" fillId="7" borderId="2" xfId="0" applyFont="1" applyFill="1" applyBorder="1" applyAlignment="1">
      <alignment vertical="top"/>
    </xf>
    <xf numFmtId="167" fontId="22" fillId="7" borderId="2" xfId="0" applyNumberFormat="1" applyFont="1" applyFill="1" applyBorder="1" applyAlignment="1">
      <alignment horizontal="right" vertical="top" wrapText="1"/>
    </xf>
    <xf numFmtId="0" fontId="26" fillId="4" borderId="0" xfId="0" applyFont="1" applyFill="1" applyAlignment="1">
      <alignment vertical="top"/>
    </xf>
    <xf numFmtId="0" fontId="23" fillId="4" borderId="0" xfId="0" applyFont="1" applyFill="1" applyAlignment="1">
      <alignment vertical="top"/>
    </xf>
    <xf numFmtId="0" fontId="27" fillId="4" borderId="1" xfId="0" applyFont="1" applyFill="1" applyBorder="1" applyAlignment="1">
      <alignment horizontal="left"/>
    </xf>
    <xf numFmtId="0" fontId="27" fillId="4" borderId="1" xfId="0" applyFont="1" applyFill="1" applyBorder="1" applyAlignment="1">
      <alignment horizontal="center" wrapText="1"/>
    </xf>
    <xf numFmtId="0" fontId="27" fillId="4" borderId="1" xfId="0" applyFont="1" applyFill="1" applyBorder="1" applyAlignment="1">
      <alignment horizontal="center"/>
    </xf>
    <xf numFmtId="0" fontId="23" fillId="4" borderId="1" xfId="0" applyFont="1" applyFill="1" applyBorder="1" applyAlignment="1">
      <alignment vertical="top"/>
    </xf>
    <xf numFmtId="167" fontId="24" fillId="4" borderId="0" xfId="0" applyNumberFormat="1" applyFont="1" applyFill="1" applyAlignment="1">
      <alignment vertical="top" wrapText="1"/>
    </xf>
    <xf numFmtId="0" fontId="24" fillId="4" borderId="0" xfId="0" applyFont="1" applyFill="1" applyAlignment="1">
      <alignment vertical="top" wrapText="1"/>
    </xf>
    <xf numFmtId="167" fontId="23" fillId="4" borderId="0" xfId="0" applyNumberFormat="1" applyFont="1" applyFill="1" applyAlignment="1">
      <alignment vertical="top"/>
    </xf>
    <xf numFmtId="167" fontId="25" fillId="7" borderId="2" xfId="0" applyNumberFormat="1" applyFont="1" applyFill="1" applyBorder="1" applyAlignment="1">
      <alignment vertical="top"/>
    </xf>
    <xf numFmtId="0" fontId="18" fillId="0" borderId="1" xfId="0" applyFont="1" applyBorder="1" applyAlignment="1">
      <alignment horizontal="right"/>
    </xf>
    <xf numFmtId="0" fontId="0" fillId="0" borderId="4" xfId="0" applyBorder="1"/>
    <xf numFmtId="164" fontId="13" fillId="4" borderId="0" xfId="0" applyNumberFormat="1" applyFont="1" applyFill="1" applyAlignment="1">
      <alignment vertical="top"/>
    </xf>
    <xf numFmtId="164" fontId="13" fillId="4" borderId="0" xfId="0" applyNumberFormat="1" applyFont="1" applyFill="1" applyAlignment="1">
      <alignment horizontal="right" vertical="top"/>
    </xf>
    <xf numFmtId="0" fontId="28" fillId="4" borderId="1" xfId="0" applyFont="1" applyFill="1" applyBorder="1" applyAlignment="1">
      <alignment horizontal="right" wrapText="1"/>
    </xf>
    <xf numFmtId="164" fontId="28" fillId="4" borderId="4" xfId="2" applyNumberFormat="1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164" fontId="4" fillId="4" borderId="0" xfId="0" applyNumberFormat="1" applyFont="1" applyFill="1" applyAlignment="1">
      <alignment vertical="top"/>
    </xf>
    <xf numFmtId="164" fontId="16" fillId="4" borderId="0" xfId="0" applyNumberFormat="1" applyFont="1" applyFill="1" applyAlignment="1">
      <alignment vertical="top"/>
    </xf>
    <xf numFmtId="164" fontId="16" fillId="6" borderId="0" xfId="0" applyNumberFormat="1" applyFont="1" applyFill="1" applyAlignment="1">
      <alignment vertical="top"/>
    </xf>
    <xf numFmtId="0" fontId="29" fillId="2" borderId="0" xfId="0" applyFont="1" applyFill="1" applyAlignment="1">
      <alignment vertical="top"/>
    </xf>
    <xf numFmtId="0" fontId="16" fillId="2" borderId="0" xfId="0" applyFont="1" applyFill="1" applyAlignment="1">
      <alignment horizontal="right" vertical="top"/>
    </xf>
    <xf numFmtId="9" fontId="16" fillId="2" borderId="0" xfId="1" applyFont="1" applyFill="1" applyAlignment="1">
      <alignment horizontal="right" vertical="top"/>
    </xf>
    <xf numFmtId="9" fontId="16" fillId="2" borderId="0" xfId="1" applyFont="1" applyFill="1" applyAlignment="1">
      <alignment vertical="top"/>
    </xf>
    <xf numFmtId="9" fontId="16" fillId="2" borderId="0" xfId="0" applyNumberFormat="1" applyFont="1" applyFill="1" applyAlignment="1">
      <alignment vertical="top"/>
    </xf>
    <xf numFmtId="9" fontId="30" fillId="8" borderId="0" xfId="0" applyNumberFormat="1" applyFont="1" applyFill="1" applyAlignment="1">
      <alignment vertical="top"/>
    </xf>
    <xf numFmtId="5" fontId="16" fillId="0" borderId="0" xfId="3" applyNumberFormat="1" applyFont="1" applyAlignment="1">
      <alignment horizontal="right" vertical="top"/>
    </xf>
    <xf numFmtId="0" fontId="0" fillId="4" borderId="0" xfId="0" applyFill="1"/>
    <xf numFmtId="168" fontId="0" fillId="4" borderId="0" xfId="0" applyNumberFormat="1" applyFill="1" applyAlignment="1">
      <alignment horizontal="right"/>
    </xf>
    <xf numFmtId="168" fontId="0" fillId="0" borderId="0" xfId="0" applyNumberFormat="1"/>
    <xf numFmtId="168" fontId="6" fillId="3" borderId="0" xfId="0" applyNumberFormat="1" applyFont="1" applyFill="1" applyAlignment="1">
      <alignment horizontal="right"/>
    </xf>
    <xf numFmtId="168" fontId="0" fillId="0" borderId="0" xfId="0" applyNumberFormat="1" applyAlignment="1">
      <alignment horizontal="right"/>
    </xf>
    <xf numFmtId="0" fontId="7" fillId="0" borderId="5" xfId="0" applyFont="1" applyBorder="1"/>
    <xf numFmtId="168" fontId="7" fillId="0" borderId="5" xfId="0" applyNumberFormat="1" applyFont="1" applyBorder="1" applyAlignment="1">
      <alignment horizontal="right"/>
    </xf>
    <xf numFmtId="0" fontId="32" fillId="4" borderId="0" xfId="0" applyFont="1" applyFill="1" applyAlignment="1">
      <alignment vertical="top"/>
    </xf>
    <xf numFmtId="0" fontId="16" fillId="4" borderId="0" xfId="0" applyFont="1" applyFill="1" applyAlignment="1">
      <alignment horizontal="right" vertical="top"/>
    </xf>
    <xf numFmtId="166" fontId="16" fillId="4" borderId="0" xfId="1" applyNumberFormat="1" applyFont="1" applyFill="1" applyAlignment="1">
      <alignment vertical="top"/>
    </xf>
    <xf numFmtId="166" fontId="16" fillId="9" borderId="0" xfId="0" applyNumberFormat="1" applyFont="1" applyFill="1" applyAlignment="1">
      <alignment vertical="top"/>
    </xf>
    <xf numFmtId="166" fontId="16" fillId="4" borderId="0" xfId="0" applyNumberFormat="1" applyFont="1" applyFill="1" applyAlignment="1">
      <alignment horizontal="right" vertical="top"/>
    </xf>
    <xf numFmtId="166" fontId="16" fillId="4" borderId="0" xfId="0" applyNumberFormat="1" applyFont="1" applyFill="1" applyAlignment="1">
      <alignment vertical="top"/>
    </xf>
    <xf numFmtId="9" fontId="16" fillId="4" borderId="0" xfId="0" applyNumberFormat="1" applyFont="1" applyFill="1" applyAlignment="1">
      <alignment horizontal="right" vertical="top"/>
    </xf>
    <xf numFmtId="10" fontId="13" fillId="4" borderId="0" xfId="0" applyNumberFormat="1" applyFont="1" applyFill="1" applyAlignment="1">
      <alignment vertical="top"/>
    </xf>
    <xf numFmtId="10" fontId="16" fillId="2" borderId="0" xfId="0" applyNumberFormat="1" applyFont="1" applyFill="1" applyAlignment="1">
      <alignment vertical="top"/>
    </xf>
    <xf numFmtId="165" fontId="18" fillId="4" borderId="3" xfId="0" applyNumberFormat="1" applyFont="1" applyFill="1" applyBorder="1" applyAlignment="1">
      <alignment horizontal="right"/>
    </xf>
    <xf numFmtId="10" fontId="30" fillId="8" borderId="0" xfId="0" applyNumberFormat="1" applyFont="1" applyFill="1" applyAlignment="1">
      <alignment vertical="top"/>
    </xf>
    <xf numFmtId="10" fontId="16" fillId="2" borderId="0" xfId="1" applyNumberFormat="1" applyFont="1" applyFill="1" applyAlignment="1">
      <alignment horizontal="right" vertical="top"/>
    </xf>
    <xf numFmtId="0" fontId="16" fillId="4" borderId="1" xfId="0" applyFont="1" applyFill="1" applyBorder="1" applyAlignment="1">
      <alignment vertical="top"/>
    </xf>
    <xf numFmtId="10" fontId="16" fillId="4" borderId="1" xfId="0" applyNumberFormat="1" applyFont="1" applyFill="1" applyBorder="1" applyAlignment="1">
      <alignment horizontal="right" vertical="top"/>
    </xf>
    <xf numFmtId="10" fontId="16" fillId="6" borderId="1" xfId="0" applyNumberFormat="1" applyFont="1" applyFill="1" applyBorder="1" applyAlignment="1">
      <alignment horizontal="right" vertical="top"/>
    </xf>
    <xf numFmtId="10" fontId="4" fillId="2" borderId="0" xfId="1" applyNumberFormat="1" applyFont="1" applyFill="1" applyAlignment="1">
      <alignment vertical="top"/>
    </xf>
    <xf numFmtId="0" fontId="25" fillId="2" borderId="0" xfId="0" applyFont="1" applyFill="1" applyAlignment="1">
      <alignment vertical="top"/>
    </xf>
    <xf numFmtId="10" fontId="16" fillId="2" borderId="0" xfId="0" applyNumberFormat="1" applyFont="1" applyFill="1" applyAlignment="1">
      <alignment horizontal="right" vertical="top"/>
    </xf>
    <xf numFmtId="10" fontId="16" fillId="2" borderId="0" xfId="1" applyNumberFormat="1" applyFont="1" applyFill="1" applyAlignment="1">
      <alignment vertical="top"/>
    </xf>
    <xf numFmtId="39" fontId="16" fillId="4" borderId="0" xfId="0" applyNumberFormat="1" applyFont="1" applyFill="1" applyAlignment="1">
      <alignment horizontal="right" vertical="top"/>
    </xf>
    <xf numFmtId="43" fontId="0" fillId="0" borderId="0" xfId="0" applyNumberFormat="1"/>
    <xf numFmtId="9" fontId="0" fillId="0" borderId="0" xfId="1" applyFont="1"/>
    <xf numFmtId="9" fontId="16" fillId="0" borderId="0" xfId="1" applyFont="1" applyAlignment="1">
      <alignment vertical="top"/>
    </xf>
    <xf numFmtId="9" fontId="16" fillId="2" borderId="0" xfId="0" applyNumberFormat="1" applyFont="1" applyFill="1" applyAlignment="1">
      <alignment horizontal="right" vertical="top"/>
    </xf>
    <xf numFmtId="9" fontId="18" fillId="4" borderId="2" xfId="0" applyNumberFormat="1" applyFont="1" applyFill="1" applyBorder="1" applyAlignment="1">
      <alignment vertical="top"/>
    </xf>
    <xf numFmtId="10" fontId="16" fillId="4" borderId="0" xfId="0" applyNumberFormat="1" applyFont="1" applyFill="1" applyAlignment="1">
      <alignment horizontal="right" vertical="top"/>
    </xf>
    <xf numFmtId="10" fontId="16" fillId="6" borderId="0" xfId="0" applyNumberFormat="1" applyFont="1" applyFill="1" applyAlignment="1">
      <alignment horizontal="right" vertical="top"/>
    </xf>
    <xf numFmtId="165" fontId="18" fillId="4" borderId="6" xfId="0" applyNumberFormat="1" applyFont="1" applyFill="1" applyBorder="1" applyAlignment="1">
      <alignment horizontal="right"/>
    </xf>
    <xf numFmtId="165" fontId="18" fillId="4" borderId="0" xfId="0" applyNumberFormat="1" applyFont="1" applyFill="1" applyAlignment="1">
      <alignment horizontal="right"/>
    </xf>
    <xf numFmtId="165" fontId="26" fillId="4" borderId="1" xfId="0" applyNumberFormat="1" applyFont="1" applyFill="1" applyBorder="1" applyAlignment="1">
      <alignment horizontal="right"/>
    </xf>
    <xf numFmtId="0" fontId="33" fillId="4" borderId="0" xfId="0" applyFont="1" applyFill="1" applyAlignment="1">
      <alignment vertical="top"/>
    </xf>
    <xf numFmtId="164" fontId="34" fillId="3" borderId="0" xfId="0" applyNumberFormat="1" applyFont="1" applyFill="1" applyAlignment="1">
      <alignment horizontal="right" vertical="top"/>
    </xf>
    <xf numFmtId="0" fontId="18" fillId="4" borderId="0" xfId="0" applyFont="1" applyFill="1"/>
    <xf numFmtId="164" fontId="26" fillId="4" borderId="0" xfId="0" applyNumberFormat="1" applyFont="1" applyFill="1" applyAlignment="1">
      <alignment horizontal="right" vertical="top"/>
    </xf>
    <xf numFmtId="0" fontId="35" fillId="2" borderId="0" xfId="0" applyFont="1" applyFill="1" applyAlignment="1">
      <alignment vertical="top"/>
    </xf>
    <xf numFmtId="10" fontId="35" fillId="2" borderId="0" xfId="0" applyNumberFormat="1" applyFont="1" applyFill="1" applyAlignment="1">
      <alignment horizontal="right" vertical="top"/>
    </xf>
    <xf numFmtId="10" fontId="35" fillId="2" borderId="0" xfId="0" applyNumberFormat="1" applyFont="1" applyFill="1" applyAlignment="1">
      <alignment vertical="top"/>
    </xf>
    <xf numFmtId="10" fontId="35" fillId="2" borderId="0" xfId="1" applyNumberFormat="1" applyFont="1" applyFill="1" applyAlignment="1">
      <alignment horizontal="right" vertical="top"/>
    </xf>
    <xf numFmtId="0" fontId="36" fillId="0" borderId="0" xfId="0" applyFont="1"/>
    <xf numFmtId="10" fontId="35" fillId="2" borderId="0" xfId="1" applyNumberFormat="1" applyFont="1" applyFill="1" applyAlignment="1">
      <alignment vertical="top"/>
    </xf>
    <xf numFmtId="0" fontId="18" fillId="4" borderId="1" xfId="0" applyFont="1" applyFill="1" applyBorder="1" applyAlignment="1">
      <alignment horizontal="right"/>
    </xf>
    <xf numFmtId="10" fontId="35" fillId="2" borderId="0" xfId="0" applyNumberFormat="1" applyFont="1" applyFill="1" applyAlignment="1">
      <alignment horizontal="left" vertical="top"/>
    </xf>
    <xf numFmtId="164" fontId="16" fillId="4" borderId="1" xfId="0" applyNumberFormat="1" applyFont="1" applyFill="1" applyBorder="1" applyAlignment="1">
      <alignment horizontal="right" vertical="top"/>
    </xf>
    <xf numFmtId="2" fontId="35" fillId="2" borderId="0" xfId="0" applyNumberFormat="1" applyFont="1" applyFill="1" applyAlignment="1">
      <alignment horizontal="right" vertical="top"/>
    </xf>
    <xf numFmtId="0" fontId="18" fillId="4" borderId="2" xfId="0" applyFont="1" applyFill="1" applyBorder="1"/>
    <xf numFmtId="164" fontId="18" fillId="4" borderId="2" xfId="0" applyNumberFormat="1" applyFont="1" applyFill="1" applyBorder="1"/>
    <xf numFmtId="164" fontId="18" fillId="4" borderId="0" xfId="0" applyNumberFormat="1" applyFont="1" applyFill="1"/>
    <xf numFmtId="164" fontId="18" fillId="6" borderId="2" xfId="0" applyNumberFormat="1" applyFont="1" applyFill="1" applyBorder="1"/>
    <xf numFmtId="164" fontId="18" fillId="6" borderId="0" xfId="0" applyNumberFormat="1" applyFont="1" applyFill="1"/>
    <xf numFmtId="164" fontId="18" fillId="6" borderId="3" xfId="0" applyNumberFormat="1" applyFont="1" applyFill="1" applyBorder="1"/>
    <xf numFmtId="164" fontId="18" fillId="4" borderId="6" xfId="0" applyNumberFormat="1" applyFont="1" applyFill="1" applyBorder="1"/>
    <xf numFmtId="164" fontId="16" fillId="6" borderId="1" xfId="0" applyNumberFormat="1" applyFont="1" applyFill="1" applyBorder="1" applyAlignment="1">
      <alignment horizontal="right" vertical="top"/>
    </xf>
    <xf numFmtId="0" fontId="17" fillId="3" borderId="6" xfId="0" applyFont="1" applyFill="1" applyBorder="1"/>
    <xf numFmtId="164" fontId="17" fillId="3" borderId="6" xfId="0" applyNumberFormat="1" applyFont="1" applyFill="1" applyBorder="1"/>
    <xf numFmtId="0" fontId="17" fillId="3" borderId="0" xfId="0" applyFont="1" applyFill="1"/>
    <xf numFmtId="164" fontId="17" fillId="3" borderId="0" xfId="0" applyNumberFormat="1" applyFont="1" applyFill="1"/>
    <xf numFmtId="0" fontId="12" fillId="4" borderId="0" xfId="0" applyFont="1" applyFill="1"/>
    <xf numFmtId="0" fontId="28" fillId="4" borderId="1" xfId="0" applyFont="1" applyFill="1" applyBorder="1"/>
    <xf numFmtId="0" fontId="28" fillId="4" borderId="1" xfId="0" applyFont="1" applyFill="1" applyBorder="1" applyAlignment="1">
      <alignment horizontal="right" vertical="top" wrapText="1"/>
    </xf>
    <xf numFmtId="0" fontId="28" fillId="6" borderId="1" xfId="0" applyFont="1" applyFill="1" applyBorder="1" applyAlignment="1">
      <alignment horizontal="right" vertical="top" wrapText="1"/>
    </xf>
    <xf numFmtId="0" fontId="28" fillId="4" borderId="1" xfId="0" applyFont="1" applyFill="1" applyBorder="1" applyAlignment="1">
      <alignment horizontal="left" wrapText="1"/>
    </xf>
    <xf numFmtId="165" fontId="38" fillId="4" borderId="0" xfId="2" applyNumberFormat="1" applyFont="1" applyFill="1" applyAlignment="1"/>
    <xf numFmtId="0" fontId="39" fillId="4" borderId="0" xfId="0" applyFont="1" applyFill="1" applyAlignment="1">
      <alignment vertical="top"/>
    </xf>
    <xf numFmtId="0" fontId="28" fillId="4" borderId="3" xfId="0" applyFont="1" applyFill="1" applyBorder="1"/>
    <xf numFmtId="165" fontId="28" fillId="4" borderId="3" xfId="0" applyNumberFormat="1" applyFont="1" applyFill="1" applyBorder="1"/>
    <xf numFmtId="0" fontId="28" fillId="4" borderId="0" xfId="0" applyFont="1" applyFill="1" applyAlignment="1">
      <alignment vertical="top"/>
    </xf>
    <xf numFmtId="169" fontId="13" fillId="4" borderId="0" xfId="0" applyNumberFormat="1" applyFont="1" applyFill="1" applyAlignment="1">
      <alignment vertical="top"/>
    </xf>
    <xf numFmtId="170" fontId="13" fillId="4" borderId="0" xfId="0" applyNumberFormat="1" applyFont="1" applyFill="1" applyAlignment="1">
      <alignment vertical="top"/>
    </xf>
    <xf numFmtId="0" fontId="20" fillId="4" borderId="0" xfId="0" applyFont="1" applyFill="1"/>
    <xf numFmtId="0" fontId="18" fillId="4" borderId="1" xfId="0" applyFont="1" applyFill="1" applyBorder="1"/>
    <xf numFmtId="2" fontId="0" fillId="0" borderId="0" xfId="0" applyNumberFormat="1"/>
    <xf numFmtId="165" fontId="18" fillId="4" borderId="0" xfId="2" applyNumberFormat="1" applyFont="1" applyFill="1" applyAlignment="1">
      <alignment horizontal="right" vertical="top"/>
    </xf>
    <xf numFmtId="0" fontId="41" fillId="4" borderId="0" xfId="0" applyFont="1" applyFill="1"/>
    <xf numFmtId="0" fontId="38" fillId="4" borderId="0" xfId="0" applyFont="1" applyFill="1"/>
    <xf numFmtId="0" fontId="40" fillId="4" borderId="0" xfId="0" applyFont="1" applyFill="1"/>
    <xf numFmtId="9" fontId="17" fillId="5" borderId="0" xfId="0" applyNumberFormat="1" applyFont="1" applyFill="1"/>
    <xf numFmtId="9" fontId="40" fillId="4" borderId="0" xfId="0" applyNumberFormat="1" applyFont="1" applyFill="1"/>
    <xf numFmtId="166" fontId="40" fillId="4" borderId="0" xfId="0" applyNumberFormat="1" applyFont="1" applyFill="1"/>
    <xf numFmtId="171" fontId="40" fillId="4" borderId="0" xfId="2" applyNumberFormat="1" applyFont="1" applyFill="1" applyAlignment="1"/>
    <xf numFmtId="171" fontId="40" fillId="6" borderId="0" xfId="0" applyNumberFormat="1" applyFont="1" applyFill="1" applyAlignment="1">
      <alignment horizontal="right"/>
    </xf>
    <xf numFmtId="171" fontId="40" fillId="6" borderId="0" xfId="2" applyNumberFormat="1" applyFont="1" applyFill="1" applyAlignment="1">
      <alignment horizontal="right"/>
    </xf>
    <xf numFmtId="166" fontId="40" fillId="4" borderId="0" xfId="0" applyNumberFormat="1" applyFont="1" applyFill="1" applyAlignment="1">
      <alignment horizontal="right"/>
    </xf>
    <xf numFmtId="166" fontId="40" fillId="6" borderId="0" xfId="0" applyNumberFormat="1" applyFont="1" applyFill="1" applyAlignment="1">
      <alignment horizontal="right"/>
    </xf>
    <xf numFmtId="0" fontId="42" fillId="4" borderId="0" xfId="0" applyFont="1" applyFill="1"/>
    <xf numFmtId="171" fontId="42" fillId="4" borderId="0" xfId="2" applyNumberFormat="1" applyFont="1" applyFill="1" applyAlignment="1"/>
    <xf numFmtId="171" fontId="42" fillId="6" borderId="0" xfId="2" applyNumberFormat="1" applyFont="1" applyFill="1" applyAlignment="1">
      <alignment horizontal="right"/>
    </xf>
    <xf numFmtId="171" fontId="40" fillId="4" borderId="0" xfId="0" applyNumberFormat="1" applyFont="1" applyFill="1"/>
    <xf numFmtId="0" fontId="16" fillId="4" borderId="0" xfId="0" applyFont="1" applyFill="1" applyAlignment="1">
      <alignment vertical="top" wrapText="1"/>
    </xf>
    <xf numFmtId="37" fontId="40" fillId="4" borderId="0" xfId="2" applyNumberFormat="1" applyFont="1" applyFill="1" applyAlignment="1"/>
    <xf numFmtId="0" fontId="42" fillId="4" borderId="0" xfId="0" applyFont="1" applyFill="1" applyAlignment="1">
      <alignment wrapText="1"/>
    </xf>
    <xf numFmtId="165" fontId="13" fillId="6" borderId="0" xfId="2" applyNumberFormat="1" applyFont="1" applyFill="1" applyAlignment="1"/>
    <xf numFmtId="166" fontId="39" fillId="6" borderId="0" xfId="2" applyNumberFormat="1" applyFont="1" applyFill="1" applyAlignment="1"/>
    <xf numFmtId="165" fontId="13" fillId="4" borderId="0" xfId="0" applyNumberFormat="1" applyFont="1" applyFill="1"/>
    <xf numFmtId="165" fontId="28" fillId="6" borderId="0" xfId="2" applyNumberFormat="1" applyFont="1" applyFill="1" applyAlignment="1"/>
    <xf numFmtId="166" fontId="39" fillId="4" borderId="0" xfId="1" applyNumberFormat="1" applyFont="1" applyFill="1" applyAlignment="1"/>
    <xf numFmtId="165" fontId="28" fillId="4" borderId="0" xfId="0" applyNumberFormat="1" applyFont="1" applyFill="1"/>
    <xf numFmtId="0" fontId="43" fillId="6" borderId="0" xfId="0" applyFont="1" applyFill="1"/>
    <xf numFmtId="164" fontId="43" fillId="6" borderId="0" xfId="0" applyNumberFormat="1" applyFont="1" applyFill="1"/>
    <xf numFmtId="164" fontId="44" fillId="6" borderId="0" xfId="0" applyNumberFormat="1" applyFont="1" applyFill="1" applyAlignment="1">
      <alignment horizontal="right" vertical="top"/>
    </xf>
    <xf numFmtId="1" fontId="43" fillId="6" borderId="0" xfId="0" applyNumberFormat="1" applyFont="1" applyFill="1"/>
    <xf numFmtId="10" fontId="40" fillId="4" borderId="0" xfId="0" applyNumberFormat="1" applyFont="1" applyFill="1"/>
    <xf numFmtId="166" fontId="42" fillId="4" borderId="0" xfId="0" applyNumberFormat="1" applyFont="1" applyFill="1"/>
    <xf numFmtId="1" fontId="16" fillId="4" borderId="0" xfId="0" applyNumberFormat="1" applyFont="1" applyFill="1" applyAlignment="1">
      <alignment horizontal="right"/>
    </xf>
    <xf numFmtId="165" fontId="40" fillId="6" borderId="0" xfId="2" applyNumberFormat="1" applyFont="1" applyFill="1" applyAlignment="1"/>
    <xf numFmtId="0" fontId="40" fillId="6" borderId="0" xfId="0" applyFont="1" applyFill="1"/>
    <xf numFmtId="9" fontId="40" fillId="6" borderId="0" xfId="0" applyNumberFormat="1" applyFont="1" applyFill="1"/>
    <xf numFmtId="43" fontId="40" fillId="4" borderId="0" xfId="0" applyNumberFormat="1" applyFont="1" applyFill="1"/>
    <xf numFmtId="43" fontId="40" fillId="6" borderId="0" xfId="0" applyNumberFormat="1" applyFont="1" applyFill="1"/>
    <xf numFmtId="166" fontId="40" fillId="6" borderId="0" xfId="0" applyNumberFormat="1" applyFont="1" applyFill="1"/>
    <xf numFmtId="166" fontId="18" fillId="4" borderId="3" xfId="0" applyNumberFormat="1" applyFont="1" applyFill="1" applyBorder="1"/>
    <xf numFmtId="172" fontId="45" fillId="4" borderId="0" xfId="0" applyNumberFormat="1" applyFont="1" applyFill="1"/>
    <xf numFmtId="172" fontId="47" fillId="4" borderId="0" xfId="0" applyNumberFormat="1" applyFont="1" applyFill="1"/>
    <xf numFmtId="172" fontId="48" fillId="4" borderId="0" xfId="0" applyNumberFormat="1" applyFont="1" applyFill="1"/>
    <xf numFmtId="9" fontId="30" fillId="11" borderId="7" xfId="0" applyNumberFormat="1" applyFont="1" applyFill="1" applyBorder="1" applyAlignment="1">
      <alignment horizontal="center"/>
    </xf>
    <xf numFmtId="172" fontId="49" fillId="4" borderId="0" xfId="0" applyNumberFormat="1" applyFont="1" applyFill="1"/>
    <xf numFmtId="0" fontId="25" fillId="4" borderId="1" xfId="0" applyFont="1" applyFill="1" applyBorder="1"/>
    <xf numFmtId="164" fontId="49" fillId="12" borderId="0" xfId="0" applyNumberFormat="1" applyFont="1" applyFill="1"/>
    <xf numFmtId="164" fontId="49" fillId="6" borderId="0" xfId="0" applyNumberFormat="1" applyFont="1" applyFill="1"/>
    <xf numFmtId="172" fontId="49" fillId="6" borderId="0" xfId="0" applyNumberFormat="1" applyFont="1" applyFill="1"/>
    <xf numFmtId="166" fontId="49" fillId="6" borderId="0" xfId="2" applyNumberFormat="1" applyFont="1" applyFill="1" applyAlignment="1"/>
    <xf numFmtId="172" fontId="48" fillId="4" borderId="2" xfId="0" applyNumberFormat="1" applyFont="1" applyFill="1" applyBorder="1"/>
    <xf numFmtId="164" fontId="49" fillId="12" borderId="2" xfId="0" applyNumberFormat="1" applyFont="1" applyFill="1" applyBorder="1"/>
    <xf numFmtId="164" fontId="25" fillId="6" borderId="2" xfId="0" applyNumberFormat="1" applyFont="1" applyFill="1" applyBorder="1"/>
    <xf numFmtId="164" fontId="49" fillId="4" borderId="0" xfId="0" applyNumberFormat="1" applyFont="1" applyFill="1"/>
    <xf numFmtId="166" fontId="49" fillId="4" borderId="0" xfId="1" applyNumberFormat="1" applyFont="1" applyFill="1" applyAlignment="1"/>
    <xf numFmtId="172" fontId="48" fillId="4" borderId="8" xfId="0" applyNumberFormat="1" applyFont="1" applyFill="1" applyBorder="1"/>
    <xf numFmtId="164" fontId="48" fillId="4" borderId="8" xfId="0" applyNumberFormat="1" applyFont="1" applyFill="1" applyBorder="1"/>
    <xf numFmtId="172" fontId="49" fillId="4" borderId="0" xfId="0" quotePrefix="1" applyNumberFormat="1" applyFont="1" applyFill="1"/>
    <xf numFmtId="172" fontId="30" fillId="5" borderId="0" xfId="0" applyNumberFormat="1" applyFont="1" applyFill="1"/>
    <xf numFmtId="173" fontId="30" fillId="5" borderId="0" xfId="0" applyNumberFormat="1" applyFont="1" applyFill="1"/>
    <xf numFmtId="0" fontId="52" fillId="4" borderId="0" xfId="0" applyFont="1" applyFill="1"/>
    <xf numFmtId="0" fontId="10" fillId="3" borderId="0" xfId="0" applyFont="1" applyFill="1" applyAlignment="1">
      <alignment horizontal="center" vertical="center"/>
    </xf>
    <xf numFmtId="0" fontId="17" fillId="5" borderId="0" xfId="0" applyFont="1" applyFill="1" applyAlignment="1">
      <alignment horizontal="center" vertical="top"/>
    </xf>
    <xf numFmtId="0" fontId="17" fillId="10" borderId="0" xfId="0" applyFont="1" applyFill="1" applyAlignment="1">
      <alignment vertical="top"/>
    </xf>
    <xf numFmtId="0" fontId="6" fillId="10" borderId="0" xfId="0" applyFont="1" applyFill="1" applyAlignment="1">
      <alignment vertical="top"/>
    </xf>
    <xf numFmtId="0" fontId="37" fillId="5" borderId="0" xfId="0" applyFont="1" applyFill="1" applyAlignment="1">
      <alignment horizontal="center" vertical="top"/>
    </xf>
    <xf numFmtId="0" fontId="13" fillId="4" borderId="0" xfId="0" applyFont="1" applyFill="1" applyAlignment="1">
      <alignment vertical="top" wrapText="1"/>
    </xf>
    <xf numFmtId="0" fontId="50" fillId="10" borderId="0" xfId="4" applyNumberFormat="1" applyFont="1" applyFill="1" applyBorder="1" applyAlignment="1">
      <alignment horizontal="center"/>
    </xf>
    <xf numFmtId="172" fontId="49" fillId="7" borderId="0" xfId="0" applyNumberFormat="1" applyFont="1" applyFill="1"/>
    <xf numFmtId="0" fontId="0" fillId="7" borderId="0" xfId="0" applyFill="1"/>
    <xf numFmtId="172" fontId="49" fillId="2" borderId="0" xfId="0" applyNumberFormat="1" applyFont="1" applyFill="1"/>
    <xf numFmtId="0" fontId="0" fillId="2" borderId="0" xfId="0" applyFill="1"/>
  </cellXfs>
  <cellStyles count="5">
    <cellStyle name="Comma" xfId="2" builtinId="3"/>
    <cellStyle name="Currency" xfId="3" builtinId="4"/>
    <cellStyle name="Normal" xfId="0" builtinId="0"/>
    <cellStyle name="Normal_Project Accel Valuation v56" xfId="4" xr:uid="{EC8EFCCB-4106-4F22-8DB5-25F339ECD39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GP% auto. and overall GP%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'P&amp;L Input'!$B$31</c:f>
              <c:strCache>
                <c:ptCount val="1"/>
                <c:pt idx="0">
                  <c:v>GP% automotive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'P&amp;L Input'!$C$4:$G$4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'P&amp;L Input'!$C$31:$G$31</c:f>
              <c:numCache>
                <c:formatCode>0.00%</c:formatCode>
                <c:ptCount val="5"/>
                <c:pt idx="0">
                  <c:v>0.18633302279430747</c:v>
                </c:pt>
                <c:pt idx="1">
                  <c:v>0.24379667976354821</c:v>
                </c:pt>
                <c:pt idx="2">
                  <c:v>0.28998670727113968</c:v>
                </c:pt>
                <c:pt idx="3">
                  <c:v>0.28687385752643174</c:v>
                </c:pt>
                <c:pt idx="4">
                  <c:v>0.20035028006346975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5-4A5E-A49C-EC023686445D}"/>
            </c:ext>
          </c:extLst>
        </c:ser>
        <c:ser>
          <c:idx val="1"/>
          <c:order val="1"/>
          <c:tx>
            <c:strRef>
              <c:f>'P&amp;L Input'!$B$34</c:f>
              <c:strCache>
                <c:ptCount val="1"/>
                <c:pt idx="0">
                  <c:v>Overall GP%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'P&amp;L Input'!$C$4:$G$4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'P&amp;L Input'!$C$34:$G$34</c:f>
              <c:numCache>
                <c:formatCode>0.00%</c:formatCode>
                <c:ptCount val="5"/>
                <c:pt idx="0">
                  <c:v>0.16555456098950283</c:v>
                </c:pt>
                <c:pt idx="1">
                  <c:v>0.2102359208523592</c:v>
                </c:pt>
                <c:pt idx="2">
                  <c:v>0.25279155751258753</c:v>
                </c:pt>
                <c:pt idx="3">
                  <c:v>0.25598438535759005</c:v>
                </c:pt>
                <c:pt idx="4">
                  <c:v>0.18248891736331418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5-4A5E-A49C-EC0236864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218560"/>
        <c:axId val="1557217600"/>
      </c:lineChart>
      <c:catAx>
        <c:axId val="155721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7600"/>
        <c:crosses val="autoZero"/>
        <c:auto val="1"/>
        <c:lblAlgn val="ctr"/>
        <c:lblOffset val="100"/>
        <c:noMultiLvlLbl val="0"/>
      </c:catAx>
      <c:valAx>
        <c:axId val="155721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1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2">
                    <a:lumMod val="50000"/>
                  </a:schemeClr>
                </a:solidFill>
              </a:rPr>
              <a:t>Tesla vehicle deliveries</a:t>
            </a:r>
            <a:r>
              <a:rPr lang="en-US" sz="1600" b="1" baseline="0">
                <a:solidFill>
                  <a:schemeClr val="tx2">
                    <a:lumMod val="50000"/>
                  </a:schemeClr>
                </a:solidFill>
              </a:rPr>
              <a:t> (2019-2033)</a:t>
            </a:r>
          </a:p>
        </c:rich>
      </c:tx>
      <c:layout>
        <c:manualLayout>
          <c:xMode val="edge"/>
          <c:yMode val="edge"/>
          <c:x val="1.3233434408505069E-2"/>
          <c:y val="1.42687277051129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70692166605803E-2"/>
          <c:y val="7.3612662942271881E-2"/>
          <c:w val="0.93087098349287889"/>
          <c:h val="0.82013328641182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gradFill>
              <a:gsLst>
                <a:gs pos="0">
                  <a:schemeClr val="tx1">
                    <a:lumMod val="75000"/>
                    <a:lumOff val="25000"/>
                  </a:schemeClr>
                </a:gs>
                <a:gs pos="48000">
                  <a:schemeClr val="tx1">
                    <a:lumMod val="65000"/>
                    <a:lumOff val="35000"/>
                  </a:schemeClr>
                </a:gs>
                <a:gs pos="100000">
                  <a:schemeClr val="tx1">
                    <a:lumMod val="50000"/>
                    <a:lumOff val="50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2019
Act</c:v>
                </c:pt>
                <c:pt idx="1">
                  <c:v>2020
Act</c:v>
                </c:pt>
                <c:pt idx="2">
                  <c:v>2021
Act</c:v>
                </c:pt>
                <c:pt idx="3">
                  <c:v>2022
Act</c:v>
                </c:pt>
                <c:pt idx="4">
                  <c:v>2023
Act</c:v>
                </c:pt>
                <c:pt idx="5">
                  <c:v>2024
Fcst</c:v>
                </c:pt>
                <c:pt idx="6">
                  <c:v>2025
Fcst</c:v>
                </c:pt>
                <c:pt idx="7">
                  <c:v>2026
Fcst</c:v>
                </c:pt>
                <c:pt idx="8">
                  <c:v>2027
Fcst</c:v>
                </c:pt>
                <c:pt idx="9">
                  <c:v>2028
Fcst</c:v>
                </c:pt>
                <c:pt idx="10">
                  <c:v>2029
Fcst</c:v>
                </c:pt>
                <c:pt idx="11">
                  <c:v>2030
Fcst</c:v>
                </c:pt>
                <c:pt idx="12">
                  <c:v>2031
Fcst</c:v>
                </c:pt>
                <c:pt idx="13">
                  <c:v>2032
Fcst</c:v>
                </c:pt>
                <c:pt idx="14">
                  <c:v>2033
Fcst</c:v>
                </c:pt>
              </c:strCache>
            </c:strRef>
          </c:cat>
          <c:val>
            <c:numRef>
              <c:f>Deliveries!$C$5:$Q$5</c:f>
              <c:numCache>
                <c:formatCode>_(* #,##0_);_(* \(#,##0\);_(* "-"?_);@_)</c:formatCode>
                <c:ptCount val="15"/>
                <c:pt idx="0">
                  <c:v>300857</c:v>
                </c:pt>
                <c:pt idx="1">
                  <c:v>358261</c:v>
                </c:pt>
                <c:pt idx="2">
                  <c:v>476356</c:v>
                </c:pt>
                <c:pt idx="3">
                  <c:v>485984</c:v>
                </c:pt>
                <c:pt idx="4">
                  <c:v>548225</c:v>
                </c:pt>
                <c:pt idx="5">
                  <c:v>603047.5</c:v>
                </c:pt>
                <c:pt idx="6">
                  <c:v>663352.25</c:v>
                </c:pt>
                <c:pt idx="7">
                  <c:v>729687.47500000009</c:v>
                </c:pt>
                <c:pt idx="8">
                  <c:v>788062.47300000011</c:v>
                </c:pt>
                <c:pt idx="9">
                  <c:v>851107.4708400002</c:v>
                </c:pt>
                <c:pt idx="10">
                  <c:v>885151.76967360021</c:v>
                </c:pt>
                <c:pt idx="11">
                  <c:v>920557.84046054422</c:v>
                </c:pt>
                <c:pt idx="12">
                  <c:v>957380.15407896601</c:v>
                </c:pt>
                <c:pt idx="13">
                  <c:v>995675.36024212465</c:v>
                </c:pt>
                <c:pt idx="14">
                  <c:v>1035502.3746518097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E-4A54-A5B0-D84A3179445C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gradFill>
              <a:gsLst>
                <a:gs pos="0">
                  <a:schemeClr val="bg1">
                    <a:lumMod val="50000"/>
                  </a:schemeClr>
                </a:gs>
                <a:gs pos="48000">
                  <a:schemeClr val="bg1">
                    <a:lumMod val="65000"/>
                  </a:schemeClr>
                </a:gs>
                <a:gs pos="100000">
                  <a:schemeClr val="bg1">
                    <a:lumMod val="7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2019
Act</c:v>
                </c:pt>
                <c:pt idx="1">
                  <c:v>2020
Act</c:v>
                </c:pt>
                <c:pt idx="2">
                  <c:v>2021
Act</c:v>
                </c:pt>
                <c:pt idx="3">
                  <c:v>2022
Act</c:v>
                </c:pt>
                <c:pt idx="4">
                  <c:v>2023
Act</c:v>
                </c:pt>
                <c:pt idx="5">
                  <c:v>2024
Fcst</c:v>
                </c:pt>
                <c:pt idx="6">
                  <c:v>2025
Fcst</c:v>
                </c:pt>
                <c:pt idx="7">
                  <c:v>2026
Fcst</c:v>
                </c:pt>
                <c:pt idx="8">
                  <c:v>2027
Fcst</c:v>
                </c:pt>
                <c:pt idx="9">
                  <c:v>2028
Fcst</c:v>
                </c:pt>
                <c:pt idx="10">
                  <c:v>2029
Fcst</c:v>
                </c:pt>
                <c:pt idx="11">
                  <c:v>2030
Fcst</c:v>
                </c:pt>
                <c:pt idx="12">
                  <c:v>2031
Fcst</c:v>
                </c:pt>
                <c:pt idx="13">
                  <c:v>2032
Fcst</c:v>
                </c:pt>
                <c:pt idx="14">
                  <c:v>2033
Fcst</c:v>
                </c:pt>
              </c:strCache>
            </c:strRef>
          </c:cat>
          <c:val>
            <c:numRef>
              <c:f>Deliveries!$C$6:$Q$6</c:f>
              <c:numCache>
                <c:formatCode>_(* #,##0_);_(* \(#,##0\);_(* "-"?_);@_)</c:formatCode>
                <c:ptCount val="15"/>
                <c:pt idx="0">
                  <c:v>66771</c:v>
                </c:pt>
                <c:pt idx="1">
                  <c:v>57085</c:v>
                </c:pt>
                <c:pt idx="2">
                  <c:v>24980</c:v>
                </c:pt>
                <c:pt idx="3">
                  <c:v>66705</c:v>
                </c:pt>
                <c:pt idx="4">
                  <c:v>68874</c:v>
                </c:pt>
                <c:pt idx="5">
                  <c:v>71628.960000000006</c:v>
                </c:pt>
                <c:pt idx="6">
                  <c:v>74494.118400000007</c:v>
                </c:pt>
                <c:pt idx="7">
                  <c:v>77473.883136000004</c:v>
                </c:pt>
                <c:pt idx="8">
                  <c:v>80572.838461440013</c:v>
                </c:pt>
                <c:pt idx="9">
                  <c:v>83795.75199989762</c:v>
                </c:pt>
                <c:pt idx="10">
                  <c:v>87147.582079893531</c:v>
                </c:pt>
                <c:pt idx="11">
                  <c:v>90633.485363089276</c:v>
                </c:pt>
                <c:pt idx="12">
                  <c:v>94258.824777612856</c:v>
                </c:pt>
                <c:pt idx="13">
                  <c:v>98029.177768717374</c:v>
                </c:pt>
                <c:pt idx="14">
                  <c:v>101950.34487946608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2E-4A54-A5B0-D84A3179445C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gradFill>
              <a:gsLst>
                <a:gs pos="70000">
                  <a:schemeClr val="accent6">
                    <a:lumMod val="60000"/>
                    <a:lumOff val="40000"/>
                  </a:schemeClr>
                </a:gs>
                <a:gs pos="0">
                  <a:schemeClr val="accent6">
                    <a:lumMod val="50000"/>
                  </a:schemeClr>
                </a:gs>
                <a:gs pos="37000">
                  <a:schemeClr val="accent6">
                    <a:lumMod val="75000"/>
                  </a:schemeClr>
                </a:gs>
                <a:gs pos="100000">
                  <a:schemeClr val="accent6">
                    <a:lumMod val="40000"/>
                    <a:lumOff val="60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9106953150129014E-17"/>
                  <c:y val="-1.67597765363128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E2E-4A54-A5B0-D84A317944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2019
Act</c:v>
                </c:pt>
                <c:pt idx="1">
                  <c:v>2020
Act</c:v>
                </c:pt>
                <c:pt idx="2">
                  <c:v>2021
Act</c:v>
                </c:pt>
                <c:pt idx="3">
                  <c:v>2022
Act</c:v>
                </c:pt>
                <c:pt idx="4">
                  <c:v>2023
Act</c:v>
                </c:pt>
                <c:pt idx="5">
                  <c:v>2024
Fcst</c:v>
                </c:pt>
                <c:pt idx="6">
                  <c:v>2025
Fcst</c:v>
                </c:pt>
                <c:pt idx="7">
                  <c:v>2026
Fcst</c:v>
                </c:pt>
                <c:pt idx="8">
                  <c:v>2027
Fcst</c:v>
                </c:pt>
                <c:pt idx="9">
                  <c:v>2028
Fcst</c:v>
                </c:pt>
                <c:pt idx="10">
                  <c:v>2029
Fcst</c:v>
                </c:pt>
                <c:pt idx="11">
                  <c:v>2030
Fcst</c:v>
                </c:pt>
                <c:pt idx="12">
                  <c:v>2031
Fcst</c:v>
                </c:pt>
                <c:pt idx="13">
                  <c:v>2032
Fcst</c:v>
                </c:pt>
                <c:pt idx="14">
                  <c:v>2033
Fcst</c:v>
                </c:pt>
              </c:strCache>
            </c:strRef>
          </c:cat>
          <c:val>
            <c:numRef>
              <c:f>Deliveries!$C$7:$Q$7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84167</c:v>
                </c:pt>
                <c:pt idx="2">
                  <c:v>434790</c:v>
                </c:pt>
                <c:pt idx="3">
                  <c:v>761162</c:v>
                </c:pt>
                <c:pt idx="4">
                  <c:v>1200000</c:v>
                </c:pt>
                <c:pt idx="5">
                  <c:v>1320000</c:v>
                </c:pt>
                <c:pt idx="6">
                  <c:v>1452000.0000000002</c:v>
                </c:pt>
                <c:pt idx="7">
                  <c:v>1597200.0000000005</c:v>
                </c:pt>
                <c:pt idx="8">
                  <c:v>1724976.0000000007</c:v>
                </c:pt>
                <c:pt idx="9">
                  <c:v>1862974.0800000008</c:v>
                </c:pt>
                <c:pt idx="10">
                  <c:v>1937493.0432000009</c:v>
                </c:pt>
                <c:pt idx="11">
                  <c:v>2014992.764928001</c:v>
                </c:pt>
                <c:pt idx="12">
                  <c:v>2095592.4755251212</c:v>
                </c:pt>
                <c:pt idx="13">
                  <c:v>2179416.1745461263</c:v>
                </c:pt>
                <c:pt idx="14">
                  <c:v>2266592.8215279714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2E-4A54-A5B0-D84A3179445C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Deliveries!$C$4:$Q$4</c:f>
              <c:strCache>
                <c:ptCount val="15"/>
                <c:pt idx="0">
                  <c:v>2019
Act</c:v>
                </c:pt>
                <c:pt idx="1">
                  <c:v>2020
Act</c:v>
                </c:pt>
                <c:pt idx="2">
                  <c:v>2021
Act</c:v>
                </c:pt>
                <c:pt idx="3">
                  <c:v>2022
Act</c:v>
                </c:pt>
                <c:pt idx="4">
                  <c:v>2023
Act</c:v>
                </c:pt>
                <c:pt idx="5">
                  <c:v>2024
Fcst</c:v>
                </c:pt>
                <c:pt idx="6">
                  <c:v>2025
Fcst</c:v>
                </c:pt>
                <c:pt idx="7">
                  <c:v>2026
Fcst</c:v>
                </c:pt>
                <c:pt idx="8">
                  <c:v>2027
Fcst</c:v>
                </c:pt>
                <c:pt idx="9">
                  <c:v>2028
Fcst</c:v>
                </c:pt>
                <c:pt idx="10">
                  <c:v>2029
Fcst</c:v>
                </c:pt>
                <c:pt idx="11">
                  <c:v>2030
Fcst</c:v>
                </c:pt>
                <c:pt idx="12">
                  <c:v>2031
Fcst</c:v>
                </c:pt>
                <c:pt idx="13">
                  <c:v>2032
Fcst</c:v>
                </c:pt>
                <c:pt idx="14">
                  <c:v>2033
Fcst</c:v>
                </c:pt>
              </c:strCache>
            </c:strRef>
          </c:cat>
          <c:val>
            <c:numRef>
              <c:f>Deliveries!$C$8:$Q$8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500</c:v>
                </c:pt>
                <c:pt idx="7">
                  <c:v>1000</c:v>
                </c:pt>
                <c:pt idx="8">
                  <c:v>1500</c:v>
                </c:pt>
                <c:pt idx="9">
                  <c:v>1650.0000000000002</c:v>
                </c:pt>
                <c:pt idx="10">
                  <c:v>1815.0000000000005</c:v>
                </c:pt>
                <c:pt idx="11">
                  <c:v>1960.2000000000007</c:v>
                </c:pt>
                <c:pt idx="12">
                  <c:v>2117.016000000001</c:v>
                </c:pt>
                <c:pt idx="13">
                  <c:v>2201.696640000001</c:v>
                </c:pt>
                <c:pt idx="14">
                  <c:v>2289.764505600001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2E-4A54-A5B0-D84A3179445C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  <a:lumOff val="40000"/>
                  </a:schemeClr>
                </a:gs>
                <a:gs pos="48000">
                  <a:schemeClr val="accent1">
                    <a:lumMod val="40000"/>
                    <a:lumOff val="60000"/>
                  </a:schemeClr>
                </a:gs>
                <a:gs pos="100000">
                  <a:schemeClr val="accent1">
                    <a:lumMod val="20000"/>
                    <a:lumOff val="80000"/>
                  </a:schemeClr>
                </a:gs>
              </a:gsLst>
              <a:lin ang="5400000" scaled="0"/>
              <a:tileRect/>
            </a:gradFill>
            <a:ln>
              <a:noFill/>
            </a:ln>
            <a:effectLst/>
          </c:spPr>
          <c:invertIfNegative val="0"/>
          <c:dLbls>
            <c:dLbl>
              <c:idx val="5"/>
              <c:layout>
                <c:manualLayout>
                  <c:x val="-7.6427812600516056E-17"/>
                  <c:y val="-7.44878957169459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2E-4A54-A5B0-D84A317944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Deliveries!$C$4:$Q$4</c:f>
              <c:strCache>
                <c:ptCount val="15"/>
                <c:pt idx="0">
                  <c:v>2019
Act</c:v>
                </c:pt>
                <c:pt idx="1">
                  <c:v>2020
Act</c:v>
                </c:pt>
                <c:pt idx="2">
                  <c:v>2021
Act</c:v>
                </c:pt>
                <c:pt idx="3">
                  <c:v>2022
Act</c:v>
                </c:pt>
                <c:pt idx="4">
                  <c:v>2023
Act</c:v>
                </c:pt>
                <c:pt idx="5">
                  <c:v>2024
Fcst</c:v>
                </c:pt>
                <c:pt idx="6">
                  <c:v>2025
Fcst</c:v>
                </c:pt>
                <c:pt idx="7">
                  <c:v>2026
Fcst</c:v>
                </c:pt>
                <c:pt idx="8">
                  <c:v>2027
Fcst</c:v>
                </c:pt>
                <c:pt idx="9">
                  <c:v>2028
Fcst</c:v>
                </c:pt>
                <c:pt idx="10">
                  <c:v>2029
Fcst</c:v>
                </c:pt>
                <c:pt idx="11">
                  <c:v>2030
Fcst</c:v>
                </c:pt>
                <c:pt idx="12">
                  <c:v>2031
Fcst</c:v>
                </c:pt>
                <c:pt idx="13">
                  <c:v>2032
Fcst</c:v>
                </c:pt>
                <c:pt idx="14">
                  <c:v>2033
Fcst</c:v>
                </c:pt>
              </c:strCache>
            </c:strRef>
          </c:cat>
          <c:val>
            <c:numRef>
              <c:f>Deliveries!$C$9:$Q$9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29200</c:v>
                </c:pt>
                <c:pt idx="6">
                  <c:v>48500</c:v>
                </c:pt>
                <c:pt idx="7">
                  <c:v>97000</c:v>
                </c:pt>
                <c:pt idx="8">
                  <c:v>106700.00000000001</c:v>
                </c:pt>
                <c:pt idx="9">
                  <c:v>117370.00000000003</c:v>
                </c:pt>
                <c:pt idx="10">
                  <c:v>126759.60000000003</c:v>
                </c:pt>
                <c:pt idx="11">
                  <c:v>136900.36800000005</c:v>
                </c:pt>
                <c:pt idx="12">
                  <c:v>142376.38272000005</c:v>
                </c:pt>
                <c:pt idx="13">
                  <c:v>148071.43802880007</c:v>
                </c:pt>
                <c:pt idx="14">
                  <c:v>153994.29554995208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2E-4A54-A5B0-D84A3179445C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Deliveries!$C$4:$Q$4</c:f>
              <c:strCache>
                <c:ptCount val="15"/>
                <c:pt idx="0">
                  <c:v>2019
Act</c:v>
                </c:pt>
                <c:pt idx="1">
                  <c:v>2020
Act</c:v>
                </c:pt>
                <c:pt idx="2">
                  <c:v>2021
Act</c:v>
                </c:pt>
                <c:pt idx="3">
                  <c:v>2022
Act</c:v>
                </c:pt>
                <c:pt idx="4">
                  <c:v>2023
Act</c:v>
                </c:pt>
                <c:pt idx="5">
                  <c:v>2024
Fcst</c:v>
                </c:pt>
                <c:pt idx="6">
                  <c:v>2025
Fcst</c:v>
                </c:pt>
                <c:pt idx="7">
                  <c:v>2026
Fcst</c:v>
                </c:pt>
                <c:pt idx="8">
                  <c:v>2027
Fcst</c:v>
                </c:pt>
                <c:pt idx="9">
                  <c:v>2028
Fcst</c:v>
                </c:pt>
                <c:pt idx="10">
                  <c:v>2029
Fcst</c:v>
                </c:pt>
                <c:pt idx="11">
                  <c:v>2030
Fcst</c:v>
                </c:pt>
                <c:pt idx="12">
                  <c:v>2031
Fcst</c:v>
                </c:pt>
                <c:pt idx="13">
                  <c:v>2032
Fcst</c:v>
                </c:pt>
                <c:pt idx="14">
                  <c:v>2033
Fcst</c:v>
                </c:pt>
              </c:strCache>
            </c:strRef>
          </c:cat>
          <c:val>
            <c:numRef>
              <c:f>Deliveries!$C$10:$Q$10</c:f>
              <c:numCache>
                <c:formatCode>_(* #,##0_);_(* \(#,##0\);_(* "-"?_);@_)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516.58013235591147</c:v>
                </c:pt>
                <c:pt idx="6">
                  <c:v>904.34730951560584</c:v>
                </c:pt>
                <c:pt idx="7">
                  <c:v>1397.2221892190526</c:v>
                </c:pt>
                <c:pt idx="8">
                  <c:v>1844.3332897691494</c:v>
                </c:pt>
                <c:pt idx="9">
                  <c:v>2028.7666187460645</c:v>
                </c:pt>
                <c:pt idx="10">
                  <c:v>2231.6432806206712</c:v>
                </c:pt>
                <c:pt idx="11">
                  <c:v>2410.1747430703249</c:v>
                </c:pt>
                <c:pt idx="12">
                  <c:v>2602.9887225159509</c:v>
                </c:pt>
                <c:pt idx="13">
                  <c:v>2707.1082714165891</c:v>
                </c:pt>
                <c:pt idx="14">
                  <c:v>2815.3926022732526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2E-4A54-A5B0-D84A31794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100"/>
        <c:axId val="1130968991"/>
        <c:axId val="1130968031"/>
      </c:barChart>
      <c:catAx>
        <c:axId val="113096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68031"/>
        <c:crosses val="autoZero"/>
        <c:auto val="1"/>
        <c:lblAlgn val="ctr"/>
        <c:lblOffset val="100"/>
        <c:noMultiLvlLbl val="0"/>
      </c:catAx>
      <c:valAx>
        <c:axId val="113096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6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7595154956854995"/>
          <c:y val="2.1471135940409686E-2"/>
          <c:w val="0.53597140899336526"/>
          <c:h val="3.36739541635507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50000"/>
                  </a:schemeClr>
                </a:solidFill>
              </a:rPr>
              <a:t>Revenue and Gross Profit</a:t>
            </a:r>
            <a:r>
              <a:rPr lang="en-US" b="1" baseline="0">
                <a:solidFill>
                  <a:schemeClr val="accent1">
                    <a:lumMod val="50000"/>
                  </a:schemeClr>
                </a:solidFill>
              </a:rPr>
              <a:t> automotive</a:t>
            </a:r>
            <a:endParaRPr lang="en-US" b="1">
              <a:solidFill>
                <a:schemeClr val="accent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1.5880198928086595E-2"/>
          <c:y val="1.91082802547770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'Revenue &amp; GP automotive'!$B$5</c:f>
              <c:strCache>
                <c:ptCount val="1"/>
                <c:pt idx="0">
                  <c:v>Revenue automotive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strRef>
              <c:f>'Revenue &amp; GP automotive'!$C$4:$Q$4</c:f>
              <c:strCache>
                <c:ptCount val="15"/>
                <c:pt idx="0">
                  <c:v>2019
Act</c:v>
                </c:pt>
                <c:pt idx="1">
                  <c:v>2020
Act</c:v>
                </c:pt>
                <c:pt idx="2">
                  <c:v>2021
Act</c:v>
                </c:pt>
                <c:pt idx="3">
                  <c:v>2022
Act</c:v>
                </c:pt>
                <c:pt idx="4">
                  <c:v>2023
Act</c:v>
                </c:pt>
                <c:pt idx="5">
                  <c:v>2024
Fcst</c:v>
                </c:pt>
                <c:pt idx="6">
                  <c:v>2025
Fcst</c:v>
                </c:pt>
                <c:pt idx="7">
                  <c:v>2026
Fcst</c:v>
                </c:pt>
                <c:pt idx="8">
                  <c:v>2027
Fcst</c:v>
                </c:pt>
                <c:pt idx="9">
                  <c:v>2028
Fcst</c:v>
                </c:pt>
                <c:pt idx="10">
                  <c:v>2029
Fcst</c:v>
                </c:pt>
                <c:pt idx="11">
                  <c:v>2030
Fcst</c:v>
                </c:pt>
                <c:pt idx="12">
                  <c:v>2031
Fcst</c:v>
                </c:pt>
                <c:pt idx="13">
                  <c:v>2032
Fcst</c:v>
                </c:pt>
                <c:pt idx="14">
                  <c:v>2033
Fcst</c:v>
                </c:pt>
              </c:strCache>
            </c:strRef>
          </c:cat>
          <c:val>
            <c:numRef>
              <c:f>'Revenue &amp; GP automotive'!$C$5:$Q$5</c:f>
              <c:numCache>
                <c:formatCode>_(* #,##0_);_(* \(#,##0\);_(* "-"?_);@_)</c:formatCode>
                <c:ptCount val="15"/>
                <c:pt idx="0">
                  <c:v>20817.565999999999</c:v>
                </c:pt>
                <c:pt idx="1">
                  <c:v>27120.959999999999</c:v>
                </c:pt>
                <c:pt idx="2">
                  <c:v>47364.240000000005</c:v>
                </c:pt>
                <c:pt idx="3">
                  <c:v>71686.559999999998</c:v>
                </c:pt>
                <c:pt idx="4">
                  <c:v>82450.596000000005</c:v>
                </c:pt>
                <c:pt idx="5">
                  <c:v>108149.49733939562</c:v>
                </c:pt>
                <c:pt idx="6">
                  <c:v>119600.57880779788</c:v>
                </c:pt>
                <c:pt idx="7">
                  <c:v>133770.0231706163</c:v>
                </c:pt>
                <c:pt idx="8">
                  <c:v>144383.49864571108</c:v>
                </c:pt>
                <c:pt idx="9">
                  <c:v>155703.21936496027</c:v>
                </c:pt>
                <c:pt idx="10">
                  <c:v>162249.10150905553</c:v>
                </c:pt>
                <c:pt idx="11">
                  <c:v>169067.13249798209</c:v>
                </c:pt>
                <c:pt idx="12">
                  <c:v>175864.33082110289</c:v>
                </c:pt>
                <c:pt idx="13">
                  <c:v>182898.90405394702</c:v>
                </c:pt>
                <c:pt idx="14">
                  <c:v>190214.86021610495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2-4121-80A6-EF109A6E1866}"/>
            </c:ext>
          </c:extLst>
        </c:ser>
        <c:ser>
          <c:idx val="1"/>
          <c:order val="1"/>
          <c:tx>
            <c:strRef>
              <c:f>'Revenue &amp; GP automotive'!$B$6</c:f>
              <c:strCache>
                <c:ptCount val="1"/>
                <c:pt idx="0">
                  <c:v>GP automotive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'Revenue &amp; GP automotive'!$C$4:$Q$4</c:f>
              <c:strCache>
                <c:ptCount val="15"/>
                <c:pt idx="0">
                  <c:v>2019
Act</c:v>
                </c:pt>
                <c:pt idx="1">
                  <c:v>2020
Act</c:v>
                </c:pt>
                <c:pt idx="2">
                  <c:v>2021
Act</c:v>
                </c:pt>
                <c:pt idx="3">
                  <c:v>2022
Act</c:v>
                </c:pt>
                <c:pt idx="4">
                  <c:v>2023
Act</c:v>
                </c:pt>
                <c:pt idx="5">
                  <c:v>2024
Fcst</c:v>
                </c:pt>
                <c:pt idx="6">
                  <c:v>2025
Fcst</c:v>
                </c:pt>
                <c:pt idx="7">
                  <c:v>2026
Fcst</c:v>
                </c:pt>
                <c:pt idx="8">
                  <c:v>2027
Fcst</c:v>
                </c:pt>
                <c:pt idx="9">
                  <c:v>2028
Fcst</c:v>
                </c:pt>
                <c:pt idx="10">
                  <c:v>2029
Fcst</c:v>
                </c:pt>
                <c:pt idx="11">
                  <c:v>2030
Fcst</c:v>
                </c:pt>
                <c:pt idx="12">
                  <c:v>2031
Fcst</c:v>
                </c:pt>
                <c:pt idx="13">
                  <c:v>2032
Fcst</c:v>
                </c:pt>
                <c:pt idx="14">
                  <c:v>2033
Fcst</c:v>
                </c:pt>
              </c:strCache>
            </c:strRef>
          </c:cat>
          <c:val>
            <c:numRef>
              <c:f>'Revenue &amp; GP automotive'!$C$6:$Q$6</c:f>
              <c:numCache>
                <c:formatCode>_(* #,##0_);_(* \(#,##0\);_(* "-"?_);@_)</c:formatCode>
                <c:ptCount val="15"/>
                <c:pt idx="0">
                  <c:v>3879</c:v>
                </c:pt>
                <c:pt idx="1">
                  <c:v>6612</c:v>
                </c:pt>
                <c:pt idx="2">
                  <c:v>13735.000000000007</c:v>
                </c:pt>
                <c:pt idx="3">
                  <c:v>20565</c:v>
                </c:pt>
                <c:pt idx="4">
                  <c:v>16519</c:v>
                </c:pt>
                <c:pt idx="5">
                  <c:v>25966.061890845158</c:v>
                </c:pt>
                <c:pt idx="6">
                  <c:v>28655.043881042457</c:v>
                </c:pt>
                <c:pt idx="7">
                  <c:v>31854.661834105464</c:v>
                </c:pt>
                <c:pt idx="8">
                  <c:v>34388.664438961838</c:v>
                </c:pt>
                <c:pt idx="9">
                  <c:v>37074.481398956144</c:v>
                </c:pt>
                <c:pt idx="10">
                  <c:v>38614.474858336216</c:v>
                </c:pt>
                <c:pt idx="11">
                  <c:v>40215.731195754342</c:v>
                </c:pt>
                <c:pt idx="12">
                  <c:v>41835.550481995524</c:v>
                </c:pt>
                <c:pt idx="13">
                  <c:v>43508.972501275348</c:v>
                </c:pt>
                <c:pt idx="14">
                  <c:v>45249.331401326381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2-4121-80A6-EF109A6E1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12784"/>
        <c:axId val="1719598864"/>
      </c:areaChart>
      <c:lineChart>
        <c:grouping val="standard"/>
        <c:varyColors val="0"/>
        <c:ser>
          <c:idx val="2"/>
          <c:order val="2"/>
          <c:tx>
            <c:strRef>
              <c:f>'Revenue &amp; GP automotive'!$B$7</c:f>
              <c:strCache>
                <c:ptCount val="1"/>
                <c:pt idx="0">
                  <c:v>GP% automotive</c:v>
                </c:pt>
              </c:strCache>
            </c:strRef>
          </c:tx>
          <c:spPr>
            <a:ln w="158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'Revenue &amp; GP automotive'!$C$7:$Q$7</c:f>
              <c:numCache>
                <c:formatCode>0.00%</c:formatCode>
                <c:ptCount val="15"/>
                <c:pt idx="0">
                  <c:v>0.18633302279430747</c:v>
                </c:pt>
                <c:pt idx="1">
                  <c:v>0.24379667976354821</c:v>
                </c:pt>
                <c:pt idx="2">
                  <c:v>0.28998670727113968</c:v>
                </c:pt>
                <c:pt idx="3">
                  <c:v>0.28687385752643174</c:v>
                </c:pt>
                <c:pt idx="4">
                  <c:v>0.20035028006346975</c:v>
                </c:pt>
                <c:pt idx="5">
                  <c:v>0.24009415235059536</c:v>
                </c:pt>
                <c:pt idx="6">
                  <c:v>0.23958950840105939</c:v>
                </c:pt>
                <c:pt idx="7">
                  <c:v>0.23813004647144745</c:v>
                </c:pt>
                <c:pt idx="8">
                  <c:v>0.23817586331901339</c:v>
                </c:pt>
                <c:pt idx="9">
                  <c:v>0.23810992187679486</c:v>
                </c:pt>
                <c:pt idx="10">
                  <c:v>0.23799499965909546</c:v>
                </c:pt>
                <c:pt idx="11">
                  <c:v>0.23786841712852932</c:v>
                </c:pt>
                <c:pt idx="12">
                  <c:v>0.23788536473921212</c:v>
                </c:pt>
                <c:pt idx="13">
                  <c:v>0.23788536473921212</c:v>
                </c:pt>
                <c:pt idx="14">
                  <c:v>0.23788536473921215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13C2-4121-80A6-EF109A6E1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3390912"/>
        <c:axId val="1833388992"/>
      </c:lineChart>
      <c:catAx>
        <c:axId val="171961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598864"/>
        <c:crosses val="autoZero"/>
        <c:auto val="1"/>
        <c:lblAlgn val="ctr"/>
        <c:lblOffset val="100"/>
        <c:noMultiLvlLbl val="0"/>
      </c:catAx>
      <c:valAx>
        <c:axId val="17195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612784"/>
        <c:crosses val="autoZero"/>
        <c:crossBetween val="between"/>
      </c:valAx>
      <c:valAx>
        <c:axId val="183338899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390912"/>
        <c:crosses val="max"/>
        <c:crossBetween val="between"/>
      </c:valAx>
      <c:catAx>
        <c:axId val="1833390912"/>
        <c:scaling>
          <c:orientation val="minMax"/>
        </c:scaling>
        <c:delete val="1"/>
        <c:axPos val="b"/>
        <c:majorTickMark val="out"/>
        <c:minorTickMark val="none"/>
        <c:tickLblPos val="nextTo"/>
        <c:crossAx val="1833388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Comparables - 2023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'Opex comparables'!$B$7:$B$17</c:f>
              <c:strCache>
                <c:ptCount val="11"/>
                <c:pt idx="0">
                  <c:v>GM</c:v>
                </c:pt>
                <c:pt idx="1">
                  <c:v>Ford</c:v>
                </c:pt>
                <c:pt idx="2">
                  <c:v>Fiat Chrysler</c:v>
                </c:pt>
                <c:pt idx="3">
                  <c:v>BMW</c:v>
                </c:pt>
                <c:pt idx="4">
                  <c:v>Volkswagen</c:v>
                </c:pt>
                <c:pt idx="5">
                  <c:v>Jaguar</c:v>
                </c:pt>
                <c:pt idx="6">
                  <c:v>Porsche</c:v>
                </c:pt>
                <c:pt idx="7">
                  <c:v>Ferrari</c:v>
                </c:pt>
                <c:pt idx="8">
                  <c:v>Scania</c:v>
                </c:pt>
                <c:pt idx="9">
                  <c:v>MAN</c:v>
                </c:pt>
                <c:pt idx="10">
                  <c:v>Paccar</c:v>
                </c:pt>
              </c:strCache>
            </c:strRef>
          </c:cat>
          <c:val>
            <c:numRef>
              <c:f>'Opex comparables'!$C$7:$C$17</c:f>
              <c:numCache>
                <c:formatCode>0%</c:formatCode>
                <c:ptCount val="11"/>
                <c:pt idx="0">
                  <c:v>5.7261903376357351E-2</c:v>
                </c:pt>
                <c:pt idx="1">
                  <c:v>6.0740900500025542E-2</c:v>
                </c:pt>
                <c:pt idx="2">
                  <c:v>9.3051845415807813E-2</c:v>
                </c:pt>
                <c:pt idx="3">
                  <c:v>9.2485549132947972E-2</c:v>
                </c:pt>
                <c:pt idx="4">
                  <c:v>0.12178761746504699</c:v>
                </c:pt>
                <c:pt idx="5">
                  <c:v>0.32009294576702002</c:v>
                </c:pt>
                <c:pt idx="6">
                  <c:v>0.30660065131342956</c:v>
                </c:pt>
                <c:pt idx="7">
                  <c:v>0.22830882192830795</c:v>
                </c:pt>
                <c:pt idx="8">
                  <c:v>0.1416</c:v>
                </c:pt>
                <c:pt idx="9">
                  <c:v>6.1800000000000001E-2</c:v>
                </c:pt>
                <c:pt idx="10">
                  <c:v>4.7942600000000002E-2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1-4FD2-B548-85FD24BF0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3"/>
        <c:overlap val="-46"/>
        <c:axId val="1206664831"/>
        <c:axId val="1206669151"/>
      </c:barChart>
      <c:catAx>
        <c:axId val="120666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69151"/>
        <c:crosses val="autoZero"/>
        <c:auto val="1"/>
        <c:lblAlgn val="ctr"/>
        <c:lblOffset val="100"/>
        <c:noMultiLvlLbl val="0"/>
      </c:catAx>
      <c:valAx>
        <c:axId val="120666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66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Working Capital Development</a:t>
            </a:r>
          </a:p>
        </c:rich>
      </c:tx>
      <c:layout>
        <c:manualLayout>
          <c:xMode val="edge"/>
          <c:yMode val="edge"/>
          <c:x val="1.953203010506965E-2"/>
          <c:y val="1.278772378516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capital'!$B$5</c:f>
              <c:strCache>
                <c:ptCount val="1"/>
                <c:pt idx="0">
                  <c:v>Accounts Receivables, Net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capital'!$C$4:$Q$4</c:f>
              <c:strCache>
                <c:ptCount val="15"/>
                <c:pt idx="0">
                  <c:v>2019
Act</c:v>
                </c:pt>
                <c:pt idx="1">
                  <c:v>2020
Act</c:v>
                </c:pt>
                <c:pt idx="2">
                  <c:v>2021
Act</c:v>
                </c:pt>
                <c:pt idx="3">
                  <c:v>2022
Act</c:v>
                </c:pt>
                <c:pt idx="4">
                  <c:v>2023
Act</c:v>
                </c:pt>
                <c:pt idx="5">
                  <c:v>2024
Fcst</c:v>
                </c:pt>
                <c:pt idx="6">
                  <c:v>2025
Fcst</c:v>
                </c:pt>
                <c:pt idx="7">
                  <c:v>2026
Fcst</c:v>
                </c:pt>
                <c:pt idx="8">
                  <c:v>2027
Fcst</c:v>
                </c:pt>
                <c:pt idx="9">
                  <c:v>2028
Fcst</c:v>
                </c:pt>
                <c:pt idx="10">
                  <c:v>2029
Fcst</c:v>
                </c:pt>
                <c:pt idx="11">
                  <c:v>2030
Fcst</c:v>
                </c:pt>
                <c:pt idx="12">
                  <c:v>2031
Fcst</c:v>
                </c:pt>
                <c:pt idx="13">
                  <c:v>2032
Fcst</c:v>
                </c:pt>
                <c:pt idx="14">
                  <c:v>2033
Fcst</c:v>
                </c:pt>
              </c:strCache>
            </c:strRef>
          </c:cat>
          <c:val>
            <c:numRef>
              <c:f>'Working capital'!$C$5:$Q$5</c:f>
              <c:numCache>
                <c:formatCode>_(* #,##0_);_(* \(#,##0\);_(* "-"?_);@_)</c:formatCode>
                <c:ptCount val="15"/>
                <c:pt idx="0">
                  <c:v>1324</c:v>
                </c:pt>
                <c:pt idx="1">
                  <c:v>1886</c:v>
                </c:pt>
                <c:pt idx="2">
                  <c:v>1913</c:v>
                </c:pt>
                <c:pt idx="3">
                  <c:v>2952</c:v>
                </c:pt>
                <c:pt idx="4">
                  <c:v>3508</c:v>
                </c:pt>
                <c:pt idx="5">
                  <c:v>5551.1633635425014</c:v>
                </c:pt>
                <c:pt idx="6">
                  <c:v>6172.2727506651863</c:v>
                </c:pt>
                <c:pt idx="7">
                  <c:v>6887.4659647749677</c:v>
                </c:pt>
                <c:pt idx="8">
                  <c:v>7434.5556488311067</c:v>
                </c:pt>
                <c:pt idx="9">
                  <c:v>7998.4296398668239</c:v>
                </c:pt>
                <c:pt idx="10">
                  <c:v>8354.3447824225623</c:v>
                </c:pt>
                <c:pt idx="11">
                  <c:v>8726.2671533410685</c:v>
                </c:pt>
                <c:pt idx="12">
                  <c:v>9101.4421174184063</c:v>
                </c:pt>
                <c:pt idx="13">
                  <c:v>9491.5693819880089</c:v>
                </c:pt>
                <c:pt idx="14">
                  <c:v>9898.8659119327713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860-43D7-8A70-F200692B3763}"/>
            </c:ext>
          </c:extLst>
        </c:ser>
        <c:ser>
          <c:idx val="1"/>
          <c:order val="1"/>
          <c:tx>
            <c:strRef>
              <c:f>'Working capital'!$B$6</c:f>
              <c:strCache>
                <c:ptCount val="1"/>
                <c:pt idx="0">
                  <c:v>Inventory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capital'!$C$4:$Q$4</c:f>
              <c:strCache>
                <c:ptCount val="15"/>
                <c:pt idx="0">
                  <c:v>2019
Act</c:v>
                </c:pt>
                <c:pt idx="1">
                  <c:v>2020
Act</c:v>
                </c:pt>
                <c:pt idx="2">
                  <c:v>2021
Act</c:v>
                </c:pt>
                <c:pt idx="3">
                  <c:v>2022
Act</c:v>
                </c:pt>
                <c:pt idx="4">
                  <c:v>2023
Act</c:v>
                </c:pt>
                <c:pt idx="5">
                  <c:v>2024
Fcst</c:v>
                </c:pt>
                <c:pt idx="6">
                  <c:v>2025
Fcst</c:v>
                </c:pt>
                <c:pt idx="7">
                  <c:v>2026
Fcst</c:v>
                </c:pt>
                <c:pt idx="8">
                  <c:v>2027
Fcst</c:v>
                </c:pt>
                <c:pt idx="9">
                  <c:v>2028
Fcst</c:v>
                </c:pt>
                <c:pt idx="10">
                  <c:v>2029
Fcst</c:v>
                </c:pt>
                <c:pt idx="11">
                  <c:v>2030
Fcst</c:v>
                </c:pt>
                <c:pt idx="12">
                  <c:v>2031
Fcst</c:v>
                </c:pt>
                <c:pt idx="13">
                  <c:v>2032
Fcst</c:v>
                </c:pt>
                <c:pt idx="14">
                  <c:v>2033
Fcst</c:v>
                </c:pt>
              </c:strCache>
            </c:strRef>
          </c:cat>
          <c:val>
            <c:numRef>
              <c:f>'Working capital'!$C$6:$Q$6</c:f>
              <c:numCache>
                <c:formatCode>_(* #,##0_);_(* \(#,##0\);_(* "-"?_);@_)</c:formatCode>
                <c:ptCount val="15"/>
                <c:pt idx="0">
                  <c:v>3552</c:v>
                </c:pt>
                <c:pt idx="1">
                  <c:v>4101</c:v>
                </c:pt>
                <c:pt idx="2">
                  <c:v>5757</c:v>
                </c:pt>
                <c:pt idx="3">
                  <c:v>12839</c:v>
                </c:pt>
                <c:pt idx="4">
                  <c:v>13626</c:v>
                </c:pt>
                <c:pt idx="5">
                  <c:v>17006.734687007891</c:v>
                </c:pt>
                <c:pt idx="6">
                  <c:v>18940.879693453979</c:v>
                </c:pt>
                <c:pt idx="7">
                  <c:v>21159.415258505898</c:v>
                </c:pt>
                <c:pt idx="8">
                  <c:v>22839.407686582523</c:v>
                </c:pt>
                <c:pt idx="9">
                  <c:v>24561.718651312782</c:v>
                </c:pt>
                <c:pt idx="10">
                  <c:v>25670.045629929413</c:v>
                </c:pt>
                <c:pt idx="11">
                  <c:v>26829.393164066885</c:v>
                </c:pt>
                <c:pt idx="12">
                  <c:v>27997.331218421015</c:v>
                </c:pt>
                <c:pt idx="13">
                  <c:v>29213.395231058821</c:v>
                </c:pt>
                <c:pt idx="14">
                  <c:v>30483.872050036211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860-43D7-8A70-F200692B3763}"/>
            </c:ext>
          </c:extLst>
        </c:ser>
        <c:ser>
          <c:idx val="2"/>
          <c:order val="2"/>
          <c:tx>
            <c:strRef>
              <c:f>'Working capital'!$B$7</c:f>
              <c:strCache>
                <c:ptCount val="1"/>
                <c:pt idx="0">
                  <c:v>Accounts Payable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'Working capital'!$C$4:$Q$4</c:f>
              <c:strCache>
                <c:ptCount val="15"/>
                <c:pt idx="0">
                  <c:v>2019
Act</c:v>
                </c:pt>
                <c:pt idx="1">
                  <c:v>2020
Act</c:v>
                </c:pt>
                <c:pt idx="2">
                  <c:v>2021
Act</c:v>
                </c:pt>
                <c:pt idx="3">
                  <c:v>2022
Act</c:v>
                </c:pt>
                <c:pt idx="4">
                  <c:v>2023
Act</c:v>
                </c:pt>
                <c:pt idx="5">
                  <c:v>2024
Fcst</c:v>
                </c:pt>
                <c:pt idx="6">
                  <c:v>2025
Fcst</c:v>
                </c:pt>
                <c:pt idx="7">
                  <c:v>2026
Fcst</c:v>
                </c:pt>
                <c:pt idx="8">
                  <c:v>2027
Fcst</c:v>
                </c:pt>
                <c:pt idx="9">
                  <c:v>2028
Fcst</c:v>
                </c:pt>
                <c:pt idx="10">
                  <c:v>2029
Fcst</c:v>
                </c:pt>
                <c:pt idx="11">
                  <c:v>2030
Fcst</c:v>
                </c:pt>
                <c:pt idx="12">
                  <c:v>2031
Fcst</c:v>
                </c:pt>
                <c:pt idx="13">
                  <c:v>2032
Fcst</c:v>
                </c:pt>
                <c:pt idx="14">
                  <c:v>2033
Fcst</c:v>
                </c:pt>
              </c:strCache>
            </c:strRef>
          </c:cat>
          <c:val>
            <c:numRef>
              <c:f>'Working capital'!$C$7:$Q$7</c:f>
              <c:numCache>
                <c:formatCode>_(* #,##0_);_(* \(#,##0\);_(* "-"?_);@_)</c:formatCode>
                <c:ptCount val="15"/>
                <c:pt idx="0">
                  <c:v>3771</c:v>
                </c:pt>
                <c:pt idx="1">
                  <c:v>6051</c:v>
                </c:pt>
                <c:pt idx="2">
                  <c:v>10025</c:v>
                </c:pt>
                <c:pt idx="3">
                  <c:v>15255</c:v>
                </c:pt>
                <c:pt idx="4">
                  <c:v>14431</c:v>
                </c:pt>
                <c:pt idx="5">
                  <c:v>21825.934286093474</c:v>
                </c:pt>
                <c:pt idx="6">
                  <c:v>24308.158098446911</c:v>
                </c:pt>
                <c:pt idx="7">
                  <c:v>27155.360241911621</c:v>
                </c:pt>
                <c:pt idx="8">
                  <c:v>29311.412241967028</c:v>
                </c:pt>
                <c:pt idx="9">
                  <c:v>31521.774585370793</c:v>
                </c:pt>
                <c:pt idx="10">
                  <c:v>32944.168257524158</c:v>
                </c:pt>
                <c:pt idx="11">
                  <c:v>34432.040183588811</c:v>
                </c:pt>
                <c:pt idx="12">
                  <c:v>35930.93692618543</c:v>
                </c:pt>
                <c:pt idx="13">
                  <c:v>37491.597083234403</c:v>
                </c:pt>
                <c:pt idx="14">
                  <c:v>39122.089007365437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860-43D7-8A70-F200692B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849775"/>
        <c:axId val="1589833455"/>
      </c:lineChart>
      <c:catAx>
        <c:axId val="158984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33455"/>
        <c:crosses val="autoZero"/>
        <c:auto val="1"/>
        <c:lblAlgn val="ctr"/>
        <c:lblOffset val="100"/>
        <c:noMultiLvlLbl val="0"/>
      </c:catAx>
      <c:valAx>
        <c:axId val="15898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849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260350</xdr:colOff>
      <xdr:row>2</xdr:row>
      <xdr:rowOff>12700</xdr:rowOff>
    </xdr:from>
    <xdr:to>
      <xdr:col>11</xdr:col>
      <xdr:colOff>450850</xdr:colOff>
      <xdr:row>26</xdr:row>
      <xdr:rowOff>171248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000A20-56FB-A2E7-C4C8-8C2D603DD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900" y="381000"/>
          <a:ext cx="5067300" cy="4578148"/>
        </a:xfrm>
        <a:prstGeom prst="rect">
          <a:avLst/>
        </a:prstGeom>
      </xdr:spPr>
    </xdr:pic>
    <xdr:clientData/>
  </xdr:twoCellAnchor>
  <xdr:twoCellAnchor editAs="oneCell">
    <xdr:from>
      <xdr:col>11</xdr:col>
      <xdr:colOff>444500</xdr:colOff>
      <xdr:row>2</xdr:row>
      <xdr:rowOff>57150</xdr:rowOff>
    </xdr:from>
    <xdr:to>
      <xdr:col>24</xdr:col>
      <xdr:colOff>292100</xdr:colOff>
      <xdr:row>26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9B0C63-F705-A4AA-487E-746235460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1850" y="425450"/>
          <a:ext cx="7772400" cy="4489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174624</xdr:colOff>
      <xdr:row>17</xdr:row>
      <xdr:rowOff>139700</xdr:rowOff>
    </xdr:from>
    <xdr:to>
      <xdr:col>16</xdr:col>
      <xdr:colOff>139699</xdr:colOff>
      <xdr:row>37</xdr:row>
      <xdr:rowOff>171450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B43A302-83EB-E894-B5FA-C5A963117475}"/>
            </a:ext>
          </a:extLst>
        </xdr:cNvPr>
        <xdr:cNvGrpSpPr/>
      </xdr:nvGrpSpPr>
      <xdr:grpSpPr>
        <a:xfrm>
          <a:off x="6854824" y="3352800"/>
          <a:ext cx="5451475" cy="3714750"/>
          <a:chOff x="6696074" y="3365500"/>
          <a:chExt cx="5451475" cy="371475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BC7CD246-BBFC-1047-482C-1CD12E7A6BE5}"/>
              </a:ext>
            </a:extLst>
          </xdr:cNvPr>
          <xdr:cNvGraphicFramePr/>
        </xdr:nvGraphicFramePr>
        <xdr:xfrm>
          <a:off x="6696074" y="3378200"/>
          <a:ext cx="5451475" cy="3702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D4C75341-BE93-7007-519A-2845B0FEBBB2}"/>
              </a:ext>
            </a:extLst>
          </xdr:cNvPr>
          <xdr:cNvCxnSpPr/>
        </xdr:nvCxnSpPr>
        <xdr:spPr>
          <a:xfrm flipH="1" flipV="1">
            <a:off x="7835900" y="3365500"/>
            <a:ext cx="755650" cy="1162050"/>
          </a:xfrm>
          <a:prstGeom prst="straightConnector1">
            <a:avLst/>
          </a:prstGeom>
          <a:ln w="28575">
            <a:solidFill>
              <a:schemeClr val="bg2">
                <a:lumMod val="2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431800</xdr:colOff>
      <xdr:row>13</xdr:row>
      <xdr:rowOff>12700</xdr:rowOff>
    </xdr:from>
    <xdr:to>
      <xdr:col>10</xdr:col>
      <xdr:colOff>146050</xdr:colOff>
      <xdr:row>17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DAEF4B0-3CC6-4C8C-0D50-84300183C7A3}"/>
            </a:ext>
          </a:extLst>
        </xdr:cNvPr>
        <xdr:cNvSpPr txBox="1"/>
      </xdr:nvSpPr>
      <xdr:spPr>
        <a:xfrm>
          <a:off x="7112000" y="2489200"/>
          <a:ext cx="1543050" cy="7874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Model Y introduced. Volume and margin increased simultaneously.</a:t>
          </a:r>
        </a:p>
      </xdr:txBody>
    </xdr:sp>
    <xdr:clientData/>
  </xdr:twoCellAnchor>
  <xdr:twoCellAnchor>
    <xdr:from>
      <xdr:col>14</xdr:col>
      <xdr:colOff>165100</xdr:colOff>
      <xdr:row>14</xdr:row>
      <xdr:rowOff>101600</xdr:rowOff>
    </xdr:from>
    <xdr:to>
      <xdr:col>17</xdr:col>
      <xdr:colOff>215900</xdr:colOff>
      <xdr:row>19</xdr:row>
      <xdr:rowOff>82550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9C4B01B-FE22-4469-BD5C-67C7DC76A8F8}"/>
            </a:ext>
          </a:extLst>
        </xdr:cNvPr>
        <xdr:cNvSpPr txBox="1"/>
      </xdr:nvSpPr>
      <xdr:spPr>
        <a:xfrm>
          <a:off x="11112500" y="2762250"/>
          <a:ext cx="1879600" cy="90170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Model Y production rammped up. Volume increased tremendously with</a:t>
          </a:r>
          <a:r>
            <a:rPr lang="en-US" sz="1100" b="1" baseline="0"/>
            <a:t> steady decline in margin.</a:t>
          </a:r>
          <a:endParaRPr lang="en-US" sz="1100" b="1"/>
        </a:p>
      </xdr:txBody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0.52301</cdr:x>
      <cdr:y>0.06861</cdr:y>
    </cdr:from>
    <cdr:to>
      <cdr:x>0.7682</cdr:x>
      <cdr:y>0.23842</cdr:y>
    </cdr:to>
    <cdr:cxnSp macro="">
      <cdr:nvCxnSpPr>
        <cdr:cNvPr id="2" name="Straight Arrow Connector 1">
          <a:extLst xmlns:a="http://schemas.openxmlformats.org/drawingml/2006/main">
            <a:ext uri="{FF2B5EF4-FFF2-40B4-BE49-F238E27FC236}">
              <a16:creationId xmlns:a16="http://schemas.microsoft.com/office/drawing/2014/main" id="{D4C75341-BE93-7007-519A-2845B0FEBBB2}"/>
            </a:ext>
          </a:extLst>
        </cdr:cNvPr>
        <cdr:cNvCxnSpPr/>
      </cdr:nvCxnSpPr>
      <cdr:spPr>
        <a:xfrm xmlns:a="http://schemas.openxmlformats.org/drawingml/2006/main" flipV="1">
          <a:off x="2851150" y="254000"/>
          <a:ext cx="1336676" cy="62865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bg2">
              <a:lumMod val="25000"/>
            </a:schemeClr>
          </a:solidFill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0</xdr:rowOff>
    </xdr:from>
    <xdr:to>
      <xdr:col>21</xdr:col>
      <xdr:colOff>0</xdr:colOff>
      <xdr:row>38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35C6B0-5F6D-4D8D-9908-2E607EB38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193674</xdr:colOff>
      <xdr:row>7</xdr:row>
      <xdr:rowOff>12700</xdr:rowOff>
    </xdr:from>
    <xdr:to>
      <xdr:col>17</xdr:col>
      <xdr:colOff>6350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90DFB-14EE-F913-B577-73F0F64EE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</xdr:colOff>
      <xdr:row>4</xdr:row>
      <xdr:rowOff>114300</xdr:rowOff>
    </xdr:from>
    <xdr:to>
      <xdr:col>10</xdr:col>
      <xdr:colOff>307975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1E00DC-9824-EFC8-F6AC-3539690FC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</xdr:row>
      <xdr:rowOff>6350</xdr:rowOff>
    </xdr:from>
    <xdr:to>
      <xdr:col>15</xdr:col>
      <xdr:colOff>6350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0F3E6-0928-4F6C-BB6E-872791E07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nancial%20modelling\Tesla%20valuation\14.+Cash+flow+-+UFCF_after.xlsx" TargetMode="External"/><Relationship Id="rId1" Type="http://schemas.openxmlformats.org/officeDocument/2006/relationships/externalLinkPath" Target="14.+Cash+flow+-+UFCF_af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Drivers"/>
      <sheetName val="Input --&gt;"/>
      <sheetName val="P&amp;L Input"/>
      <sheetName val="Balance Sheet Input"/>
      <sheetName val="Workings --&gt;"/>
      <sheetName val="Income Statement items"/>
      <sheetName val="Automotive"/>
      <sheetName val="Deliveries"/>
      <sheetName val="Deliveries development"/>
      <sheetName val="Deliveries comparables"/>
      <sheetName val="Average Prices"/>
      <sheetName val="Revenue automotive"/>
      <sheetName val="GP% automotive"/>
      <sheetName val="GP automotive"/>
      <sheetName val="Cost of sales automotive"/>
      <sheetName val="Revenue &amp; GP autom"/>
      <sheetName val="Energy &amp; Other"/>
      <sheetName val="Revenue Energy &amp; Other"/>
      <sheetName val="GP Energy &amp; Other"/>
      <sheetName val="Cost of sales Energy &amp; Other"/>
      <sheetName val="Operating expenses"/>
      <sheetName val="Opex comparables"/>
      <sheetName val="Opex"/>
      <sheetName val="Balance Sheet --&gt;"/>
      <sheetName val="PP&amp;E --&gt;"/>
      <sheetName val="PP&amp;E"/>
      <sheetName val="PP&amp;E Comparables"/>
      <sheetName val="Working Capital --&gt; "/>
      <sheetName val="WC comparables"/>
      <sheetName val="Working capital"/>
      <sheetName val="WC development"/>
      <sheetName val="Financing --&gt;"/>
      <sheetName val="Financing"/>
      <sheetName val="Output --&gt;"/>
      <sheetName val="P&amp;L"/>
      <sheetName val="Balance Sheet"/>
      <sheetName val="Cash Flow"/>
    </sheetNames>
    <sheetDataSet>
      <sheetData sheetId="0"/>
      <sheetData sheetId="1"/>
      <sheetData sheetId="2"/>
      <sheetData sheetId="3">
        <row r="17">
          <cell r="B17" t="str">
            <v>Interest expense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A8F88-3A33-4358-95E6-26CF8B4E5136}">
  <dimension ref="B1:C13"/>
  <sheetViews>
    <sheetView showGridLines="0" topLeftCell="B1" workbookViewId="0">
      <selection activeCell="C13" sqref="C13"/>
    </sheetView>
  </sheetViews>
  <sheetFormatPr defaultRowHeight="14.5" x14ac:dyDescent="0.35"/>
  <cols>
    <col min="1" max="1" width="2.90625" customWidth="1"/>
    <col min="2" max="2" width="30.7265625" customWidth="1"/>
    <col min="3" max="3" width="11.1796875" customWidth="1"/>
  </cols>
  <sheetData>
    <row r="1" spans="2:3" ht="21" x14ac:dyDescent="0.5">
      <c r="B1" s="18" t="s">
        <v>64</v>
      </c>
    </row>
    <row r="3" spans="2:3" x14ac:dyDescent="0.35">
      <c r="B3" t="s">
        <v>65</v>
      </c>
      <c r="C3" s="15">
        <v>2</v>
      </c>
    </row>
    <row r="4" spans="2:3" x14ac:dyDescent="0.35">
      <c r="B4" t="s">
        <v>66</v>
      </c>
      <c r="C4" s="14" t="s">
        <v>75</v>
      </c>
    </row>
    <row r="5" spans="2:3" x14ac:dyDescent="0.35">
      <c r="B5" t="s">
        <v>67</v>
      </c>
      <c r="C5" s="14" t="s">
        <v>76</v>
      </c>
    </row>
    <row r="6" spans="2:3" x14ac:dyDescent="0.35">
      <c r="B6" t="s">
        <v>68</v>
      </c>
      <c r="C6" s="14" t="s">
        <v>77</v>
      </c>
    </row>
    <row r="7" spans="2:3" x14ac:dyDescent="0.35">
      <c r="B7" t="s">
        <v>72</v>
      </c>
      <c r="C7" s="19">
        <v>4.206E-2</v>
      </c>
    </row>
    <row r="8" spans="2:3" x14ac:dyDescent="0.35">
      <c r="B8" t="s">
        <v>69</v>
      </c>
      <c r="C8" s="19">
        <v>5.7000000000000002E-2</v>
      </c>
    </row>
    <row r="9" spans="2:3" x14ac:dyDescent="0.35">
      <c r="B9" t="s">
        <v>73</v>
      </c>
      <c r="C9" s="14">
        <v>2.41</v>
      </c>
    </row>
    <row r="10" spans="2:3" x14ac:dyDescent="0.35">
      <c r="B10" t="s">
        <v>78</v>
      </c>
      <c r="C10" s="20">
        <v>175.79</v>
      </c>
    </row>
    <row r="11" spans="2:3" x14ac:dyDescent="0.35">
      <c r="B11" t="s">
        <v>74</v>
      </c>
      <c r="C11" s="19">
        <v>4.5339999999999998E-2</v>
      </c>
    </row>
    <row r="12" spans="2:3" x14ac:dyDescent="0.35">
      <c r="B12" t="s">
        <v>70</v>
      </c>
      <c r="C12" s="21">
        <v>0.21</v>
      </c>
    </row>
    <row r="13" spans="2:3" x14ac:dyDescent="0.35">
      <c r="B13" t="s">
        <v>71</v>
      </c>
      <c r="C13" s="19">
        <v>3.1E-2</v>
      </c>
    </row>
  </sheetData>
  <dataValidations count="1">
    <dataValidation type="list" allowBlank="1" showInputMessage="1" showErrorMessage="1" sqref="C3" xr:uid="{FF1EFAC0-CC2D-42A7-B8FE-2B48FD421562}">
      <formula1>"1,2,3"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17AA4-404A-460D-BCB1-D75C70C7AA6E}">
  <dimension ref="B1:D25"/>
  <sheetViews>
    <sheetView showGridLines="0" workbookViewId="0">
      <selection activeCell="B31" sqref="B31"/>
    </sheetView>
  </sheetViews>
  <sheetFormatPr defaultRowHeight="14.5" x14ac:dyDescent="0.35"/>
  <cols>
    <col min="1" max="1" width="2.90625" customWidth="1"/>
    <col min="2" max="2" width="34.453125" customWidth="1"/>
    <col min="3" max="3" width="26.1796875" customWidth="1"/>
    <col min="4" max="4" width="17.54296875" customWidth="1"/>
  </cols>
  <sheetData>
    <row r="1" spans="2:4" ht="18" x14ac:dyDescent="0.35">
      <c r="B1" s="49" t="s">
        <v>110</v>
      </c>
      <c r="C1" s="17"/>
      <c r="D1" s="17"/>
    </row>
    <row r="2" spans="2:4" ht="15.5" x14ac:dyDescent="0.35">
      <c r="B2" s="16"/>
      <c r="C2" s="17"/>
      <c r="D2" s="17"/>
    </row>
    <row r="3" spans="2:4" x14ac:dyDescent="0.35">
      <c r="B3" s="40" t="s">
        <v>126</v>
      </c>
      <c r="C3" s="27"/>
      <c r="D3" s="27"/>
    </row>
    <row r="4" spans="2:4" x14ac:dyDescent="0.35">
      <c r="B4" s="27"/>
      <c r="C4" s="27"/>
      <c r="D4" s="27"/>
    </row>
    <row r="5" spans="2:4" x14ac:dyDescent="0.35">
      <c r="B5" s="27"/>
      <c r="C5" s="27"/>
      <c r="D5" s="27"/>
    </row>
    <row r="6" spans="2:4" x14ac:dyDescent="0.35">
      <c r="B6" s="41" t="s">
        <v>125</v>
      </c>
      <c r="C6" s="42" t="s">
        <v>111</v>
      </c>
      <c r="D6" s="42" t="s">
        <v>112</v>
      </c>
    </row>
    <row r="7" spans="2:4" x14ac:dyDescent="0.35">
      <c r="B7" s="27" t="s">
        <v>113</v>
      </c>
      <c r="C7" s="50">
        <v>6594000</v>
      </c>
      <c r="D7" s="50">
        <f>C7</f>
        <v>6594000</v>
      </c>
    </row>
    <row r="8" spans="2:4" x14ac:dyDescent="0.35">
      <c r="B8" s="27" t="s">
        <v>114</v>
      </c>
      <c r="C8" s="50">
        <v>4449070</v>
      </c>
      <c r="D8" s="50">
        <f t="shared" ref="D8:D11" si="0">C8</f>
        <v>4449070</v>
      </c>
    </row>
    <row r="9" spans="2:4" x14ac:dyDescent="0.35">
      <c r="B9" s="27" t="s">
        <v>115</v>
      </c>
      <c r="C9" s="50">
        <v>4400000</v>
      </c>
      <c r="D9" s="50">
        <f t="shared" si="0"/>
        <v>4400000</v>
      </c>
    </row>
    <row r="10" spans="2:4" x14ac:dyDescent="0.35">
      <c r="B10" s="27" t="s">
        <v>116</v>
      </c>
      <c r="C10" s="50">
        <v>2467600</v>
      </c>
      <c r="D10" s="50">
        <f t="shared" si="0"/>
        <v>2467600</v>
      </c>
    </row>
    <row r="11" spans="2:4" x14ac:dyDescent="0.35">
      <c r="B11" s="27" t="s">
        <v>117</v>
      </c>
      <c r="C11" s="50">
        <v>9426000</v>
      </c>
      <c r="D11" s="50">
        <f t="shared" si="0"/>
        <v>9426000</v>
      </c>
    </row>
    <row r="12" spans="2:4" x14ac:dyDescent="0.35">
      <c r="B12" s="44" t="s">
        <v>118</v>
      </c>
      <c r="C12" s="45" t="s">
        <v>98</v>
      </c>
      <c r="D12" s="45" t="s">
        <v>98</v>
      </c>
    </row>
    <row r="13" spans="2:4" x14ac:dyDescent="0.35">
      <c r="B13" s="44" t="s">
        <v>119</v>
      </c>
      <c r="C13" s="45" t="s">
        <v>98</v>
      </c>
      <c r="D13" s="45" t="s">
        <v>98</v>
      </c>
    </row>
    <row r="14" spans="2:4" x14ac:dyDescent="0.35">
      <c r="B14" s="44" t="s">
        <v>120</v>
      </c>
      <c r="C14" s="45" t="s">
        <v>98</v>
      </c>
      <c r="D14" s="45" t="s">
        <v>98</v>
      </c>
    </row>
    <row r="15" spans="2:4" x14ac:dyDescent="0.35">
      <c r="B15" s="44" t="s">
        <v>121</v>
      </c>
      <c r="C15" s="45" t="s">
        <v>98</v>
      </c>
      <c r="D15" s="45" t="s">
        <v>98</v>
      </c>
    </row>
    <row r="16" spans="2:4" x14ac:dyDescent="0.35">
      <c r="B16" s="44" t="s">
        <v>122</v>
      </c>
      <c r="C16" s="45" t="s">
        <v>98</v>
      </c>
      <c r="D16" s="45" t="s">
        <v>98</v>
      </c>
    </row>
    <row r="17" spans="2:4" x14ac:dyDescent="0.35">
      <c r="B17" s="44" t="s">
        <v>123</v>
      </c>
      <c r="C17" s="45" t="s">
        <v>98</v>
      </c>
      <c r="D17" s="45" t="s">
        <v>98</v>
      </c>
    </row>
    <row r="18" spans="2:4" x14ac:dyDescent="0.35">
      <c r="B18" s="46" t="s">
        <v>111</v>
      </c>
      <c r="C18" s="47" t="s">
        <v>98</v>
      </c>
      <c r="D18" s="51">
        <f>AVERAGE(D7:D17)</f>
        <v>5467334</v>
      </c>
    </row>
    <row r="19" spans="2:4" x14ac:dyDescent="0.35">
      <c r="B19" s="27"/>
      <c r="C19" s="48"/>
      <c r="D19" s="48"/>
    </row>
    <row r="20" spans="2:4" x14ac:dyDescent="0.35">
      <c r="B20" s="27"/>
      <c r="C20" s="27"/>
      <c r="D20" s="27"/>
    </row>
    <row r="21" spans="2:4" x14ac:dyDescent="0.35">
      <c r="B21" s="27"/>
      <c r="C21" s="27"/>
      <c r="D21" s="27"/>
    </row>
    <row r="22" spans="2:4" x14ac:dyDescent="0.35">
      <c r="B22" s="41" t="s">
        <v>124</v>
      </c>
      <c r="C22" s="42"/>
      <c r="D22" s="42"/>
    </row>
    <row r="23" spans="2:4" x14ac:dyDescent="0.35">
      <c r="B23" s="27">
        <v>2024</v>
      </c>
      <c r="C23" s="27"/>
      <c r="D23" s="43">
        <f>Deliveries!H11</f>
        <v>2024393.0401323559</v>
      </c>
    </row>
    <row r="24" spans="2:4" x14ac:dyDescent="0.35">
      <c r="B24" s="27">
        <v>2029</v>
      </c>
      <c r="C24" s="27"/>
      <c r="D24" s="43">
        <f>Deliveries!M11</f>
        <v>3040598.6382341157</v>
      </c>
    </row>
    <row r="25" spans="2:4" x14ac:dyDescent="0.35">
      <c r="B25" s="27">
        <v>2033</v>
      </c>
      <c r="C25" s="27"/>
      <c r="D25" s="43">
        <f>Deliveries!Q11</f>
        <v>3563144.9937170725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3A50-E120-475B-9EDC-DE993CF370AC}">
  <dimension ref="B1:F22"/>
  <sheetViews>
    <sheetView showGridLines="0" workbookViewId="0">
      <selection activeCell="F11" sqref="F11"/>
    </sheetView>
  </sheetViews>
  <sheetFormatPr defaultRowHeight="14.5" x14ac:dyDescent="0.35"/>
  <cols>
    <col min="1" max="1" width="2.90625" customWidth="1"/>
    <col min="2" max="2" width="34.54296875" customWidth="1"/>
    <col min="3" max="3" width="10.7265625" customWidth="1"/>
    <col min="4" max="4" width="13.6328125" customWidth="1"/>
    <col min="5" max="5" width="13.36328125" customWidth="1"/>
    <col min="6" max="6" width="32.7265625" customWidth="1"/>
  </cols>
  <sheetData>
    <row r="1" spans="2:6" ht="18" x14ac:dyDescent="0.35">
      <c r="B1" s="49" t="s">
        <v>127</v>
      </c>
      <c r="C1" s="52"/>
      <c r="D1" s="52"/>
      <c r="E1" s="52"/>
      <c r="F1" s="53"/>
    </row>
    <row r="2" spans="2:6" ht="16.5" x14ac:dyDescent="0.35">
      <c r="B2" s="52"/>
      <c r="C2" s="52"/>
      <c r="D2" s="52"/>
      <c r="E2" s="52"/>
      <c r="F2" s="53"/>
    </row>
    <row r="3" spans="2:6" ht="16.5" customHeight="1" x14ac:dyDescent="0.35">
      <c r="B3" s="54" t="s">
        <v>128</v>
      </c>
      <c r="C3" s="55" t="s">
        <v>129</v>
      </c>
      <c r="D3" s="56" t="s">
        <v>130</v>
      </c>
      <c r="E3" s="56" t="s">
        <v>131</v>
      </c>
      <c r="F3" s="57" t="s">
        <v>132</v>
      </c>
    </row>
    <row r="4" spans="2:6" ht="16.5" customHeight="1" x14ac:dyDescent="0.35">
      <c r="B4" s="58" t="s">
        <v>133</v>
      </c>
      <c r="C4" s="59" t="s">
        <v>134</v>
      </c>
      <c r="D4" s="60">
        <v>40240</v>
      </c>
      <c r="E4" s="60">
        <v>59740</v>
      </c>
      <c r="F4" s="61"/>
    </row>
    <row r="5" spans="2:6" ht="16.5" customHeight="1" x14ac:dyDescent="0.35">
      <c r="B5" s="58" t="s">
        <v>135</v>
      </c>
      <c r="C5" s="59" t="s">
        <v>136</v>
      </c>
      <c r="D5" s="60">
        <v>47240</v>
      </c>
      <c r="E5" s="60">
        <v>66740</v>
      </c>
      <c r="F5" s="61"/>
    </row>
    <row r="6" spans="2:6" ht="16.5" customHeight="1" x14ac:dyDescent="0.35">
      <c r="B6" s="58" t="s">
        <v>137</v>
      </c>
      <c r="C6" s="59" t="s">
        <v>136</v>
      </c>
      <c r="D6" s="60">
        <v>53240</v>
      </c>
      <c r="E6" s="60">
        <v>71240</v>
      </c>
      <c r="F6" s="52"/>
    </row>
    <row r="7" spans="2:6" x14ac:dyDescent="0.35">
      <c r="B7" s="62" t="s">
        <v>138</v>
      </c>
      <c r="C7" s="62"/>
      <c r="D7" s="73">
        <f>AVERAGE(D4:D6)</f>
        <v>46906.666666666664</v>
      </c>
      <c r="E7" s="73">
        <f>AVERAGE(E4:E6)</f>
        <v>65906.666666666672</v>
      </c>
      <c r="F7" s="63">
        <f>(D7 + E7*0.75)/2</f>
        <v>48168.333333333328</v>
      </c>
    </row>
    <row r="8" spans="2:6" ht="16.5" customHeight="1" x14ac:dyDescent="0.35">
      <c r="B8" s="58" t="s">
        <v>153</v>
      </c>
      <c r="C8" s="59" t="s">
        <v>134</v>
      </c>
      <c r="D8" s="60">
        <v>47740</v>
      </c>
      <c r="E8" s="60">
        <v>67740</v>
      </c>
      <c r="F8" s="61"/>
    </row>
    <row r="9" spans="2:6" ht="16.5" customHeight="1" x14ac:dyDescent="0.35">
      <c r="B9" s="58" t="s">
        <v>154</v>
      </c>
      <c r="C9" s="59" t="s">
        <v>136</v>
      </c>
      <c r="D9" s="60">
        <v>50490</v>
      </c>
      <c r="E9" s="60">
        <v>73990</v>
      </c>
      <c r="F9" s="61"/>
    </row>
    <row r="10" spans="2:6" ht="16.5" customHeight="1" x14ac:dyDescent="0.35">
      <c r="B10" s="58" t="s">
        <v>155</v>
      </c>
      <c r="C10" s="59" t="s">
        <v>136</v>
      </c>
      <c r="D10" s="60">
        <v>54490</v>
      </c>
      <c r="E10" s="60">
        <v>73490</v>
      </c>
      <c r="F10" s="52"/>
    </row>
    <row r="11" spans="2:6" x14ac:dyDescent="0.35">
      <c r="B11" s="62" t="s">
        <v>156</v>
      </c>
      <c r="C11" s="62"/>
      <c r="D11" s="73">
        <f>AVERAGE(D8:D10)</f>
        <v>50906.666666666664</v>
      </c>
      <c r="E11" s="73">
        <f>AVERAGE(E8:E10)</f>
        <v>71740</v>
      </c>
      <c r="F11" s="63">
        <f>(D11 + E11*0.75)/2</f>
        <v>52355.833333333328</v>
      </c>
    </row>
    <row r="12" spans="2:6" ht="16.5" customHeight="1" x14ac:dyDescent="0.35">
      <c r="B12" s="58" t="s">
        <v>139</v>
      </c>
      <c r="C12" s="59" t="s">
        <v>140</v>
      </c>
      <c r="D12" s="60">
        <v>88490</v>
      </c>
      <c r="E12" s="60">
        <v>113240</v>
      </c>
      <c r="F12" s="61"/>
    </row>
    <row r="13" spans="2:6" ht="16.5" customHeight="1" x14ac:dyDescent="0.35">
      <c r="B13" s="58" t="s">
        <v>141</v>
      </c>
      <c r="C13" s="59" t="s">
        <v>142</v>
      </c>
      <c r="D13" s="60">
        <v>108490</v>
      </c>
      <c r="E13" s="60">
        <v>133240</v>
      </c>
      <c r="F13" s="61"/>
    </row>
    <row r="14" spans="2:6" ht="16.5" customHeight="1" x14ac:dyDescent="0.35">
      <c r="B14" s="58" t="s">
        <v>143</v>
      </c>
      <c r="C14" s="59" t="s">
        <v>144</v>
      </c>
      <c r="D14" s="60">
        <v>98490</v>
      </c>
      <c r="E14" s="60">
        <v>130740</v>
      </c>
      <c r="F14" s="61"/>
    </row>
    <row r="15" spans="2:6" ht="16.5" customHeight="1" x14ac:dyDescent="0.35">
      <c r="B15" s="58" t="s">
        <v>145</v>
      </c>
      <c r="C15" s="59" t="s">
        <v>146</v>
      </c>
      <c r="D15" s="60">
        <v>108490</v>
      </c>
      <c r="E15" s="60">
        <v>134240</v>
      </c>
      <c r="F15" s="61"/>
    </row>
    <row r="16" spans="2:6" s="52" customFormat="1" ht="21" customHeight="1" x14ac:dyDescent="0.35">
      <c r="B16" s="62" t="s">
        <v>147</v>
      </c>
      <c r="C16" s="62"/>
      <c r="D16" s="73">
        <f>AVERAGE(D12:D15)</f>
        <v>100990</v>
      </c>
      <c r="E16" s="73">
        <f>AVERAGE(E12:E15)</f>
        <v>127865</v>
      </c>
      <c r="F16" s="63">
        <f>(D16 + E16)/2</f>
        <v>114427.5</v>
      </c>
    </row>
    <row r="17" spans="2:6" x14ac:dyDescent="0.35">
      <c r="B17" s="64"/>
      <c r="C17" s="64"/>
      <c r="D17" s="64"/>
      <c r="E17" s="64"/>
      <c r="F17" s="65"/>
    </row>
    <row r="18" spans="2:6" ht="16.5" customHeight="1" x14ac:dyDescent="0.35">
      <c r="B18" s="66" t="s">
        <v>148</v>
      </c>
      <c r="C18" s="67" t="s">
        <v>130</v>
      </c>
      <c r="D18" s="67" t="s">
        <v>149</v>
      </c>
      <c r="E18" s="68"/>
      <c r="F18" s="69"/>
    </row>
    <row r="19" spans="2:6" x14ac:dyDescent="0.35">
      <c r="B19" s="58" t="s">
        <v>150</v>
      </c>
      <c r="C19" s="70">
        <v>39900</v>
      </c>
      <c r="D19" s="70">
        <v>76900</v>
      </c>
      <c r="E19" s="71"/>
      <c r="F19" s="72">
        <f>AVERAGE(C19:D19)</f>
        <v>58400</v>
      </c>
    </row>
    <row r="20" spans="2:6" x14ac:dyDescent="0.35">
      <c r="B20" s="58" t="s">
        <v>151</v>
      </c>
      <c r="C20" s="70">
        <v>50907</v>
      </c>
      <c r="D20" s="70">
        <v>71740</v>
      </c>
      <c r="E20" s="71"/>
      <c r="F20" s="72">
        <f t="shared" ref="F20:F22" si="0">AVERAGE(C20:D20)</f>
        <v>61323.5</v>
      </c>
    </row>
    <row r="21" spans="2:6" x14ac:dyDescent="0.35">
      <c r="B21" s="58" t="s">
        <v>157</v>
      </c>
      <c r="C21" s="70">
        <v>200000</v>
      </c>
      <c r="D21" s="70">
        <v>250000</v>
      </c>
      <c r="E21" s="71"/>
      <c r="F21" s="72">
        <f t="shared" si="0"/>
        <v>225000</v>
      </c>
    </row>
    <row r="22" spans="2:6" x14ac:dyDescent="0.35">
      <c r="B22" s="58" t="s">
        <v>152</v>
      </c>
      <c r="C22" s="70">
        <v>150000</v>
      </c>
      <c r="D22" s="70">
        <v>200000</v>
      </c>
      <c r="E22" s="71"/>
      <c r="F22" s="72">
        <f t="shared" si="0"/>
        <v>175000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184D2-238B-44CA-9873-8BE17866E879}">
  <dimension ref="B1:R44"/>
  <sheetViews>
    <sheetView showGridLines="0" workbookViewId="0">
      <pane xSplit="2" topLeftCell="C1" activePane="topRight" state="frozen"/>
      <selection pane="topRight" activeCell="H5" sqref="H5"/>
    </sheetView>
  </sheetViews>
  <sheetFormatPr defaultRowHeight="14.5" x14ac:dyDescent="0.35"/>
  <cols>
    <col min="1" max="1" width="2.90625" customWidth="1"/>
    <col min="2" max="2" width="25.6328125" customWidth="1"/>
    <col min="8" max="17" width="11.08984375" customWidth="1"/>
    <col min="18" max="18" width="11.1796875" customWidth="1"/>
  </cols>
  <sheetData>
    <row r="1" spans="2:18" ht="18" x14ac:dyDescent="0.35">
      <c r="B1" s="49" t="s">
        <v>159</v>
      </c>
      <c r="C1" s="17"/>
      <c r="D1" s="17"/>
      <c r="E1" s="17"/>
      <c r="F1" s="76"/>
      <c r="G1" s="76"/>
      <c r="H1" s="17"/>
      <c r="I1" s="17"/>
      <c r="J1" s="17"/>
      <c r="K1" s="17"/>
      <c r="L1" s="17"/>
      <c r="M1" s="17"/>
      <c r="N1" s="17"/>
      <c r="O1" s="17"/>
      <c r="P1" s="17"/>
      <c r="Q1" s="17"/>
      <c r="R1" s="17" t="s">
        <v>160</v>
      </c>
    </row>
    <row r="2" spans="2:18" ht="15.5" x14ac:dyDescent="0.35">
      <c r="B2" s="16"/>
      <c r="C2" s="77"/>
      <c r="D2" s="77"/>
      <c r="E2" s="77"/>
      <c r="F2" s="77"/>
      <c r="G2" s="7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2:18" x14ac:dyDescent="0.35">
      <c r="B3" s="27"/>
      <c r="C3" s="230" t="s">
        <v>161</v>
      </c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17"/>
    </row>
    <row r="4" spans="2:18" ht="28" x14ac:dyDescent="0.35">
      <c r="B4" s="28" t="s">
        <v>82</v>
      </c>
      <c r="C4" s="29" t="s">
        <v>83</v>
      </c>
      <c r="D4" s="29" t="s">
        <v>102</v>
      </c>
      <c r="E4" s="29" t="s">
        <v>103</v>
      </c>
      <c r="F4" s="29" t="s">
        <v>104</v>
      </c>
      <c r="G4" s="29" t="s">
        <v>105</v>
      </c>
      <c r="H4" s="30" t="s">
        <v>84</v>
      </c>
      <c r="I4" s="30" t="s">
        <v>85</v>
      </c>
      <c r="J4" s="30" t="s">
        <v>86</v>
      </c>
      <c r="K4" s="30" t="s">
        <v>87</v>
      </c>
      <c r="L4" s="30" t="s">
        <v>88</v>
      </c>
      <c r="M4" s="30" t="s">
        <v>89</v>
      </c>
      <c r="N4" s="30" t="s">
        <v>106</v>
      </c>
      <c r="O4" s="30" t="s">
        <v>107</v>
      </c>
      <c r="P4" s="30" t="s">
        <v>108</v>
      </c>
      <c r="Q4" s="30" t="s">
        <v>109</v>
      </c>
      <c r="R4" s="78" t="s">
        <v>158</v>
      </c>
    </row>
    <row r="5" spans="2:18" x14ac:dyDescent="0.35">
      <c r="B5" s="27" t="s">
        <v>90</v>
      </c>
      <c r="C5" s="82">
        <v>14354.73383496044</v>
      </c>
      <c r="D5" s="82">
        <v>17179.86672426706</v>
      </c>
      <c r="E5" s="82">
        <v>22568.578173655053</v>
      </c>
      <c r="F5" s="82">
        <v>24046.279635367082</v>
      </c>
      <c r="G5" s="82">
        <v>22676.511173518345</v>
      </c>
      <c r="H5" s="83">
        <f>(Deliveries!H5*'Revenue automotive'!$R5*H14)/1000000</f>
        <v>29047.792995833333</v>
      </c>
      <c r="I5" s="83">
        <f>(Deliveries!I5*'Revenue automotive'!$R5*I14)/1000000</f>
        <v>31952.572295416663</v>
      </c>
      <c r="J5" s="83">
        <f>(Deliveries!J5*'Revenue automotive'!$R5*J14)/1000000</f>
        <v>35147.829524958339</v>
      </c>
      <c r="K5" s="83">
        <f>(Deliveries!K5*'Revenue automotive'!$R5*K14)/1000000</f>
        <v>37959.655886954999</v>
      </c>
      <c r="L5" s="83">
        <f>(Deliveries!L5*'Revenue automotive'!$R5*L14)/1000000</f>
        <v>40996.428357911405</v>
      </c>
      <c r="M5" s="83">
        <f>(Deliveries!M5*'Revenue automotive'!$R5*M14)/1000000</f>
        <v>42636.285492227857</v>
      </c>
      <c r="N5" s="83">
        <f>(Deliveries!N5*'Revenue automotive'!$R5*N14)/1000000</f>
        <v>44341.736911916974</v>
      </c>
      <c r="O5" s="83">
        <f>(Deliveries!O5*'Revenue automotive'!$R5*O14)/1000000</f>
        <v>46115.406388393654</v>
      </c>
      <c r="P5" s="83">
        <f>(Deliveries!P5*'Revenue automotive'!$R5*P14)/1000000</f>
        <v>47960.022643929406</v>
      </c>
      <c r="Q5" s="83">
        <f>(Deliveries!Q5*'Revenue automotive'!$R5*Q14)/1000000</f>
        <v>49878.423549686588</v>
      </c>
      <c r="R5" s="90">
        <f>'Average Prices'!F7</f>
        <v>48168.333333333328</v>
      </c>
    </row>
    <row r="6" spans="2:18" x14ac:dyDescent="0.35">
      <c r="B6" s="27" t="s">
        <v>91</v>
      </c>
      <c r="C6" s="82">
        <v>6462.8321650395592</v>
      </c>
      <c r="D6" s="82">
        <v>5553.1861984232428</v>
      </c>
      <c r="E6" s="82">
        <v>2400.8496684950946</v>
      </c>
      <c r="F6" s="82">
        <v>6695.5195752868067</v>
      </c>
      <c r="G6" s="82">
        <v>5779.265972438684</v>
      </c>
      <c r="H6" s="83">
        <f>(Deliveries!H6*'Revenue automotive'!$R6*H15)/1000000</f>
        <v>8196.3228204000006</v>
      </c>
      <c r="I6" s="83">
        <f>(Deliveries!I6*'Revenue automotive'!$R6*I15)/1000000</f>
        <v>8524.1757332160014</v>
      </c>
      <c r="J6" s="83">
        <f>(Deliveries!J6*'Revenue automotive'!$R6*J15)/1000000</f>
        <v>8865.1427625446395</v>
      </c>
      <c r="K6" s="83">
        <f>(Deliveries!K6*'Revenue automotive'!$R6*K15)/1000000</f>
        <v>9219.7484730464275</v>
      </c>
      <c r="L6" s="83">
        <f>(Deliveries!L6*'Revenue automotive'!$R6*L15)/1000000</f>
        <v>9588.538411968284</v>
      </c>
      <c r="M6" s="83">
        <f>(Deliveries!M6*'Revenue automotive'!$R6*M15)/1000000</f>
        <v>9972.0799484470172</v>
      </c>
      <c r="N6" s="83">
        <f>(Deliveries!N6*'Revenue automotive'!$R6*N15)/1000000</f>
        <v>10370.963146384896</v>
      </c>
      <c r="O6" s="83">
        <f>(Deliveries!O6*'Revenue automotive'!$R6*O15)/1000000</f>
        <v>10785.801672240295</v>
      </c>
      <c r="P6" s="83">
        <f>(Deliveries!P6*'Revenue automotive'!$R6*P15)/1000000</f>
        <v>11217.233739129908</v>
      </c>
      <c r="Q6" s="83">
        <f>(Deliveries!Q6*'Revenue automotive'!$R6*Q15)/1000000</f>
        <v>11665.923088695105</v>
      </c>
      <c r="R6" s="90">
        <f>'Average Prices'!F16</f>
        <v>114427.5</v>
      </c>
    </row>
    <row r="7" spans="2:18" x14ac:dyDescent="0.35">
      <c r="B7" s="27" t="s">
        <v>92</v>
      </c>
      <c r="C7" s="82">
        <v>0</v>
      </c>
      <c r="D7" s="82">
        <v>4387.9070773096955</v>
      </c>
      <c r="E7" s="82">
        <v>22394.812157849854</v>
      </c>
      <c r="F7" s="82">
        <v>40944.760789346117</v>
      </c>
      <c r="G7" s="82">
        <v>53962.736588921412</v>
      </c>
      <c r="H7" s="83">
        <f>(Deliveries!H7*'Revenue automotive'!R7)/1000000</f>
        <v>69109.7</v>
      </c>
      <c r="I7" s="83">
        <f>(Deliveries!I7*'Revenue automotive'!$R7*I16)/1000000</f>
        <v>76020.67</v>
      </c>
      <c r="J7" s="83">
        <f>(Deliveries!J7*'Revenue automotive'!$R7*J16)/1000000</f>
        <v>83622.737000000008</v>
      </c>
      <c r="K7" s="83">
        <f>(Deliveries!K7*'Revenue automotive'!$R7*K16)/1000000</f>
        <v>90312.555960000027</v>
      </c>
      <c r="L7" s="83">
        <f>(Deliveries!L7*'Revenue automotive'!$R7*L16)/1000000</f>
        <v>97537.560436800035</v>
      </c>
      <c r="M7" s="83">
        <f>(Deliveries!M7*'Revenue automotive'!$R7*M16)/1000000</f>
        <v>101439.06285427204</v>
      </c>
      <c r="N7" s="83">
        <f>(Deliveries!N7*'Revenue automotive'!$R7*N16)/1000000</f>
        <v>105496.62536844291</v>
      </c>
      <c r="O7" s="83">
        <f>(Deliveries!O7*'Revenue automotive'!$R7*O16)/1000000</f>
        <v>109716.49038318064</v>
      </c>
      <c r="P7" s="83">
        <f>(Deliveries!P7*'Revenue automotive'!$R7*P16)/1000000</f>
        <v>114105.14999850788</v>
      </c>
      <c r="Q7" s="83">
        <f>(Deliveries!Q7*'Revenue automotive'!$R7*Q16)/1000000</f>
        <v>118669.35599844821</v>
      </c>
      <c r="R7" s="90">
        <f>'Average Prices'!F11</f>
        <v>52355.833333333328</v>
      </c>
    </row>
    <row r="8" spans="2:18" x14ac:dyDescent="0.35">
      <c r="B8" s="27" t="s">
        <v>93</v>
      </c>
      <c r="C8" s="82">
        <v>0</v>
      </c>
      <c r="D8" s="82">
        <v>0</v>
      </c>
      <c r="E8" s="82">
        <v>0</v>
      </c>
      <c r="F8" s="82">
        <v>0</v>
      </c>
      <c r="G8" s="82">
        <v>0</v>
      </c>
      <c r="H8" s="83">
        <f>(Deliveries!H8*'Revenue automotive'!$R8*H17)/1000000</f>
        <v>0</v>
      </c>
      <c r="I8" s="83">
        <f>(Deliveries!I8*'Revenue automotive'!$R8*I17)/1000000</f>
        <v>112.5</v>
      </c>
      <c r="J8" s="83">
        <f>(Deliveries!J8*'Revenue automotive'!$R8*J17)/1000000</f>
        <v>225</v>
      </c>
      <c r="K8" s="83">
        <f>(Deliveries!K8*'Revenue automotive'!$R8*K17)/1000000</f>
        <v>337.5</v>
      </c>
      <c r="L8" s="83">
        <f>(Deliveries!L8*'Revenue automotive'!$R8*L17)/1000000</f>
        <v>371.25000000000006</v>
      </c>
      <c r="M8" s="83">
        <f>(Deliveries!M8*'Revenue automotive'!$R8*M17)/1000000</f>
        <v>408.37500000000011</v>
      </c>
      <c r="N8" s="83">
        <f>(Deliveries!N8*'Revenue automotive'!$R8*N17)/1000000</f>
        <v>441.04500000000019</v>
      </c>
      <c r="O8" s="83">
        <f>(Deliveries!O8*'Revenue automotive'!$R8*O17)/1000000</f>
        <v>476.32860000000022</v>
      </c>
      <c r="P8" s="83">
        <f>(Deliveries!P8*'Revenue automotive'!$R8*P17)/1000000</f>
        <v>495.38174400000025</v>
      </c>
      <c r="Q8" s="83">
        <f>(Deliveries!Q8*'Revenue automotive'!$R8*Q17)/1000000</f>
        <v>515.19701376000023</v>
      </c>
      <c r="R8" s="90">
        <f>'Average Prices'!F21</f>
        <v>225000</v>
      </c>
    </row>
    <row r="9" spans="2:18" x14ac:dyDescent="0.35">
      <c r="B9" s="27" t="s">
        <v>94</v>
      </c>
      <c r="C9" s="82">
        <v>0</v>
      </c>
      <c r="D9" s="82">
        <v>0</v>
      </c>
      <c r="E9" s="82">
        <v>0</v>
      </c>
      <c r="F9" s="82">
        <v>0</v>
      </c>
      <c r="G9" s="82">
        <v>0</v>
      </c>
      <c r="H9" s="83">
        <f>(Deliveries!H9*'Revenue automotive'!$R9*H18)/1000000</f>
        <v>1705.28</v>
      </c>
      <c r="I9" s="83">
        <f>(Deliveries!I9*'Revenue automotive'!$R9*I18)/1000000</f>
        <v>2832.4</v>
      </c>
      <c r="J9" s="83">
        <f>(Deliveries!J9*'Revenue automotive'!$R9*J18)/1000000</f>
        <v>5664.8</v>
      </c>
      <c r="K9" s="83">
        <f>(Deliveries!K9*'Revenue automotive'!$R9*K18)/1000000</f>
        <v>6231.2800000000007</v>
      </c>
      <c r="L9" s="83">
        <f>(Deliveries!L9*'Revenue automotive'!$R9*L18)/1000000</f>
        <v>6854.4080000000022</v>
      </c>
      <c r="M9" s="83">
        <f>(Deliveries!M9*'Revenue automotive'!$R9*M18)/1000000</f>
        <v>7402.7606400000022</v>
      </c>
      <c r="N9" s="83">
        <f>(Deliveries!N9*'Revenue automotive'!$R9*N18)/1000000</f>
        <v>7994.9814912000029</v>
      </c>
      <c r="O9" s="83">
        <f>(Deliveries!O9*'Revenue automotive'!$R9*O18)/1000000</f>
        <v>8314.7807508480037</v>
      </c>
      <c r="P9" s="83">
        <f>(Deliveries!P9*'Revenue automotive'!$R9*P18)/1000000</f>
        <v>8647.3719808819242</v>
      </c>
      <c r="Q9" s="83">
        <f>(Deliveries!Q9*'Revenue automotive'!$R9*Q18)/1000000</f>
        <v>8993.2668601172008</v>
      </c>
      <c r="R9" s="90">
        <f>'Average Prices'!F19</f>
        <v>58400</v>
      </c>
    </row>
    <row r="10" spans="2:18" x14ac:dyDescent="0.35">
      <c r="B10" s="27" t="s">
        <v>95</v>
      </c>
      <c r="C10" s="82">
        <v>0</v>
      </c>
      <c r="D10" s="82">
        <v>0</v>
      </c>
      <c r="E10" s="82">
        <v>0</v>
      </c>
      <c r="F10" s="82">
        <v>0</v>
      </c>
      <c r="G10" s="82">
        <v>32.082265121559381</v>
      </c>
      <c r="H10" s="83">
        <f>(Deliveries!H10*'Revenue automotive'!$R10*H19)/1000000</f>
        <v>90.401523162284505</v>
      </c>
      <c r="I10" s="83">
        <f>(Deliveries!I10*'Revenue automotive'!$R10*I19)/1000000</f>
        <v>158.26077916523101</v>
      </c>
      <c r="J10" s="83">
        <f>(Deliveries!J10*'Revenue automotive'!$R10*J19)/1000000</f>
        <v>244.5138831133342</v>
      </c>
      <c r="K10" s="83">
        <f>(Deliveries!K10*'Revenue automotive'!$R10*K19)/1000000</f>
        <v>322.75832570960114</v>
      </c>
      <c r="L10" s="83">
        <f>(Deliveries!L10*'Revenue automotive'!$R10*L19)/1000000</f>
        <v>355.03415828056126</v>
      </c>
      <c r="M10" s="83">
        <f>(Deliveries!M10*'Revenue automotive'!$R10*M19)/1000000</f>
        <v>390.53757410861749</v>
      </c>
      <c r="N10" s="83">
        <f>(Deliveries!N10*'Revenue automotive'!$R10*N19)/1000000</f>
        <v>421.78058003730683</v>
      </c>
      <c r="O10" s="83">
        <f>(Deliveries!O10*'Revenue automotive'!$R10*O19)/1000000</f>
        <v>455.5230264402914</v>
      </c>
      <c r="P10" s="83">
        <f>(Deliveries!P10*'Revenue automotive'!$R10*P19)/1000000</f>
        <v>473.74394749790309</v>
      </c>
      <c r="Q10" s="83">
        <f>(Deliveries!Q10*'Revenue automotive'!$R10*Q19)/1000000</f>
        <v>492.6937053978192</v>
      </c>
      <c r="R10" s="90">
        <f>'Average Prices'!F22</f>
        <v>175000</v>
      </c>
    </row>
    <row r="11" spans="2:18" ht="15" thickBot="1" x14ac:dyDescent="0.4">
      <c r="B11" s="33" t="s">
        <v>96</v>
      </c>
      <c r="C11" s="34">
        <f>SUM(C5:C10)</f>
        <v>20817.565999999999</v>
      </c>
      <c r="D11" s="34">
        <f t="shared" ref="D11:G11" si="0">SUM(D5:D10)</f>
        <v>27120.959999999999</v>
      </c>
      <c r="E11" s="34">
        <f t="shared" si="0"/>
        <v>47364.240000000005</v>
      </c>
      <c r="F11" s="34">
        <f t="shared" si="0"/>
        <v>71686.559999999998</v>
      </c>
      <c r="G11" s="34">
        <f t="shared" si="0"/>
        <v>82450.596000000005</v>
      </c>
      <c r="H11" s="34">
        <f t="shared" ref="H11:L11" si="1">SUM(H5:H10)</f>
        <v>108149.49733939562</v>
      </c>
      <c r="I11" s="34">
        <f t="shared" si="1"/>
        <v>119600.57880779788</v>
      </c>
      <c r="J11" s="34">
        <f t="shared" si="1"/>
        <v>133770.0231706163</v>
      </c>
      <c r="K11" s="34">
        <f t="shared" si="1"/>
        <v>144383.49864571108</v>
      </c>
      <c r="L11" s="34">
        <f t="shared" si="1"/>
        <v>155703.21936496027</v>
      </c>
      <c r="M11" s="34">
        <f>SUM(M5:M10)</f>
        <v>162249.10150905553</v>
      </c>
      <c r="N11" s="34">
        <f>SUM(N5:N10)</f>
        <v>169067.13249798209</v>
      </c>
      <c r="O11" s="34">
        <f>SUM(O5:O10)</f>
        <v>175864.33082110289</v>
      </c>
      <c r="P11" s="34">
        <f>SUM(P5:P10)</f>
        <v>182898.90405394702</v>
      </c>
      <c r="Q11" s="34">
        <f>SUM(Q5:Q10)</f>
        <v>190214.86021610495</v>
      </c>
      <c r="R11" s="79"/>
    </row>
    <row r="12" spans="2:18" x14ac:dyDescent="0.35"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17"/>
    </row>
    <row r="13" spans="2:18" x14ac:dyDescent="0.35">
      <c r="B13" s="84" t="s">
        <v>65</v>
      </c>
      <c r="C13" s="44"/>
      <c r="D13" s="44"/>
      <c r="E13" s="44"/>
      <c r="F13" s="44"/>
      <c r="G13" s="44"/>
      <c r="H13" s="89">
        <f>CHOOSE(Drivers!$C$3,'Revenue automotive'!H21,'Revenue automotive'!H29,'Revenue automotive'!H37)</f>
        <v>1</v>
      </c>
      <c r="I13" s="44"/>
      <c r="J13" s="44"/>
      <c r="K13" s="44"/>
      <c r="L13" s="44"/>
      <c r="M13" s="44"/>
      <c r="N13" s="44"/>
      <c r="O13" s="44"/>
      <c r="P13" s="44"/>
      <c r="Q13" s="44"/>
      <c r="R13" s="80"/>
    </row>
    <row r="14" spans="2:18" x14ac:dyDescent="0.35">
      <c r="B14" s="44" t="s">
        <v>90</v>
      </c>
      <c r="C14" s="85"/>
      <c r="D14" s="85"/>
      <c r="E14" s="85"/>
      <c r="F14" s="85"/>
      <c r="G14" s="44"/>
      <c r="H14" s="86">
        <f>CHOOSE(Drivers!$C$3,'Revenue automotive'!H22,'Revenue automotive'!H30,'Revenue automotive'!H38)</f>
        <v>1</v>
      </c>
      <c r="I14" s="86">
        <f>CHOOSE(Drivers!$C$3,'Revenue automotive'!I22,'Revenue automotive'!I30,'Revenue automotive'!I38)</f>
        <v>1</v>
      </c>
      <c r="J14" s="86">
        <f>CHOOSE(Drivers!$C$3,'Revenue automotive'!J22,'Revenue automotive'!J30,'Revenue automotive'!J38)</f>
        <v>1</v>
      </c>
      <c r="K14" s="86">
        <f>CHOOSE(Drivers!$C$3,'Revenue automotive'!K22,'Revenue automotive'!K30,'Revenue automotive'!K38)</f>
        <v>1</v>
      </c>
      <c r="L14" s="86">
        <f>CHOOSE(Drivers!$C$3,'Revenue automotive'!L22,'Revenue automotive'!L30,'Revenue automotive'!L38)</f>
        <v>1</v>
      </c>
      <c r="M14" s="86">
        <f>CHOOSE(Drivers!$C$3,'Revenue automotive'!M22,'Revenue automotive'!M30,'Revenue automotive'!M38)</f>
        <v>1</v>
      </c>
      <c r="N14" s="86">
        <f>CHOOSE(Drivers!$C$3,'Revenue automotive'!N22,'Revenue automotive'!N30,'Revenue automotive'!N38)</f>
        <v>1</v>
      </c>
      <c r="O14" s="86">
        <f>CHOOSE(Drivers!$C$3,'Revenue automotive'!O22,'Revenue automotive'!O30,'Revenue automotive'!O38)</f>
        <v>1</v>
      </c>
      <c r="P14" s="86">
        <f>CHOOSE(Drivers!$C$3,'Revenue automotive'!P22,'Revenue automotive'!P30,'Revenue automotive'!P38)</f>
        <v>1</v>
      </c>
      <c r="Q14" s="86">
        <f>CHOOSE(Drivers!$C$3,'Revenue automotive'!Q22,'Revenue automotive'!Q30,'Revenue automotive'!Q38)</f>
        <v>1</v>
      </c>
      <c r="R14" s="80"/>
    </row>
    <row r="15" spans="2:18" x14ac:dyDescent="0.35">
      <c r="B15" s="44" t="s">
        <v>91</v>
      </c>
      <c r="C15" s="85"/>
      <c r="D15" s="87"/>
      <c r="E15" s="87"/>
      <c r="F15" s="87"/>
      <c r="G15" s="44"/>
      <c r="H15" s="86">
        <f>CHOOSE(Drivers!$C$3,'Revenue automotive'!H23,'Revenue automotive'!H31,'Revenue automotive'!H39)</f>
        <v>1</v>
      </c>
      <c r="I15" s="86">
        <f>CHOOSE(Drivers!$C$3,'Revenue automotive'!I23,'Revenue automotive'!I31,'Revenue automotive'!I39)</f>
        <v>1</v>
      </c>
      <c r="J15" s="86">
        <f>CHOOSE(Drivers!$C$3,'Revenue automotive'!J23,'Revenue automotive'!J31,'Revenue automotive'!J39)</f>
        <v>1</v>
      </c>
      <c r="K15" s="86">
        <f>CHOOSE(Drivers!$C$3,'Revenue automotive'!K23,'Revenue automotive'!K31,'Revenue automotive'!K39)</f>
        <v>1</v>
      </c>
      <c r="L15" s="86">
        <f>CHOOSE(Drivers!$C$3,'Revenue automotive'!L23,'Revenue automotive'!L31,'Revenue automotive'!L39)</f>
        <v>1</v>
      </c>
      <c r="M15" s="86">
        <f>CHOOSE(Drivers!$C$3,'Revenue automotive'!M23,'Revenue automotive'!M31,'Revenue automotive'!M39)</f>
        <v>1</v>
      </c>
      <c r="N15" s="86">
        <f>CHOOSE(Drivers!$C$3,'Revenue automotive'!N23,'Revenue automotive'!N31,'Revenue automotive'!N39)</f>
        <v>1</v>
      </c>
      <c r="O15" s="86">
        <f>CHOOSE(Drivers!$C$3,'Revenue automotive'!O23,'Revenue automotive'!O31,'Revenue automotive'!O39)</f>
        <v>1</v>
      </c>
      <c r="P15" s="86">
        <f>CHOOSE(Drivers!$C$3,'Revenue automotive'!P23,'Revenue automotive'!P31,'Revenue automotive'!P39)</f>
        <v>1</v>
      </c>
      <c r="Q15" s="86">
        <f>CHOOSE(Drivers!$C$3,'Revenue automotive'!Q23,'Revenue automotive'!Q31,'Revenue automotive'!Q39)</f>
        <v>1</v>
      </c>
      <c r="R15" s="80"/>
    </row>
    <row r="16" spans="2:18" x14ac:dyDescent="0.35">
      <c r="B16" s="44" t="s">
        <v>92</v>
      </c>
      <c r="C16" s="85"/>
      <c r="D16" s="85"/>
      <c r="E16" s="85"/>
      <c r="F16" s="85"/>
      <c r="G16" s="44"/>
      <c r="H16" s="86">
        <f>CHOOSE(Drivers!$C$3,'Revenue automotive'!H24,'Revenue automotive'!H32,'Revenue automotive'!H40)</f>
        <v>1</v>
      </c>
      <c r="I16" s="86">
        <f>CHOOSE(Drivers!$C$3,'Revenue automotive'!I24,'Revenue automotive'!I32,'Revenue automotive'!I40)</f>
        <v>1</v>
      </c>
      <c r="J16" s="86">
        <f>CHOOSE(Drivers!$C$3,'Revenue automotive'!J24,'Revenue automotive'!J32,'Revenue automotive'!J40)</f>
        <v>1</v>
      </c>
      <c r="K16" s="86">
        <f>CHOOSE(Drivers!$C$3,'Revenue automotive'!K24,'Revenue automotive'!K32,'Revenue automotive'!K40)</f>
        <v>1</v>
      </c>
      <c r="L16" s="86">
        <f>CHOOSE(Drivers!$C$3,'Revenue automotive'!L24,'Revenue automotive'!L32,'Revenue automotive'!L40)</f>
        <v>1</v>
      </c>
      <c r="M16" s="86">
        <f>CHOOSE(Drivers!$C$3,'Revenue automotive'!M24,'Revenue automotive'!M32,'Revenue automotive'!M40)</f>
        <v>1</v>
      </c>
      <c r="N16" s="86">
        <f>CHOOSE(Drivers!$C$3,'Revenue automotive'!N24,'Revenue automotive'!N32,'Revenue automotive'!N40)</f>
        <v>1</v>
      </c>
      <c r="O16" s="86">
        <f>CHOOSE(Drivers!$C$3,'Revenue automotive'!O24,'Revenue automotive'!O32,'Revenue automotive'!O40)</f>
        <v>1</v>
      </c>
      <c r="P16" s="86">
        <f>CHOOSE(Drivers!$C$3,'Revenue automotive'!P24,'Revenue automotive'!P32,'Revenue automotive'!P40)</f>
        <v>1</v>
      </c>
      <c r="Q16" s="86">
        <f>CHOOSE(Drivers!$C$3,'Revenue automotive'!Q24,'Revenue automotive'!Q32,'Revenue automotive'!Q40)</f>
        <v>1</v>
      </c>
      <c r="R16" s="80"/>
    </row>
    <row r="17" spans="2:18" x14ac:dyDescent="0.35">
      <c r="B17" s="44" t="s">
        <v>93</v>
      </c>
      <c r="C17" s="85"/>
      <c r="D17" s="85"/>
      <c r="E17" s="85"/>
      <c r="F17" s="85"/>
      <c r="G17" s="44"/>
      <c r="H17" s="86">
        <f>CHOOSE(Drivers!$C$3,'Revenue automotive'!H25,'Revenue automotive'!H33,'Revenue automotive'!H41)</f>
        <v>1</v>
      </c>
      <c r="I17" s="86">
        <f>CHOOSE(Drivers!$C$3,'Revenue automotive'!I25,'Revenue automotive'!I33,'Revenue automotive'!I41)</f>
        <v>1</v>
      </c>
      <c r="J17" s="86">
        <f>CHOOSE(Drivers!$C$3,'Revenue automotive'!J25,'Revenue automotive'!J33,'Revenue automotive'!J41)</f>
        <v>1</v>
      </c>
      <c r="K17" s="86">
        <f>CHOOSE(Drivers!$C$3,'Revenue automotive'!K25,'Revenue automotive'!K33,'Revenue automotive'!K41)</f>
        <v>1</v>
      </c>
      <c r="L17" s="86">
        <f>CHOOSE(Drivers!$C$3,'Revenue automotive'!L25,'Revenue automotive'!L33,'Revenue automotive'!L41)</f>
        <v>1</v>
      </c>
      <c r="M17" s="86">
        <f>CHOOSE(Drivers!$C$3,'Revenue automotive'!M25,'Revenue automotive'!M33,'Revenue automotive'!M41)</f>
        <v>1</v>
      </c>
      <c r="N17" s="86">
        <f>CHOOSE(Drivers!$C$3,'Revenue automotive'!N25,'Revenue automotive'!N33,'Revenue automotive'!N41)</f>
        <v>1</v>
      </c>
      <c r="O17" s="86">
        <f>CHOOSE(Drivers!$C$3,'Revenue automotive'!O25,'Revenue automotive'!O33,'Revenue automotive'!O41)</f>
        <v>1</v>
      </c>
      <c r="P17" s="86">
        <f>CHOOSE(Drivers!$C$3,'Revenue automotive'!P25,'Revenue automotive'!P33,'Revenue automotive'!P41)</f>
        <v>1</v>
      </c>
      <c r="Q17" s="86">
        <f>CHOOSE(Drivers!$C$3,'Revenue automotive'!Q25,'Revenue automotive'!Q33,'Revenue automotive'!Q41)</f>
        <v>1</v>
      </c>
      <c r="R17" s="81"/>
    </row>
    <row r="18" spans="2:18" x14ac:dyDescent="0.35">
      <c r="B18" s="44" t="s">
        <v>94</v>
      </c>
      <c r="C18" s="85"/>
      <c r="D18" s="85"/>
      <c r="E18" s="85"/>
      <c r="F18" s="85"/>
      <c r="G18" s="44"/>
      <c r="H18" s="86">
        <f>CHOOSE(Drivers!$C$3,'Revenue automotive'!H26,'Revenue automotive'!H34,'Revenue automotive'!H42)</f>
        <v>1</v>
      </c>
      <c r="I18" s="86">
        <f>CHOOSE(Drivers!$C$3,'Revenue automotive'!I26,'Revenue automotive'!I34,'Revenue automotive'!I42)</f>
        <v>1</v>
      </c>
      <c r="J18" s="86">
        <f>CHOOSE(Drivers!$C$3,'Revenue automotive'!J26,'Revenue automotive'!J34,'Revenue automotive'!J42)</f>
        <v>1</v>
      </c>
      <c r="K18" s="86">
        <f>CHOOSE(Drivers!$C$3,'Revenue automotive'!K26,'Revenue automotive'!K34,'Revenue automotive'!K42)</f>
        <v>1</v>
      </c>
      <c r="L18" s="86">
        <f>CHOOSE(Drivers!$C$3,'Revenue automotive'!L26,'Revenue automotive'!L34,'Revenue automotive'!L42)</f>
        <v>1</v>
      </c>
      <c r="M18" s="86">
        <f>CHOOSE(Drivers!$C$3,'Revenue automotive'!M26,'Revenue automotive'!M34,'Revenue automotive'!M42)</f>
        <v>1</v>
      </c>
      <c r="N18" s="86">
        <f>CHOOSE(Drivers!$C$3,'Revenue automotive'!N26,'Revenue automotive'!N34,'Revenue automotive'!N42)</f>
        <v>1</v>
      </c>
      <c r="O18" s="86">
        <f>CHOOSE(Drivers!$C$3,'Revenue automotive'!O26,'Revenue automotive'!O34,'Revenue automotive'!O42)</f>
        <v>1</v>
      </c>
      <c r="P18" s="86">
        <f>CHOOSE(Drivers!$C$3,'Revenue automotive'!P26,'Revenue automotive'!P34,'Revenue automotive'!P42)</f>
        <v>1</v>
      </c>
      <c r="Q18" s="86">
        <f>CHOOSE(Drivers!$C$3,'Revenue automotive'!Q26,'Revenue automotive'!Q34,'Revenue automotive'!Q42)</f>
        <v>1</v>
      </c>
      <c r="R18" s="80"/>
    </row>
    <row r="19" spans="2:18" x14ac:dyDescent="0.35">
      <c r="B19" s="44" t="s">
        <v>95</v>
      </c>
      <c r="C19" s="85"/>
      <c r="D19" s="85"/>
      <c r="E19" s="85"/>
      <c r="F19" s="85"/>
      <c r="G19" s="44"/>
      <c r="H19" s="86">
        <f>CHOOSE(Drivers!$C$3,'Revenue automotive'!H27,'Revenue automotive'!H35,'Revenue automotive'!H43)</f>
        <v>1</v>
      </c>
      <c r="I19" s="86">
        <f>CHOOSE(Drivers!$C$3,'Revenue automotive'!I27,'Revenue automotive'!I35,'Revenue automotive'!I43)</f>
        <v>1</v>
      </c>
      <c r="J19" s="86">
        <f>CHOOSE(Drivers!$C$3,'Revenue automotive'!J27,'Revenue automotive'!J35,'Revenue automotive'!J43)</f>
        <v>1</v>
      </c>
      <c r="K19" s="86">
        <f>CHOOSE(Drivers!$C$3,'Revenue automotive'!K27,'Revenue automotive'!K35,'Revenue automotive'!K43)</f>
        <v>1</v>
      </c>
      <c r="L19" s="86">
        <f>CHOOSE(Drivers!$C$3,'Revenue automotive'!L27,'Revenue automotive'!L35,'Revenue automotive'!L43)</f>
        <v>1</v>
      </c>
      <c r="M19" s="86">
        <f>CHOOSE(Drivers!$C$3,'Revenue automotive'!M27,'Revenue automotive'!M35,'Revenue automotive'!M43)</f>
        <v>1</v>
      </c>
      <c r="N19" s="86">
        <f>CHOOSE(Drivers!$C$3,'Revenue automotive'!N27,'Revenue automotive'!N35,'Revenue automotive'!N43)</f>
        <v>1</v>
      </c>
      <c r="O19" s="86">
        <f>CHOOSE(Drivers!$C$3,'Revenue automotive'!O27,'Revenue automotive'!O35,'Revenue automotive'!O43)</f>
        <v>1</v>
      </c>
      <c r="P19" s="86">
        <f>CHOOSE(Drivers!$C$3,'Revenue automotive'!P27,'Revenue automotive'!P35,'Revenue automotive'!P43)</f>
        <v>1</v>
      </c>
      <c r="Q19" s="86">
        <f>CHOOSE(Drivers!$C$3,'Revenue automotive'!Q27,'Revenue automotive'!Q35,'Revenue automotive'!Q43)</f>
        <v>1</v>
      </c>
      <c r="R19" s="80"/>
    </row>
    <row r="20" spans="2:18" x14ac:dyDescent="0.35">
      <c r="B20" s="44"/>
      <c r="C20" s="85"/>
      <c r="D20" s="85"/>
      <c r="E20" s="85"/>
      <c r="F20" s="85"/>
      <c r="G20" s="44"/>
      <c r="H20" s="85"/>
      <c r="I20" s="88"/>
      <c r="J20" s="88"/>
      <c r="K20" s="88"/>
      <c r="L20" s="88"/>
      <c r="M20" s="88"/>
      <c r="N20" s="88"/>
      <c r="O20" s="88"/>
      <c r="P20" s="88"/>
      <c r="Q20" s="88"/>
      <c r="R20" s="80"/>
    </row>
    <row r="21" spans="2:18" x14ac:dyDescent="0.35">
      <c r="B21" s="84" t="s">
        <v>162</v>
      </c>
      <c r="C21" s="44"/>
      <c r="D21" s="44"/>
      <c r="E21" s="44"/>
      <c r="F21" s="44"/>
      <c r="G21" s="44"/>
      <c r="H21" s="88">
        <v>1.02</v>
      </c>
      <c r="I21" s="88">
        <v>1.02</v>
      </c>
      <c r="J21" s="88">
        <v>1.02</v>
      </c>
      <c r="K21" s="88">
        <v>1.02</v>
      </c>
      <c r="L21" s="88">
        <v>1.02</v>
      </c>
      <c r="M21" s="88">
        <v>1.02</v>
      </c>
      <c r="N21" s="88">
        <v>1.02</v>
      </c>
      <c r="O21" s="88">
        <v>1.02</v>
      </c>
      <c r="P21" s="88">
        <v>1.02</v>
      </c>
      <c r="Q21" s="88">
        <v>1.02</v>
      </c>
      <c r="R21" s="80"/>
    </row>
    <row r="22" spans="2:18" x14ac:dyDescent="0.35">
      <c r="B22" s="44" t="s">
        <v>90</v>
      </c>
      <c r="C22" s="85"/>
      <c r="D22" s="85"/>
      <c r="E22" s="85"/>
      <c r="F22" s="85"/>
      <c r="G22" s="44"/>
      <c r="H22" s="88">
        <v>1.02</v>
      </c>
      <c r="I22" s="88">
        <v>1.02</v>
      </c>
      <c r="J22" s="88">
        <v>1.02</v>
      </c>
      <c r="K22" s="88">
        <v>1.02</v>
      </c>
      <c r="L22" s="88">
        <v>1.02</v>
      </c>
      <c r="M22" s="88">
        <v>1.02</v>
      </c>
      <c r="N22" s="88">
        <v>1.02</v>
      </c>
      <c r="O22" s="88">
        <v>1.02</v>
      </c>
      <c r="P22" s="88">
        <v>1.02</v>
      </c>
      <c r="Q22" s="88">
        <v>1.02</v>
      </c>
      <c r="R22" s="80"/>
    </row>
    <row r="23" spans="2:18" x14ac:dyDescent="0.35">
      <c r="B23" s="44" t="s">
        <v>91</v>
      </c>
      <c r="C23" s="85"/>
      <c r="D23" s="87"/>
      <c r="E23" s="87"/>
      <c r="F23" s="87"/>
      <c r="G23" s="44"/>
      <c r="H23" s="88">
        <v>1.02</v>
      </c>
      <c r="I23" s="88">
        <v>1.02</v>
      </c>
      <c r="J23" s="88">
        <v>1.02</v>
      </c>
      <c r="K23" s="88">
        <v>1.02</v>
      </c>
      <c r="L23" s="88">
        <v>1.02</v>
      </c>
      <c r="M23" s="88">
        <v>1.02</v>
      </c>
      <c r="N23" s="88">
        <v>1.02</v>
      </c>
      <c r="O23" s="88">
        <v>1.02</v>
      </c>
      <c r="P23" s="88">
        <v>1.02</v>
      </c>
      <c r="Q23" s="88">
        <v>1.02</v>
      </c>
      <c r="R23" s="80"/>
    </row>
    <row r="24" spans="2:18" x14ac:dyDescent="0.35">
      <c r="B24" s="44" t="s">
        <v>92</v>
      </c>
      <c r="C24" s="85"/>
      <c r="D24" s="85"/>
      <c r="E24" s="85"/>
      <c r="F24" s="85"/>
      <c r="G24" s="44"/>
      <c r="H24" s="88">
        <v>1.02</v>
      </c>
      <c r="I24" s="88">
        <v>1.02</v>
      </c>
      <c r="J24" s="88">
        <v>1.02</v>
      </c>
      <c r="K24" s="88">
        <v>1.02</v>
      </c>
      <c r="L24" s="88">
        <v>1.02</v>
      </c>
      <c r="M24" s="88">
        <v>1.02</v>
      </c>
      <c r="N24" s="88">
        <v>1.02</v>
      </c>
      <c r="O24" s="88">
        <v>1.02</v>
      </c>
      <c r="P24" s="88">
        <v>1.02</v>
      </c>
      <c r="Q24" s="88">
        <v>1.02</v>
      </c>
      <c r="R24" s="80"/>
    </row>
    <row r="25" spans="2:18" x14ac:dyDescent="0.35">
      <c r="B25" s="44" t="s">
        <v>93</v>
      </c>
      <c r="C25" s="85"/>
      <c r="D25" s="85"/>
      <c r="E25" s="85"/>
      <c r="F25" s="85"/>
      <c r="G25" s="44"/>
      <c r="H25" s="88">
        <v>1.02</v>
      </c>
      <c r="I25" s="88">
        <v>1.02</v>
      </c>
      <c r="J25" s="88">
        <v>1.02</v>
      </c>
      <c r="K25" s="88">
        <v>1.02</v>
      </c>
      <c r="L25" s="88">
        <v>1.02</v>
      </c>
      <c r="M25" s="88">
        <v>1.02</v>
      </c>
      <c r="N25" s="88">
        <v>1.02</v>
      </c>
      <c r="O25" s="88">
        <v>1.02</v>
      </c>
      <c r="P25" s="88">
        <v>1.02</v>
      </c>
      <c r="Q25" s="88">
        <v>1.02</v>
      </c>
      <c r="R25" s="80"/>
    </row>
    <row r="26" spans="2:18" x14ac:dyDescent="0.35">
      <c r="B26" s="44" t="s">
        <v>94</v>
      </c>
      <c r="C26" s="85"/>
      <c r="D26" s="85"/>
      <c r="E26" s="85"/>
      <c r="F26" s="85"/>
      <c r="G26" s="44"/>
      <c r="H26" s="88">
        <v>1.02</v>
      </c>
      <c r="I26" s="88">
        <v>1.02</v>
      </c>
      <c r="J26" s="88">
        <v>1.02</v>
      </c>
      <c r="K26" s="88">
        <v>1.02</v>
      </c>
      <c r="L26" s="88">
        <v>1.02</v>
      </c>
      <c r="M26" s="88">
        <v>1.02</v>
      </c>
      <c r="N26" s="88">
        <v>1.02</v>
      </c>
      <c r="O26" s="88">
        <v>1.02</v>
      </c>
      <c r="P26" s="88">
        <v>1.02</v>
      </c>
      <c r="Q26" s="88">
        <v>1.02</v>
      </c>
      <c r="R26" s="80"/>
    </row>
    <row r="27" spans="2:18" x14ac:dyDescent="0.35">
      <c r="B27" s="44" t="s">
        <v>95</v>
      </c>
      <c r="C27" s="85"/>
      <c r="D27" s="85"/>
      <c r="E27" s="85"/>
      <c r="F27" s="85"/>
      <c r="G27" s="44"/>
      <c r="H27" s="88">
        <v>1.02</v>
      </c>
      <c r="I27" s="88">
        <v>1.02</v>
      </c>
      <c r="J27" s="88">
        <v>1.02</v>
      </c>
      <c r="K27" s="88">
        <v>1.02</v>
      </c>
      <c r="L27" s="88">
        <v>1.02</v>
      </c>
      <c r="M27" s="88">
        <v>1.02</v>
      </c>
      <c r="N27" s="88">
        <v>1.02</v>
      </c>
      <c r="O27" s="88">
        <v>1.02</v>
      </c>
      <c r="P27" s="88">
        <v>1.02</v>
      </c>
      <c r="Q27" s="88">
        <v>1.02</v>
      </c>
      <c r="R27" s="80"/>
    </row>
    <row r="28" spans="2:18" x14ac:dyDescent="0.35">
      <c r="B28" s="44"/>
      <c r="C28" s="85"/>
      <c r="D28" s="85"/>
      <c r="E28" s="85"/>
      <c r="F28" s="85"/>
      <c r="G28" s="44"/>
      <c r="H28" s="85"/>
      <c r="I28" s="88"/>
      <c r="J28" s="88"/>
      <c r="K28" s="88"/>
      <c r="L28" s="88"/>
      <c r="M28" s="88"/>
      <c r="N28" s="88"/>
      <c r="O28" s="88"/>
      <c r="P28" s="88"/>
      <c r="Q28" s="88"/>
      <c r="R28" s="80"/>
    </row>
    <row r="29" spans="2:18" x14ac:dyDescent="0.35">
      <c r="B29" s="84" t="s">
        <v>163</v>
      </c>
      <c r="C29" s="44"/>
      <c r="D29" s="44"/>
      <c r="E29" s="44"/>
      <c r="F29" s="44"/>
      <c r="G29" s="44"/>
      <c r="H29" s="88">
        <v>1</v>
      </c>
      <c r="I29" s="88">
        <v>1</v>
      </c>
      <c r="J29" s="88">
        <v>1</v>
      </c>
      <c r="K29" s="88">
        <v>1</v>
      </c>
      <c r="L29" s="88">
        <v>1</v>
      </c>
      <c r="M29" s="88">
        <v>1</v>
      </c>
      <c r="N29" s="88">
        <v>1</v>
      </c>
      <c r="O29" s="88">
        <v>1</v>
      </c>
      <c r="P29" s="88">
        <v>1</v>
      </c>
      <c r="Q29" s="88">
        <v>1</v>
      </c>
      <c r="R29" s="80"/>
    </row>
    <row r="30" spans="2:18" x14ac:dyDescent="0.35">
      <c r="B30" s="44" t="s">
        <v>90</v>
      </c>
      <c r="C30" s="85"/>
      <c r="D30" s="85"/>
      <c r="E30" s="85"/>
      <c r="F30" s="85"/>
      <c r="G30" s="44"/>
      <c r="H30" s="88">
        <v>1</v>
      </c>
      <c r="I30" s="88">
        <v>1</v>
      </c>
      <c r="J30" s="88">
        <v>1</v>
      </c>
      <c r="K30" s="88">
        <v>1</v>
      </c>
      <c r="L30" s="88">
        <v>1</v>
      </c>
      <c r="M30" s="88">
        <v>1</v>
      </c>
      <c r="N30" s="88">
        <v>1</v>
      </c>
      <c r="O30" s="88">
        <v>1</v>
      </c>
      <c r="P30" s="88">
        <v>1</v>
      </c>
      <c r="Q30" s="88">
        <v>1</v>
      </c>
      <c r="R30" s="80"/>
    </row>
    <row r="31" spans="2:18" x14ac:dyDescent="0.35">
      <c r="B31" s="44" t="s">
        <v>91</v>
      </c>
      <c r="C31" s="85"/>
      <c r="D31" s="87"/>
      <c r="E31" s="87"/>
      <c r="F31" s="87"/>
      <c r="G31" s="44"/>
      <c r="H31" s="88">
        <v>1</v>
      </c>
      <c r="I31" s="88">
        <v>1</v>
      </c>
      <c r="J31" s="88">
        <v>1</v>
      </c>
      <c r="K31" s="88">
        <v>1</v>
      </c>
      <c r="L31" s="88">
        <v>1</v>
      </c>
      <c r="M31" s="88">
        <v>1</v>
      </c>
      <c r="N31" s="88">
        <v>1</v>
      </c>
      <c r="O31" s="88">
        <v>1</v>
      </c>
      <c r="P31" s="88">
        <v>1</v>
      </c>
      <c r="Q31" s="88">
        <v>1</v>
      </c>
      <c r="R31" s="80"/>
    </row>
    <row r="32" spans="2:18" x14ac:dyDescent="0.35">
      <c r="B32" s="44" t="s">
        <v>92</v>
      </c>
      <c r="C32" s="85"/>
      <c r="D32" s="85"/>
      <c r="E32" s="85"/>
      <c r="F32" s="85"/>
      <c r="G32" s="44"/>
      <c r="H32" s="88">
        <v>1</v>
      </c>
      <c r="I32" s="88">
        <v>1</v>
      </c>
      <c r="J32" s="88">
        <v>1</v>
      </c>
      <c r="K32" s="88">
        <v>1</v>
      </c>
      <c r="L32" s="88">
        <v>1</v>
      </c>
      <c r="M32" s="88">
        <v>1</v>
      </c>
      <c r="N32" s="88">
        <v>1</v>
      </c>
      <c r="O32" s="88">
        <v>1</v>
      </c>
      <c r="P32" s="88">
        <v>1</v>
      </c>
      <c r="Q32" s="88">
        <v>1</v>
      </c>
      <c r="R32" s="80"/>
    </row>
    <row r="33" spans="2:18" x14ac:dyDescent="0.35">
      <c r="B33" s="44" t="s">
        <v>93</v>
      </c>
      <c r="C33" s="85"/>
      <c r="D33" s="85"/>
      <c r="E33" s="85"/>
      <c r="F33" s="85"/>
      <c r="G33" s="44"/>
      <c r="H33" s="88">
        <v>1</v>
      </c>
      <c r="I33" s="88">
        <v>1</v>
      </c>
      <c r="J33" s="88">
        <v>1</v>
      </c>
      <c r="K33" s="88">
        <v>1</v>
      </c>
      <c r="L33" s="88">
        <v>1</v>
      </c>
      <c r="M33" s="88">
        <v>1</v>
      </c>
      <c r="N33" s="88">
        <v>1</v>
      </c>
      <c r="O33" s="88">
        <v>1</v>
      </c>
      <c r="P33" s="88">
        <v>1</v>
      </c>
      <c r="Q33" s="88">
        <v>1</v>
      </c>
      <c r="R33" s="80"/>
    </row>
    <row r="34" spans="2:18" x14ac:dyDescent="0.35">
      <c r="B34" s="44" t="s">
        <v>94</v>
      </c>
      <c r="C34" s="85"/>
      <c r="D34" s="85"/>
      <c r="E34" s="85"/>
      <c r="F34" s="85"/>
      <c r="G34" s="44"/>
      <c r="H34" s="88">
        <v>1</v>
      </c>
      <c r="I34" s="88">
        <v>1</v>
      </c>
      <c r="J34" s="88">
        <v>1</v>
      </c>
      <c r="K34" s="88">
        <v>1</v>
      </c>
      <c r="L34" s="88">
        <v>1</v>
      </c>
      <c r="M34" s="88">
        <v>1</v>
      </c>
      <c r="N34" s="88">
        <v>1</v>
      </c>
      <c r="O34" s="88">
        <v>1</v>
      </c>
      <c r="P34" s="88">
        <v>1</v>
      </c>
      <c r="Q34" s="88">
        <v>1</v>
      </c>
      <c r="R34" s="80"/>
    </row>
    <row r="35" spans="2:18" x14ac:dyDescent="0.35">
      <c r="B35" s="44" t="s">
        <v>95</v>
      </c>
      <c r="C35" s="85"/>
      <c r="D35" s="85"/>
      <c r="E35" s="85"/>
      <c r="F35" s="85"/>
      <c r="G35" s="44"/>
      <c r="H35" s="88">
        <v>1</v>
      </c>
      <c r="I35" s="88">
        <v>1</v>
      </c>
      <c r="J35" s="88">
        <v>1</v>
      </c>
      <c r="K35" s="88">
        <v>1</v>
      </c>
      <c r="L35" s="88">
        <v>1</v>
      </c>
      <c r="M35" s="88">
        <v>1</v>
      </c>
      <c r="N35" s="88">
        <v>1</v>
      </c>
      <c r="O35" s="88">
        <v>1</v>
      </c>
      <c r="P35" s="88">
        <v>1</v>
      </c>
      <c r="Q35" s="88">
        <v>1</v>
      </c>
      <c r="R35" s="80"/>
    </row>
    <row r="36" spans="2:18" x14ac:dyDescent="0.35">
      <c r="B36" s="44"/>
      <c r="C36" s="85"/>
      <c r="D36" s="85"/>
      <c r="E36" s="85"/>
      <c r="F36" s="85"/>
      <c r="G36" s="44"/>
      <c r="H36" s="85"/>
      <c r="I36" s="88"/>
      <c r="J36" s="88"/>
      <c r="K36" s="88"/>
      <c r="L36" s="88"/>
      <c r="M36" s="88"/>
      <c r="N36" s="88"/>
      <c r="O36" s="88"/>
      <c r="P36" s="88"/>
      <c r="Q36" s="88"/>
      <c r="R36" s="80"/>
    </row>
    <row r="37" spans="2:18" x14ac:dyDescent="0.35">
      <c r="B37" s="84" t="s">
        <v>164</v>
      </c>
      <c r="C37" s="44"/>
      <c r="D37" s="44"/>
      <c r="E37" s="44"/>
      <c r="F37" s="44"/>
      <c r="G37" s="44"/>
      <c r="H37" s="88">
        <v>0.98</v>
      </c>
      <c r="I37" s="88">
        <v>0.98</v>
      </c>
      <c r="J37" s="88">
        <v>0.98</v>
      </c>
      <c r="K37" s="88">
        <v>0.98</v>
      </c>
      <c r="L37" s="88">
        <v>0.98</v>
      </c>
      <c r="M37" s="88">
        <v>0.98</v>
      </c>
      <c r="N37" s="88">
        <v>0.98</v>
      </c>
      <c r="O37" s="88">
        <v>0.98</v>
      </c>
      <c r="P37" s="88">
        <v>0.98</v>
      </c>
      <c r="Q37" s="88">
        <v>0.98</v>
      </c>
      <c r="R37" s="80"/>
    </row>
    <row r="38" spans="2:18" x14ac:dyDescent="0.35">
      <c r="B38" s="44" t="s">
        <v>90</v>
      </c>
      <c r="C38" s="85"/>
      <c r="D38" s="85"/>
      <c r="E38" s="85"/>
      <c r="F38" s="85"/>
      <c r="G38" s="44"/>
      <c r="H38" s="88">
        <v>0.98</v>
      </c>
      <c r="I38" s="88">
        <v>0.98</v>
      </c>
      <c r="J38" s="88">
        <v>0.98</v>
      </c>
      <c r="K38" s="88">
        <v>0.98</v>
      </c>
      <c r="L38" s="88">
        <v>0.98</v>
      </c>
      <c r="M38" s="88">
        <v>0.98</v>
      </c>
      <c r="N38" s="88">
        <v>0.98</v>
      </c>
      <c r="O38" s="88">
        <v>0.98</v>
      </c>
      <c r="P38" s="88">
        <v>0.98</v>
      </c>
      <c r="Q38" s="88">
        <v>0.98</v>
      </c>
      <c r="R38" s="80"/>
    </row>
    <row r="39" spans="2:18" x14ac:dyDescent="0.35">
      <c r="B39" s="44" t="s">
        <v>91</v>
      </c>
      <c r="C39" s="85"/>
      <c r="D39" s="87"/>
      <c r="E39" s="87"/>
      <c r="F39" s="87"/>
      <c r="G39" s="44"/>
      <c r="H39" s="88">
        <v>0.98</v>
      </c>
      <c r="I39" s="88">
        <v>0.98</v>
      </c>
      <c r="J39" s="88">
        <v>0.98</v>
      </c>
      <c r="K39" s="88">
        <v>0.98</v>
      </c>
      <c r="L39" s="88">
        <v>0.98</v>
      </c>
      <c r="M39" s="88">
        <v>0.98</v>
      </c>
      <c r="N39" s="88">
        <v>0.98</v>
      </c>
      <c r="O39" s="88">
        <v>0.98</v>
      </c>
      <c r="P39" s="88">
        <v>0.98</v>
      </c>
      <c r="Q39" s="88">
        <v>0.98</v>
      </c>
      <c r="R39" s="80"/>
    </row>
    <row r="40" spans="2:18" x14ac:dyDescent="0.35">
      <c r="B40" s="44" t="s">
        <v>92</v>
      </c>
      <c r="C40" s="85"/>
      <c r="D40" s="85"/>
      <c r="E40" s="85"/>
      <c r="F40" s="85"/>
      <c r="G40" s="44"/>
      <c r="H40" s="88">
        <v>0.98</v>
      </c>
      <c r="I40" s="88">
        <v>0.98</v>
      </c>
      <c r="J40" s="88">
        <v>0.98</v>
      </c>
      <c r="K40" s="88">
        <v>0.98</v>
      </c>
      <c r="L40" s="88">
        <v>0.98</v>
      </c>
      <c r="M40" s="88">
        <v>0.98</v>
      </c>
      <c r="N40" s="88">
        <v>0.98</v>
      </c>
      <c r="O40" s="88">
        <v>0.98</v>
      </c>
      <c r="P40" s="88">
        <v>0.98</v>
      </c>
      <c r="Q40" s="88">
        <v>0.98</v>
      </c>
      <c r="R40" s="80"/>
    </row>
    <row r="41" spans="2:18" x14ac:dyDescent="0.35">
      <c r="B41" s="44" t="s">
        <v>93</v>
      </c>
      <c r="C41" s="85"/>
      <c r="D41" s="85"/>
      <c r="E41" s="85"/>
      <c r="F41" s="85"/>
      <c r="G41" s="44"/>
      <c r="H41" s="88">
        <v>0.98</v>
      </c>
      <c r="I41" s="88">
        <v>0.98</v>
      </c>
      <c r="J41" s="88">
        <v>0.98</v>
      </c>
      <c r="K41" s="88">
        <v>0.98</v>
      </c>
      <c r="L41" s="88">
        <v>0.98</v>
      </c>
      <c r="M41" s="88">
        <v>0.98</v>
      </c>
      <c r="N41" s="88">
        <v>0.98</v>
      </c>
      <c r="O41" s="88">
        <v>0.98</v>
      </c>
      <c r="P41" s="88">
        <v>0.98</v>
      </c>
      <c r="Q41" s="88">
        <v>0.98</v>
      </c>
      <c r="R41" s="80"/>
    </row>
    <row r="42" spans="2:18" x14ac:dyDescent="0.35">
      <c r="B42" s="44" t="s">
        <v>94</v>
      </c>
      <c r="C42" s="85"/>
      <c r="D42" s="85"/>
      <c r="E42" s="85"/>
      <c r="F42" s="85"/>
      <c r="G42" s="44"/>
      <c r="H42" s="88">
        <v>0.98</v>
      </c>
      <c r="I42" s="88">
        <v>0.98</v>
      </c>
      <c r="J42" s="88">
        <v>0.98</v>
      </c>
      <c r="K42" s="88">
        <v>0.98</v>
      </c>
      <c r="L42" s="88">
        <v>0.98</v>
      </c>
      <c r="M42" s="88">
        <v>0.98</v>
      </c>
      <c r="N42" s="88">
        <v>0.98</v>
      </c>
      <c r="O42" s="88">
        <v>0.98</v>
      </c>
      <c r="P42" s="88">
        <v>0.98</v>
      </c>
      <c r="Q42" s="88">
        <v>0.98</v>
      </c>
      <c r="R42" s="80"/>
    </row>
    <row r="43" spans="2:18" x14ac:dyDescent="0.35">
      <c r="B43" s="44" t="s">
        <v>95</v>
      </c>
      <c r="C43" s="85"/>
      <c r="D43" s="85"/>
      <c r="E43" s="85"/>
      <c r="F43" s="85"/>
      <c r="G43" s="44"/>
      <c r="H43" s="88">
        <v>0.98</v>
      </c>
      <c r="I43" s="88">
        <v>0.98</v>
      </c>
      <c r="J43" s="88">
        <v>0.98</v>
      </c>
      <c r="K43" s="88">
        <v>0.98</v>
      </c>
      <c r="L43" s="88">
        <v>0.98</v>
      </c>
      <c r="M43" s="88">
        <v>0.98</v>
      </c>
      <c r="N43" s="88">
        <v>0.98</v>
      </c>
      <c r="O43" s="88">
        <v>0.98</v>
      </c>
      <c r="P43" s="88">
        <v>0.98</v>
      </c>
      <c r="Q43" s="88">
        <v>0.98</v>
      </c>
      <c r="R43" s="80"/>
    </row>
    <row r="44" spans="2:18" x14ac:dyDescent="0.35">
      <c r="B44" s="44"/>
      <c r="C44" s="85"/>
      <c r="D44" s="85"/>
      <c r="E44" s="85"/>
      <c r="F44" s="85"/>
      <c r="G44" s="44"/>
      <c r="H44" s="88">
        <v>0.98</v>
      </c>
      <c r="I44" s="88">
        <v>0.98</v>
      </c>
      <c r="J44" s="88">
        <v>0.98</v>
      </c>
      <c r="K44" s="88">
        <v>0.98</v>
      </c>
      <c r="L44" s="88">
        <v>0.98</v>
      </c>
      <c r="M44" s="88">
        <v>0.98</v>
      </c>
      <c r="N44" s="88">
        <v>0.98</v>
      </c>
      <c r="O44" s="88">
        <v>0.98</v>
      </c>
      <c r="P44" s="88">
        <v>0.98</v>
      </c>
      <c r="Q44" s="88">
        <v>0.98</v>
      </c>
      <c r="R44" s="80"/>
    </row>
  </sheetData>
  <mergeCells count="1">
    <mergeCell ref="C3:Q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5D0D1-7460-4411-942C-A0B2D2F6D890}">
  <dimension ref="B1:I21"/>
  <sheetViews>
    <sheetView showGridLines="0" workbookViewId="0">
      <selection activeCell="E29" sqref="E29"/>
    </sheetView>
  </sheetViews>
  <sheetFormatPr defaultRowHeight="14.5" x14ac:dyDescent="0.35"/>
  <cols>
    <col min="1" max="1" width="2.90625" customWidth="1"/>
    <col min="2" max="2" width="25.26953125" customWidth="1"/>
    <col min="3" max="3" width="33.90625" customWidth="1"/>
  </cols>
  <sheetData>
    <row r="1" spans="2:9" ht="18" x14ac:dyDescent="0.35">
      <c r="B1" s="49" t="s">
        <v>176</v>
      </c>
      <c r="C1" s="17"/>
      <c r="D1" s="17"/>
      <c r="E1" s="17"/>
      <c r="F1" s="17"/>
      <c r="G1" s="17"/>
      <c r="H1" s="17"/>
      <c r="I1" s="17"/>
    </row>
    <row r="2" spans="2:9" x14ac:dyDescent="0.35">
      <c r="B2" s="98"/>
      <c r="C2" s="27"/>
      <c r="D2" s="27"/>
      <c r="E2" s="27"/>
      <c r="F2" s="27"/>
      <c r="G2" s="27"/>
      <c r="H2" s="27"/>
      <c r="I2" s="27"/>
    </row>
    <row r="3" spans="2:9" x14ac:dyDescent="0.35">
      <c r="B3" s="40" t="s">
        <v>190</v>
      </c>
      <c r="C3" s="27"/>
      <c r="D3" s="27"/>
      <c r="E3" s="27"/>
      <c r="F3" s="27"/>
      <c r="G3" s="27"/>
      <c r="H3" s="27"/>
      <c r="I3" s="27"/>
    </row>
    <row r="4" spans="2:9" x14ac:dyDescent="0.35">
      <c r="B4" s="27"/>
      <c r="C4" s="27"/>
      <c r="D4" s="27"/>
      <c r="E4" s="27"/>
      <c r="F4" s="27"/>
      <c r="G4" s="27"/>
      <c r="H4" s="27"/>
      <c r="I4" s="27"/>
    </row>
    <row r="5" spans="2:9" ht="56.5" x14ac:dyDescent="0.35">
      <c r="B5" s="28" t="s">
        <v>82</v>
      </c>
      <c r="C5" s="28" t="s">
        <v>177</v>
      </c>
      <c r="D5" s="42" t="s">
        <v>178</v>
      </c>
      <c r="E5" s="42" t="s">
        <v>179</v>
      </c>
      <c r="F5" s="42" t="s">
        <v>180</v>
      </c>
      <c r="G5" s="99"/>
      <c r="H5" s="42" t="s">
        <v>111</v>
      </c>
      <c r="I5" s="27"/>
    </row>
    <row r="6" spans="2:9" x14ac:dyDescent="0.35">
      <c r="B6" s="27" t="s">
        <v>90</v>
      </c>
      <c r="C6" s="27" t="s">
        <v>181</v>
      </c>
      <c r="D6" s="100">
        <v>0.187</v>
      </c>
      <c r="E6" s="100">
        <f>(((155900-134693)/155900)+((160338-136269)/160338))/2</f>
        <v>0.14307181999290131</v>
      </c>
      <c r="F6" s="100">
        <f>(((108187-93164)/108187)+((110412-95011)/110412))/2</f>
        <v>0.13917403294178585</v>
      </c>
      <c r="G6" s="99"/>
      <c r="H6" s="101">
        <f>C16</f>
        <v>0.24146810948377939</v>
      </c>
      <c r="I6" s="27" t="s">
        <v>182</v>
      </c>
    </row>
    <row r="7" spans="2:9" x14ac:dyDescent="0.35">
      <c r="B7" s="27" t="s">
        <v>91</v>
      </c>
      <c r="C7" s="27" t="s">
        <v>183</v>
      </c>
      <c r="D7" s="102">
        <f>((13620/91682)+(13928/85846))/2</f>
        <v>0.15540049350548607</v>
      </c>
      <c r="E7" s="102">
        <f>((33067/167362)+(29165/172745))/2</f>
        <v>0.18320518912380251</v>
      </c>
      <c r="F7" s="102">
        <v>0.17199999999999999</v>
      </c>
      <c r="G7" s="99"/>
      <c r="H7" s="101">
        <f>C17</f>
        <v>0.24146810948377939</v>
      </c>
      <c r="I7" s="27" t="s">
        <v>182</v>
      </c>
    </row>
    <row r="8" spans="2:9" x14ac:dyDescent="0.35">
      <c r="B8" s="27" t="s">
        <v>92</v>
      </c>
      <c r="C8" s="27" t="s">
        <v>181</v>
      </c>
      <c r="D8" s="100">
        <v>0.187</v>
      </c>
      <c r="E8" s="100">
        <f>(((155900-134693)/155900)+((160338-136269)/160338))/2</f>
        <v>0.14307181999290131</v>
      </c>
      <c r="F8" s="100">
        <f>(((108187-93164)/108187)+((110412-95011)/110412))/2</f>
        <v>0.13917403294178585</v>
      </c>
      <c r="G8" s="99"/>
      <c r="H8" s="101">
        <f>C18</f>
        <v>0.24146810948377939</v>
      </c>
      <c r="I8" s="27" t="s">
        <v>182</v>
      </c>
    </row>
    <row r="9" spans="2:9" x14ac:dyDescent="0.35">
      <c r="B9" s="27" t="s">
        <v>93</v>
      </c>
      <c r="C9" s="27" t="s">
        <v>185</v>
      </c>
      <c r="D9" s="100">
        <f>(((24214-15670)/24214)+((25786-16328)/25786))/2</f>
        <v>0.35982095031010847</v>
      </c>
      <c r="E9" s="102">
        <v>0.44</v>
      </c>
      <c r="F9" s="100">
        <f>(((3766-1805)/3766)+((3420-1623)/3420))/2</f>
        <v>0.52307511343414292</v>
      </c>
      <c r="G9" s="99"/>
      <c r="H9" s="103">
        <f t="shared" ref="H9:H11" si="0">AVERAGE(D9:F9)</f>
        <v>0.44096535458141711</v>
      </c>
      <c r="I9" s="27" t="s">
        <v>184</v>
      </c>
    </row>
    <row r="10" spans="2:9" x14ac:dyDescent="0.35">
      <c r="B10" s="27" t="s">
        <v>94</v>
      </c>
      <c r="C10" s="27" t="s">
        <v>181</v>
      </c>
      <c r="D10" s="100">
        <f>D6</f>
        <v>0.187</v>
      </c>
      <c r="E10" s="100">
        <f>E6</f>
        <v>0.14307181999290131</v>
      </c>
      <c r="F10" s="100">
        <f>F6</f>
        <v>0.13917403294178585</v>
      </c>
      <c r="G10" s="99"/>
      <c r="H10" s="103">
        <f t="shared" si="0"/>
        <v>0.15641528431156237</v>
      </c>
      <c r="I10" s="27" t="s">
        <v>184</v>
      </c>
    </row>
    <row r="11" spans="2:9" x14ac:dyDescent="0.35">
      <c r="B11" s="27" t="s">
        <v>95</v>
      </c>
      <c r="C11" s="27" t="s">
        <v>186</v>
      </c>
      <c r="D11" s="100">
        <v>0.23</v>
      </c>
      <c r="E11" s="100">
        <v>0.23</v>
      </c>
      <c r="F11" s="100">
        <f>(((24120-20556)/24120)+((22139-18925)/22139))/2</f>
        <v>0.14646743472213888</v>
      </c>
      <c r="G11" s="99"/>
      <c r="H11" s="103">
        <f t="shared" si="0"/>
        <v>0.2021558115740463</v>
      </c>
      <c r="I11" s="27" t="s">
        <v>184</v>
      </c>
    </row>
    <row r="12" spans="2:9" x14ac:dyDescent="0.35">
      <c r="B12" s="27"/>
      <c r="C12" s="27"/>
      <c r="D12" s="27"/>
      <c r="E12" s="27"/>
      <c r="F12" s="27"/>
      <c r="G12" s="27"/>
      <c r="H12" s="27"/>
      <c r="I12" s="27"/>
    </row>
    <row r="13" spans="2:9" x14ac:dyDescent="0.35">
      <c r="B13" s="27" t="s">
        <v>187</v>
      </c>
      <c r="C13" s="27"/>
      <c r="D13" s="27"/>
      <c r="E13" s="27"/>
      <c r="F13" s="27"/>
      <c r="G13" s="27"/>
      <c r="H13" s="27"/>
      <c r="I13" s="27"/>
    </row>
    <row r="14" spans="2:9" x14ac:dyDescent="0.35">
      <c r="B14" s="27"/>
      <c r="C14" s="27"/>
      <c r="D14" s="27"/>
      <c r="E14" s="27"/>
      <c r="F14" s="27" t="s">
        <v>188</v>
      </c>
      <c r="G14" s="27"/>
      <c r="H14" s="27"/>
      <c r="I14" s="27"/>
    </row>
    <row r="15" spans="2:9" ht="42.5" x14ac:dyDescent="0.35">
      <c r="B15" s="28" t="s">
        <v>82</v>
      </c>
      <c r="C15" s="28" t="s">
        <v>189</v>
      </c>
      <c r="D15" s="27"/>
      <c r="E15" s="27"/>
      <c r="F15" s="27"/>
      <c r="G15" s="27"/>
      <c r="H15" s="27"/>
      <c r="I15" s="27"/>
    </row>
    <row r="16" spans="2:9" x14ac:dyDescent="0.35">
      <c r="B16" s="27" t="s">
        <v>90</v>
      </c>
      <c r="C16" s="104">
        <f>AVERAGE('P&amp;L Input'!$C$31:$G$31)</f>
        <v>0.24146810948377939</v>
      </c>
      <c r="D16" s="27"/>
      <c r="E16" s="27"/>
      <c r="F16" s="27"/>
      <c r="G16" s="27"/>
      <c r="H16" s="27"/>
      <c r="I16" s="27"/>
    </row>
    <row r="17" spans="2:9" x14ac:dyDescent="0.35">
      <c r="B17" s="27" t="s">
        <v>91</v>
      </c>
      <c r="C17" s="104">
        <f>AVERAGE('P&amp;L Input'!$C$31:$G$31)</f>
        <v>0.24146810948377939</v>
      </c>
      <c r="D17" s="27"/>
      <c r="E17" s="27"/>
      <c r="F17" s="27"/>
      <c r="G17" s="27"/>
      <c r="H17" s="27"/>
      <c r="I17" s="27"/>
    </row>
    <row r="18" spans="2:9" x14ac:dyDescent="0.35">
      <c r="B18" s="27" t="s">
        <v>92</v>
      </c>
      <c r="C18" s="104">
        <f>AVERAGE('P&amp;L Input'!$C$31:$G$31)</f>
        <v>0.24146810948377939</v>
      </c>
      <c r="D18" s="27"/>
      <c r="E18" s="27"/>
      <c r="F18" s="27"/>
      <c r="G18" s="27"/>
      <c r="H18" s="27"/>
      <c r="I18" s="27"/>
    </row>
    <row r="19" spans="2:9" x14ac:dyDescent="0.35">
      <c r="B19" s="27" t="s">
        <v>93</v>
      </c>
      <c r="C19" s="99" t="s">
        <v>98</v>
      </c>
      <c r="D19" s="27"/>
      <c r="E19" s="27"/>
      <c r="F19" s="27"/>
      <c r="G19" s="27"/>
      <c r="H19" s="27"/>
      <c r="I19" s="27"/>
    </row>
    <row r="20" spans="2:9" x14ac:dyDescent="0.35">
      <c r="B20" s="27" t="s">
        <v>94</v>
      </c>
      <c r="C20" s="99" t="s">
        <v>98</v>
      </c>
      <c r="D20" s="27"/>
      <c r="E20" s="27"/>
      <c r="F20" s="27"/>
      <c r="G20" s="27"/>
      <c r="H20" s="27"/>
      <c r="I20" s="27"/>
    </row>
    <row r="21" spans="2:9" x14ac:dyDescent="0.35">
      <c r="B21" s="27" t="s">
        <v>95</v>
      </c>
      <c r="C21" s="99" t="s">
        <v>98</v>
      </c>
      <c r="D21" s="27"/>
      <c r="E21" s="27"/>
      <c r="F21" s="27"/>
      <c r="G21" s="27"/>
      <c r="H21" s="27"/>
      <c r="I21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80F5A-44A4-4EDE-B929-45539057485F}">
  <dimension ref="B1:Q44"/>
  <sheetViews>
    <sheetView showGridLines="0" topLeftCell="A4" workbookViewId="0">
      <selection activeCell="H5" sqref="H5"/>
    </sheetView>
  </sheetViews>
  <sheetFormatPr defaultRowHeight="14.5" x14ac:dyDescent="0.35"/>
  <cols>
    <col min="1" max="1" width="2.90625" customWidth="1"/>
    <col min="2" max="2" width="25.6328125" customWidth="1"/>
    <col min="8" max="17" width="11.08984375" customWidth="1"/>
    <col min="18" max="18" width="17.453125" customWidth="1"/>
  </cols>
  <sheetData>
    <row r="1" spans="2:17" ht="18" x14ac:dyDescent="0.35">
      <c r="B1" s="49" t="s">
        <v>192</v>
      </c>
      <c r="C1" s="17"/>
      <c r="D1" s="17"/>
      <c r="E1" s="17"/>
      <c r="F1" s="76"/>
      <c r="G1" s="76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2:17" ht="15.5" x14ac:dyDescent="0.35">
      <c r="B2" s="16"/>
      <c r="C2" s="77"/>
      <c r="D2" s="77"/>
      <c r="E2" s="77"/>
      <c r="F2" s="77"/>
      <c r="G2" s="7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x14ac:dyDescent="0.35">
      <c r="B3" s="27"/>
      <c r="C3" s="230" t="s">
        <v>193</v>
      </c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</row>
    <row r="4" spans="2:17" ht="28" x14ac:dyDescent="0.35">
      <c r="B4" s="28" t="s">
        <v>82</v>
      </c>
      <c r="C4" s="29" t="s">
        <v>83</v>
      </c>
      <c r="D4" s="29" t="s">
        <v>102</v>
      </c>
      <c r="E4" s="29" t="s">
        <v>103</v>
      </c>
      <c r="F4" s="29" t="s">
        <v>104</v>
      </c>
      <c r="G4" s="29" t="s">
        <v>105</v>
      </c>
      <c r="H4" s="30" t="s">
        <v>84</v>
      </c>
      <c r="I4" s="30" t="s">
        <v>85</v>
      </c>
      <c r="J4" s="30" t="s">
        <v>86</v>
      </c>
      <c r="K4" s="30" t="s">
        <v>87</v>
      </c>
      <c r="L4" s="30" t="s">
        <v>88</v>
      </c>
      <c r="M4" s="30" t="s">
        <v>89</v>
      </c>
      <c r="N4" s="30" t="s">
        <v>106</v>
      </c>
      <c r="O4" s="30" t="s">
        <v>107</v>
      </c>
      <c r="P4" s="30" t="s">
        <v>108</v>
      </c>
      <c r="Q4" s="30" t="s">
        <v>109</v>
      </c>
    </row>
    <row r="5" spans="2:17" x14ac:dyDescent="0.35">
      <c r="B5" s="27" t="s">
        <v>90</v>
      </c>
      <c r="C5" s="31" t="s">
        <v>2</v>
      </c>
      <c r="D5" s="31" t="s">
        <v>2</v>
      </c>
      <c r="E5" s="31" t="s">
        <v>2</v>
      </c>
      <c r="F5" s="31" t="s">
        <v>2</v>
      </c>
      <c r="G5" s="31" t="s">
        <v>2</v>
      </c>
      <c r="H5" s="32">
        <f>'Revenue automotive'!H5*'GP automotive'!H14</f>
        <v>7014.1156593800433</v>
      </c>
      <c r="I5" s="32">
        <f>'Revenue automotive'!I5*'GP automotive'!I14</f>
        <v>7715.5272253180474</v>
      </c>
      <c r="J5" s="32">
        <f>'Revenue automotive'!J5*'GP automotive'!J14</f>
        <v>8487.0799478498539</v>
      </c>
      <c r="K5" s="32">
        <f>'Revenue automotive'!K5*'GP automotive'!K14</f>
        <v>9166.0463436778409</v>
      </c>
      <c r="L5" s="32">
        <f>'Revenue automotive'!L5*'GP automotive'!L14</f>
        <v>9899.3300511720699</v>
      </c>
      <c r="M5" s="32">
        <f>'Revenue automotive'!M5*'GP automotive'!M14</f>
        <v>10295.303253218952</v>
      </c>
      <c r="N5" s="32">
        <f>'Revenue automotive'!N5*'GP automotive'!N14</f>
        <v>10707.115383347709</v>
      </c>
      <c r="O5" s="32">
        <f>'Revenue automotive'!O5*'GP automotive'!O14</f>
        <v>11135.399998681618</v>
      </c>
      <c r="P5" s="32">
        <f>'Revenue automotive'!P5*'GP automotive'!P14</f>
        <v>11580.815998628885</v>
      </c>
      <c r="Q5" s="32">
        <f>'Revenue automotive'!Q5*'GP automotive'!Q14</f>
        <v>12044.048638574041</v>
      </c>
    </row>
    <row r="6" spans="2:17" x14ac:dyDescent="0.35">
      <c r="B6" s="27" t="s">
        <v>91</v>
      </c>
      <c r="C6" s="31" t="s">
        <v>2</v>
      </c>
      <c r="D6" s="31" t="s">
        <v>2</v>
      </c>
      <c r="E6" s="31" t="s">
        <v>2</v>
      </c>
      <c r="F6" s="31" t="s">
        <v>2</v>
      </c>
      <c r="G6" s="31" t="s">
        <v>2</v>
      </c>
      <c r="H6" s="32">
        <f>'Revenue automotive'!H6*'GP automotive'!H15</f>
        <v>1979.1505761607468</v>
      </c>
      <c r="I6" s="32">
        <f>'Revenue automotive'!I6*'GP automotive'!I15</f>
        <v>2058.3165992071768</v>
      </c>
      <c r="J6" s="32">
        <f>'Revenue automotive'!J6*'GP automotive'!J15</f>
        <v>2140.6492631754636</v>
      </c>
      <c r="K6" s="32">
        <f>'Revenue automotive'!K6*'GP automotive'!K15</f>
        <v>2226.2752337024826</v>
      </c>
      <c r="L6" s="32">
        <f>'Revenue automotive'!L6*'GP automotive'!L15</f>
        <v>2315.326243050582</v>
      </c>
      <c r="M6" s="32">
        <f>'Revenue automotive'!M6*'GP automotive'!M15</f>
        <v>2407.9392927726053</v>
      </c>
      <c r="N6" s="32">
        <f>'Revenue automotive'!N6*'GP automotive'!N15</f>
        <v>2504.2568644835092</v>
      </c>
      <c r="O6" s="32">
        <f>'Revenue automotive'!O6*'GP automotive'!O15</f>
        <v>2604.4271390628505</v>
      </c>
      <c r="P6" s="32">
        <f>'Revenue automotive'!P6*'GP automotive'!P15</f>
        <v>2708.6042246253646</v>
      </c>
      <c r="Q6" s="32">
        <f>'Revenue automotive'!Q6*'GP automotive'!Q15</f>
        <v>2816.9483936103793</v>
      </c>
    </row>
    <row r="7" spans="2:17" x14ac:dyDescent="0.35">
      <c r="B7" s="27" t="s">
        <v>92</v>
      </c>
      <c r="C7" s="31"/>
      <c r="D7" s="31" t="s">
        <v>2</v>
      </c>
      <c r="E7" s="31" t="s">
        <v>2</v>
      </c>
      <c r="F7" s="31" t="s">
        <v>2</v>
      </c>
      <c r="G7" s="31" t="s">
        <v>2</v>
      </c>
      <c r="H7" s="32">
        <f>'Revenue automotive'!H7*'GP automotive'!H16</f>
        <v>16687.788605991147</v>
      </c>
      <c r="I7" s="32">
        <f>'Revenue automotive'!I7*'GP automotive'!I16</f>
        <v>18356.567466590262</v>
      </c>
      <c r="J7" s="32">
        <f>'Revenue automotive'!J7*'GP automotive'!J16</f>
        <v>20192.22421324929</v>
      </c>
      <c r="K7" s="32">
        <f>'Revenue automotive'!K7*'GP automotive'!K16</f>
        <v>21807.602150309238</v>
      </c>
      <c r="L7" s="32">
        <f>'Revenue automotive'!L7*'GP automotive'!L16</f>
        <v>23552.21032233398</v>
      </c>
      <c r="M7" s="32">
        <f>'Revenue automotive'!M7*'GP automotive'!M16</f>
        <v>24494.298735227341</v>
      </c>
      <c r="N7" s="32">
        <f>'Revenue automotive'!N7*'GP automotive'!N16</f>
        <v>25474.07068463643</v>
      </c>
      <c r="O7" s="32">
        <f>'Revenue automotive'!O7*'GP automotive'!O16</f>
        <v>26493.033512021892</v>
      </c>
      <c r="P7" s="32">
        <f>'Revenue automotive'!P7*'GP automotive'!P16</f>
        <v>27552.754852502771</v>
      </c>
      <c r="Q7" s="32">
        <f>'Revenue automotive'!Q7*'GP automotive'!Q16</f>
        <v>28654.865046602885</v>
      </c>
    </row>
    <row r="8" spans="2:17" x14ac:dyDescent="0.35">
      <c r="B8" s="27" t="s">
        <v>93</v>
      </c>
      <c r="C8" s="31"/>
      <c r="D8" s="31"/>
      <c r="E8" s="31"/>
      <c r="F8" s="31"/>
      <c r="G8" s="31"/>
      <c r="H8" s="32">
        <f>'Revenue automotive'!H8*'GP automotive'!H17</f>
        <v>0</v>
      </c>
      <c r="I8" s="32">
        <f>'Revenue automotive'!I8*'GP automotive'!I17</f>
        <v>49.608602390409423</v>
      </c>
      <c r="J8" s="32">
        <f>'Revenue automotive'!J8*'GP automotive'!J17</f>
        <v>99.217204780818847</v>
      </c>
      <c r="K8" s="32">
        <f>'Revenue automotive'!K8*'GP automotive'!K17</f>
        <v>148.82580717122826</v>
      </c>
      <c r="L8" s="32">
        <f>'Revenue automotive'!L8*'GP automotive'!L17</f>
        <v>163.70838788835113</v>
      </c>
      <c r="M8" s="32">
        <f>'Revenue automotive'!M8*'GP automotive'!M17</f>
        <v>180.07922667718626</v>
      </c>
      <c r="N8" s="32">
        <f>'Revenue automotive'!N8*'GP automotive'!N17</f>
        <v>194.4855648113612</v>
      </c>
      <c r="O8" s="32">
        <f>'Revenue automotive'!O8*'GP automotive'!O17</f>
        <v>210.0444099962701</v>
      </c>
      <c r="P8" s="32">
        <f>'Revenue automotive'!P8*'GP automotive'!P17</f>
        <v>218.44618639612091</v>
      </c>
      <c r="Q8" s="32">
        <f>'Revenue automotive'!Q8*'GP automotive'!Q17</f>
        <v>227.18403385196572</v>
      </c>
    </row>
    <row r="9" spans="2:17" x14ac:dyDescent="0.35">
      <c r="B9" s="27" t="s">
        <v>94</v>
      </c>
      <c r="C9" s="31"/>
      <c r="D9" s="31"/>
      <c r="E9" s="31"/>
      <c r="F9" s="31"/>
      <c r="G9" s="31"/>
      <c r="H9" s="32">
        <f>'Revenue automotive'!H9*'GP automotive'!H18</f>
        <v>266.73185603082106</v>
      </c>
      <c r="I9" s="32">
        <f>'Revenue automotive'!I9*'GP automotive'!I18</f>
        <v>443.03065128406928</v>
      </c>
      <c r="J9" s="32">
        <f>'Revenue automotive'!J9*'GP automotive'!J18</f>
        <v>886.06130256813856</v>
      </c>
      <c r="K9" s="32">
        <f>'Revenue automotive'!K9*'GP automotive'!K18</f>
        <v>974.66743282495247</v>
      </c>
      <c r="L9" s="32">
        <f>'Revenue automotive'!L9*'GP automotive'!L18</f>
        <v>1072.134176107448</v>
      </c>
      <c r="M9" s="32">
        <f>'Revenue automotive'!M9*'GP automotive'!M18</f>
        <v>1157.9049101960438</v>
      </c>
      <c r="N9" s="32">
        <f>'Revenue automotive'!N9*'GP automotive'!N18</f>
        <v>1250.5373030117273</v>
      </c>
      <c r="O9" s="32">
        <f>'Revenue automotive'!O9*'GP automotive'!O18</f>
        <v>1300.5587951321966</v>
      </c>
      <c r="P9" s="32">
        <f>'Revenue automotive'!P9*'GP automotive'!P18</f>
        <v>1352.5811469374844</v>
      </c>
      <c r="Q9" s="32">
        <f>'Revenue automotive'!Q9*'GP automotive'!Q18</f>
        <v>1406.6843928149838</v>
      </c>
    </row>
    <row r="10" spans="2:17" x14ac:dyDescent="0.35">
      <c r="B10" s="27" t="s">
        <v>95</v>
      </c>
      <c r="C10" s="31"/>
      <c r="D10" s="31"/>
      <c r="E10" s="31"/>
      <c r="F10" s="31"/>
      <c r="G10" s="31" t="s">
        <v>2</v>
      </c>
      <c r="H10" s="32">
        <f>'Revenue automotive'!H10*'GP automotive'!H19</f>
        <v>18.27519328240157</v>
      </c>
      <c r="I10" s="32">
        <f>'Revenue automotive'!I10*'GP automotive'!I19</f>
        <v>31.993336252488195</v>
      </c>
      <c r="J10" s="32">
        <f>'Revenue automotive'!J10*'GP automotive'!J19</f>
        <v>49.429902481897571</v>
      </c>
      <c r="K10" s="32">
        <f>'Revenue automotive'!K10*'GP automotive'!K19</f>
        <v>65.24747127610479</v>
      </c>
      <c r="L10" s="32">
        <f>'Revenue automotive'!L10*'GP automotive'!L19</f>
        <v>71.772218403715272</v>
      </c>
      <c r="M10" s="32">
        <f>'Revenue automotive'!M10*'GP automotive'!M19</f>
        <v>78.949440244086816</v>
      </c>
      <c r="N10" s="32">
        <f>'Revenue automotive'!N10*'GP automotive'!N19</f>
        <v>85.265395463613757</v>
      </c>
      <c r="O10" s="32">
        <f>'Revenue automotive'!O10*'GP automotive'!O19</f>
        <v>92.086627100702856</v>
      </c>
      <c r="P10" s="32">
        <f>'Revenue automotive'!P10*'GP automotive'!P19</f>
        <v>95.770092184730984</v>
      </c>
      <c r="Q10" s="32">
        <f>'Revenue automotive'!Q10*'GP automotive'!Q19</f>
        <v>99.600895872120219</v>
      </c>
    </row>
    <row r="11" spans="2:17" ht="15" thickBot="1" x14ac:dyDescent="0.4">
      <c r="B11" s="33" t="s">
        <v>96</v>
      </c>
      <c r="C11" s="107">
        <f>'P&amp;L Input'!C5+'P&amp;L Input'!C9</f>
        <v>3879</v>
      </c>
      <c r="D11" s="107">
        <f>'P&amp;L Input'!D5+'P&amp;L Input'!D9</f>
        <v>6612</v>
      </c>
      <c r="E11" s="107">
        <f>'P&amp;L Input'!E5+'P&amp;L Input'!E9</f>
        <v>13735.000000000007</v>
      </c>
      <c r="F11" s="107">
        <f>'P&amp;L Input'!F5+'P&amp;L Input'!F9</f>
        <v>20565</v>
      </c>
      <c r="G11" s="107">
        <f>'P&amp;L Input'!G5+'P&amp;L Input'!G9</f>
        <v>16519</v>
      </c>
      <c r="H11" s="107">
        <f t="shared" ref="H11:L11" si="0">SUM(H5:H10)</f>
        <v>25966.061890845158</v>
      </c>
      <c r="I11" s="107">
        <f t="shared" si="0"/>
        <v>28655.043881042457</v>
      </c>
      <c r="J11" s="107">
        <f t="shared" si="0"/>
        <v>31854.661834105464</v>
      </c>
      <c r="K11" s="107">
        <f t="shared" si="0"/>
        <v>34388.664438961838</v>
      </c>
      <c r="L11" s="107">
        <f t="shared" si="0"/>
        <v>37074.481398956144</v>
      </c>
      <c r="M11" s="107">
        <f>SUM(M5:M10)</f>
        <v>38614.474858336216</v>
      </c>
      <c r="N11" s="107">
        <f>SUM(N5:N10)</f>
        <v>40215.731195754342</v>
      </c>
      <c r="O11" s="107">
        <f>SUM(O5:O10)</f>
        <v>41835.550481995524</v>
      </c>
      <c r="P11" s="107">
        <f>SUM(P5:P10)</f>
        <v>43508.972501275348</v>
      </c>
      <c r="Q11" s="107">
        <f>SUM(Q5:Q10)</f>
        <v>45249.331401326381</v>
      </c>
    </row>
    <row r="12" spans="2:17" x14ac:dyDescent="0.35"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</row>
    <row r="13" spans="2:17" x14ac:dyDescent="0.35">
      <c r="B13" s="84" t="s">
        <v>65</v>
      </c>
      <c r="C13" s="44"/>
      <c r="D13" s="44"/>
      <c r="E13" s="44"/>
      <c r="F13" s="44"/>
      <c r="G13" s="44"/>
      <c r="H13" s="108">
        <f>CHOOSE(Drivers!$C$3,H22,H30,H38)</f>
        <v>0.24146810948377939</v>
      </c>
      <c r="I13" s="106"/>
      <c r="J13" s="106"/>
      <c r="K13" s="106"/>
      <c r="L13" s="106"/>
      <c r="M13" s="106"/>
      <c r="N13" s="106"/>
      <c r="O13" s="106"/>
      <c r="P13" s="106"/>
      <c r="Q13" s="106"/>
    </row>
    <row r="14" spans="2:17" x14ac:dyDescent="0.35">
      <c r="B14" s="44" t="s">
        <v>90</v>
      </c>
      <c r="C14" s="85"/>
      <c r="D14" s="85"/>
      <c r="E14" s="85"/>
      <c r="F14" s="85"/>
      <c r="G14" s="44"/>
      <c r="H14" s="109">
        <f>CHOOSE(Drivers!$C$3,H22,H30,H38)</f>
        <v>0.24146810948377939</v>
      </c>
      <c r="I14" s="109">
        <f>CHOOSE(Drivers!$C$3,I22,I30,I38)</f>
        <v>0.24146810948377939</v>
      </c>
      <c r="J14" s="109">
        <f>CHOOSE(Drivers!$C$3,J22,J30,J38)</f>
        <v>0.24146810948377939</v>
      </c>
      <c r="K14" s="109">
        <f>CHOOSE(Drivers!$C$3,K22,K30,K38)</f>
        <v>0.24146810948377939</v>
      </c>
      <c r="L14" s="109">
        <f>CHOOSE(Drivers!$C$3,L22,L30,L38)</f>
        <v>0.24146810948377939</v>
      </c>
      <c r="M14" s="109">
        <f>CHOOSE(Drivers!$C$3,M22,M30,M38)</f>
        <v>0.24146810948377939</v>
      </c>
      <c r="N14" s="109">
        <f>CHOOSE(Drivers!$C$3,N22,N30,N38)</f>
        <v>0.24146810948377939</v>
      </c>
      <c r="O14" s="109">
        <f>CHOOSE(Drivers!$C$3,O22,O30,O38)</f>
        <v>0.24146810948377939</v>
      </c>
      <c r="P14" s="109">
        <f>CHOOSE(Drivers!$C$3,P22,P30,P38)</f>
        <v>0.24146810948377939</v>
      </c>
      <c r="Q14" s="109">
        <f>CHOOSE(Drivers!$C$3,Q22,Q30,Q38)</f>
        <v>0.24146810948377939</v>
      </c>
    </row>
    <row r="15" spans="2:17" x14ac:dyDescent="0.35">
      <c r="B15" s="44" t="s">
        <v>91</v>
      </c>
      <c r="C15" s="85"/>
      <c r="D15" s="87"/>
      <c r="E15" s="87"/>
      <c r="F15" s="87"/>
      <c r="G15" s="44"/>
      <c r="H15" s="109">
        <f>CHOOSE(Drivers!$C$3,H23,H31,H39)</f>
        <v>0.24146810948377939</v>
      </c>
      <c r="I15" s="109">
        <f>CHOOSE(Drivers!$C$3,I23,I31,I39)</f>
        <v>0.24146810948377939</v>
      </c>
      <c r="J15" s="109">
        <f>CHOOSE(Drivers!$C$3,J23,J31,J39)</f>
        <v>0.24146810948377939</v>
      </c>
      <c r="K15" s="109">
        <f>CHOOSE(Drivers!$C$3,K23,K31,K39)</f>
        <v>0.24146810948377939</v>
      </c>
      <c r="L15" s="109">
        <f>CHOOSE(Drivers!$C$3,L23,L31,L39)</f>
        <v>0.24146810948377939</v>
      </c>
      <c r="M15" s="109">
        <f>CHOOSE(Drivers!$C$3,M23,M31,M39)</f>
        <v>0.24146810948377939</v>
      </c>
      <c r="N15" s="109">
        <f>CHOOSE(Drivers!$C$3,N23,N31,N39)</f>
        <v>0.24146810948377939</v>
      </c>
      <c r="O15" s="109">
        <f>CHOOSE(Drivers!$C$3,O23,O31,O39)</f>
        <v>0.24146810948377939</v>
      </c>
      <c r="P15" s="109">
        <f>CHOOSE(Drivers!$C$3,P23,P31,P39)</f>
        <v>0.24146810948377939</v>
      </c>
      <c r="Q15" s="109">
        <f>CHOOSE(Drivers!$C$3,Q23,Q31,Q39)</f>
        <v>0.24146810948377939</v>
      </c>
    </row>
    <row r="16" spans="2:17" x14ac:dyDescent="0.35">
      <c r="B16" s="44" t="s">
        <v>92</v>
      </c>
      <c r="C16" s="85"/>
      <c r="D16" s="85"/>
      <c r="E16" s="85"/>
      <c r="F16" s="85"/>
      <c r="G16" s="44"/>
      <c r="H16" s="109">
        <f>CHOOSE(Drivers!$C$3,H24,H32,H40)</f>
        <v>0.24146810948377939</v>
      </c>
      <c r="I16" s="109">
        <f>CHOOSE(Drivers!$C$3,I24,I32,I40)</f>
        <v>0.24146810948377939</v>
      </c>
      <c r="J16" s="109">
        <f>CHOOSE(Drivers!$C$3,J24,J32,J40)</f>
        <v>0.24146810948377939</v>
      </c>
      <c r="K16" s="109">
        <f>CHOOSE(Drivers!$C$3,K24,K32,K40)</f>
        <v>0.24146810948377939</v>
      </c>
      <c r="L16" s="109">
        <f>CHOOSE(Drivers!$C$3,L24,L32,L40)</f>
        <v>0.24146810948377939</v>
      </c>
      <c r="M16" s="109">
        <f>CHOOSE(Drivers!$C$3,M24,M32,M40)</f>
        <v>0.24146810948377939</v>
      </c>
      <c r="N16" s="109">
        <f>CHOOSE(Drivers!$C$3,N24,N32,N40)</f>
        <v>0.24146810948377939</v>
      </c>
      <c r="O16" s="109">
        <f>CHOOSE(Drivers!$C$3,O24,O32,O40)</f>
        <v>0.24146810948377939</v>
      </c>
      <c r="P16" s="109">
        <f>CHOOSE(Drivers!$C$3,P24,P32,P40)</f>
        <v>0.24146810948377939</v>
      </c>
      <c r="Q16" s="109">
        <f>CHOOSE(Drivers!$C$3,Q24,Q32,Q40)</f>
        <v>0.24146810948377939</v>
      </c>
    </row>
    <row r="17" spans="2:17" x14ac:dyDescent="0.35">
      <c r="B17" s="44" t="s">
        <v>93</v>
      </c>
      <c r="C17" s="85"/>
      <c r="D17" s="85"/>
      <c r="E17" s="85"/>
      <c r="F17" s="85"/>
      <c r="G17" s="44"/>
      <c r="H17" s="109">
        <f>CHOOSE(Drivers!$C$3,H25,H33,H41)</f>
        <v>0.44096535458141711</v>
      </c>
      <c r="I17" s="109">
        <f>CHOOSE(Drivers!$C$3,I25,I33,I41)</f>
        <v>0.44096535458141711</v>
      </c>
      <c r="J17" s="109">
        <f>CHOOSE(Drivers!$C$3,J25,J33,J41)</f>
        <v>0.44096535458141711</v>
      </c>
      <c r="K17" s="109">
        <f>CHOOSE(Drivers!$C$3,K25,K33,K41)</f>
        <v>0.44096535458141711</v>
      </c>
      <c r="L17" s="109">
        <f>CHOOSE(Drivers!$C$3,L25,L33,L41)</f>
        <v>0.44096535458141711</v>
      </c>
      <c r="M17" s="109">
        <f>CHOOSE(Drivers!$C$3,M25,M33,M41)</f>
        <v>0.44096535458141711</v>
      </c>
      <c r="N17" s="109">
        <f>CHOOSE(Drivers!$C$3,N25,N33,N41)</f>
        <v>0.44096535458141711</v>
      </c>
      <c r="O17" s="109">
        <f>CHOOSE(Drivers!$C$3,O25,O33,O41)</f>
        <v>0.44096535458141711</v>
      </c>
      <c r="P17" s="109">
        <f>CHOOSE(Drivers!$C$3,P25,P33,P41)</f>
        <v>0.44096535458141711</v>
      </c>
      <c r="Q17" s="109">
        <f>CHOOSE(Drivers!$C$3,Q25,Q33,Q41)</f>
        <v>0.44096535458141711</v>
      </c>
    </row>
    <row r="18" spans="2:17" x14ac:dyDescent="0.35">
      <c r="B18" s="44" t="s">
        <v>94</v>
      </c>
      <c r="C18" s="85"/>
      <c r="D18" s="85"/>
      <c r="E18" s="85"/>
      <c r="F18" s="85"/>
      <c r="G18" s="44"/>
      <c r="H18" s="109">
        <f>CHOOSE(Drivers!$C$3,H26,H34,H42)</f>
        <v>0.15641528431156237</v>
      </c>
      <c r="I18" s="109">
        <f>CHOOSE(Drivers!$C$3,I26,I34,I42)</f>
        <v>0.15641528431156237</v>
      </c>
      <c r="J18" s="109">
        <f>CHOOSE(Drivers!$C$3,J26,J34,J42)</f>
        <v>0.15641528431156237</v>
      </c>
      <c r="K18" s="109">
        <f>CHOOSE(Drivers!$C$3,K26,K34,K42)</f>
        <v>0.15641528431156237</v>
      </c>
      <c r="L18" s="109">
        <f>CHOOSE(Drivers!$C$3,L26,L34,L42)</f>
        <v>0.15641528431156237</v>
      </c>
      <c r="M18" s="109">
        <f>CHOOSE(Drivers!$C$3,M26,M34,M42)</f>
        <v>0.15641528431156237</v>
      </c>
      <c r="N18" s="109">
        <f>CHOOSE(Drivers!$C$3,N26,N34,N42)</f>
        <v>0.15641528431156237</v>
      </c>
      <c r="O18" s="109">
        <f>CHOOSE(Drivers!$C$3,O26,O34,O42)</f>
        <v>0.15641528431156237</v>
      </c>
      <c r="P18" s="109">
        <f>CHOOSE(Drivers!$C$3,P26,P34,P42)</f>
        <v>0.15641528431156237</v>
      </c>
      <c r="Q18" s="109">
        <f>CHOOSE(Drivers!$C$3,Q26,Q34,Q42)</f>
        <v>0.15641528431156237</v>
      </c>
    </row>
    <row r="19" spans="2:17" x14ac:dyDescent="0.35">
      <c r="B19" s="44" t="s">
        <v>95</v>
      </c>
      <c r="C19" s="85"/>
      <c r="D19" s="85"/>
      <c r="E19" s="85"/>
      <c r="F19" s="85"/>
      <c r="G19" s="44"/>
      <c r="H19" s="109">
        <f>CHOOSE(Drivers!$C$3,H27,H35,H43)</f>
        <v>0.2021558115740463</v>
      </c>
      <c r="I19" s="109">
        <f>CHOOSE(Drivers!$C$3,I27,I35,I43)</f>
        <v>0.2021558115740463</v>
      </c>
      <c r="J19" s="109">
        <f>CHOOSE(Drivers!$C$3,J27,J35,J43)</f>
        <v>0.2021558115740463</v>
      </c>
      <c r="K19" s="109">
        <f>CHOOSE(Drivers!$C$3,K27,K35,K43)</f>
        <v>0.2021558115740463</v>
      </c>
      <c r="L19" s="109">
        <f>CHOOSE(Drivers!$C$3,L27,L35,L43)</f>
        <v>0.2021558115740463</v>
      </c>
      <c r="M19" s="109">
        <f>CHOOSE(Drivers!$C$3,M27,M35,M43)</f>
        <v>0.2021558115740463</v>
      </c>
      <c r="N19" s="109">
        <f>CHOOSE(Drivers!$C$3,N27,N35,N43)</f>
        <v>0.2021558115740463</v>
      </c>
      <c r="O19" s="109">
        <f>CHOOSE(Drivers!$C$3,O27,O35,O43)</f>
        <v>0.2021558115740463</v>
      </c>
      <c r="P19" s="109">
        <f>CHOOSE(Drivers!$C$3,P27,P35,P43)</f>
        <v>0.2021558115740463</v>
      </c>
      <c r="Q19" s="109">
        <f>CHOOSE(Drivers!$C$3,Q27,Q35,Q43)</f>
        <v>0.2021558115740463</v>
      </c>
    </row>
    <row r="20" spans="2:17" x14ac:dyDescent="0.35">
      <c r="B20" s="44"/>
      <c r="C20" s="85"/>
      <c r="D20" s="85"/>
      <c r="E20" s="85"/>
      <c r="F20" s="85"/>
      <c r="G20" s="44"/>
      <c r="H20" s="85"/>
      <c r="I20" s="88"/>
      <c r="J20" s="88"/>
      <c r="K20" s="88"/>
      <c r="L20" s="88"/>
      <c r="M20" s="88"/>
      <c r="N20" s="88"/>
      <c r="O20" s="88"/>
      <c r="P20" s="88"/>
      <c r="Q20" s="88"/>
    </row>
    <row r="21" spans="2:17" x14ac:dyDescent="0.35">
      <c r="B21" s="84" t="s">
        <v>162</v>
      </c>
      <c r="C21" s="44"/>
      <c r="D21" s="44"/>
      <c r="E21" s="44"/>
      <c r="F21" s="44"/>
      <c r="G21" s="44"/>
      <c r="H21" s="88"/>
      <c r="I21" s="88"/>
      <c r="J21" s="88"/>
      <c r="K21" s="88"/>
      <c r="L21" s="88"/>
      <c r="M21" s="88"/>
      <c r="N21" s="88"/>
      <c r="O21" s="88"/>
      <c r="P21" s="88"/>
      <c r="Q21" s="88"/>
    </row>
    <row r="22" spans="2:17" x14ac:dyDescent="0.35">
      <c r="B22" s="44" t="s">
        <v>90</v>
      </c>
      <c r="C22" s="85"/>
      <c r="D22" s="85"/>
      <c r="E22" s="85"/>
      <c r="F22" s="85"/>
      <c r="G22" s="44"/>
      <c r="H22" s="106">
        <v>0.25646810948377941</v>
      </c>
      <c r="I22" s="106">
        <v>0.25646810948377941</v>
      </c>
      <c r="J22" s="106">
        <v>0.25646810948377941</v>
      </c>
      <c r="K22" s="106">
        <v>0.25646810948377941</v>
      </c>
      <c r="L22" s="106">
        <v>0.25646810948377941</v>
      </c>
      <c r="M22" s="106">
        <v>0.25646810948377941</v>
      </c>
      <c r="N22" s="106">
        <v>0.25646810948377941</v>
      </c>
      <c r="O22" s="106">
        <v>0.25646810948377941</v>
      </c>
      <c r="P22" s="106">
        <v>0.25646810948377941</v>
      </c>
      <c r="Q22" s="106">
        <v>0.25646810948377941</v>
      </c>
    </row>
    <row r="23" spans="2:17" x14ac:dyDescent="0.35">
      <c r="B23" s="44" t="s">
        <v>91</v>
      </c>
      <c r="C23" s="85"/>
      <c r="D23" s="87"/>
      <c r="E23" s="87"/>
      <c r="F23" s="87"/>
      <c r="G23" s="44"/>
      <c r="H23" s="106">
        <v>0.25646810948377941</v>
      </c>
      <c r="I23" s="106">
        <v>0.25646810948377941</v>
      </c>
      <c r="J23" s="106">
        <v>0.25646810948377941</v>
      </c>
      <c r="K23" s="106">
        <v>0.25646810948377941</v>
      </c>
      <c r="L23" s="106">
        <v>0.25646810948377941</v>
      </c>
      <c r="M23" s="106">
        <v>0.25646810948377941</v>
      </c>
      <c r="N23" s="106">
        <v>0.25646810948377941</v>
      </c>
      <c r="O23" s="106">
        <v>0.25646810948377941</v>
      </c>
      <c r="P23" s="106">
        <v>0.25646810948377941</v>
      </c>
      <c r="Q23" s="106">
        <v>0.25646810948377941</v>
      </c>
    </row>
    <row r="24" spans="2:17" x14ac:dyDescent="0.35">
      <c r="B24" s="44" t="s">
        <v>92</v>
      </c>
      <c r="C24" s="85"/>
      <c r="D24" s="85"/>
      <c r="E24" s="85"/>
      <c r="F24" s="85"/>
      <c r="G24" s="44"/>
      <c r="H24" s="106">
        <v>0.25646810948377941</v>
      </c>
      <c r="I24" s="106">
        <v>0.25646810948377941</v>
      </c>
      <c r="J24" s="106">
        <v>0.25646810948377941</v>
      </c>
      <c r="K24" s="106">
        <v>0.25646810948377941</v>
      </c>
      <c r="L24" s="106">
        <v>0.25646810948377941</v>
      </c>
      <c r="M24" s="106">
        <v>0.25646810948377941</v>
      </c>
      <c r="N24" s="106">
        <v>0.25646810948377941</v>
      </c>
      <c r="O24" s="106">
        <v>0.25646810948377941</v>
      </c>
      <c r="P24" s="106">
        <v>0.25646810948377941</v>
      </c>
      <c r="Q24" s="106">
        <v>0.25646810948377941</v>
      </c>
    </row>
    <row r="25" spans="2:17" x14ac:dyDescent="0.35">
      <c r="B25" s="44" t="s">
        <v>93</v>
      </c>
      <c r="C25" s="85"/>
      <c r="D25" s="85"/>
      <c r="E25" s="85"/>
      <c r="F25" s="85"/>
      <c r="G25" s="44"/>
      <c r="H25" s="106">
        <v>0.45596535458141713</v>
      </c>
      <c r="I25" s="106">
        <v>0.45596535458141713</v>
      </c>
      <c r="J25" s="106">
        <v>0.45596535458141713</v>
      </c>
      <c r="K25" s="106">
        <v>0.45596535458141713</v>
      </c>
      <c r="L25" s="106">
        <v>0.45596535458141713</v>
      </c>
      <c r="M25" s="106">
        <v>0.45596535458141713</v>
      </c>
      <c r="N25" s="106">
        <v>0.45596535458141713</v>
      </c>
      <c r="O25" s="106">
        <v>0.45596535458141713</v>
      </c>
      <c r="P25" s="106">
        <v>0.45596535458141713</v>
      </c>
      <c r="Q25" s="106">
        <v>0.45596535458141713</v>
      </c>
    </row>
    <row r="26" spans="2:17" x14ac:dyDescent="0.35">
      <c r="B26" s="44" t="s">
        <v>94</v>
      </c>
      <c r="C26" s="85"/>
      <c r="D26" s="85"/>
      <c r="E26" s="85"/>
      <c r="F26" s="85"/>
      <c r="G26" s="44"/>
      <c r="H26" s="106">
        <v>0.17141528431156239</v>
      </c>
      <c r="I26" s="106">
        <v>0.17141528431156239</v>
      </c>
      <c r="J26" s="106">
        <v>0.17141528431156239</v>
      </c>
      <c r="K26" s="106">
        <v>0.17141528431156239</v>
      </c>
      <c r="L26" s="106">
        <v>0.17141528431156239</v>
      </c>
      <c r="M26" s="106">
        <v>0.17141528431156239</v>
      </c>
      <c r="N26" s="106">
        <v>0.17141528431156239</v>
      </c>
      <c r="O26" s="106">
        <v>0.17141528431156239</v>
      </c>
      <c r="P26" s="106">
        <v>0.17141528431156239</v>
      </c>
      <c r="Q26" s="106">
        <v>0.17141528431156239</v>
      </c>
    </row>
    <row r="27" spans="2:17" x14ac:dyDescent="0.35">
      <c r="B27" s="44" t="s">
        <v>95</v>
      </c>
      <c r="C27" s="85"/>
      <c r="D27" s="85"/>
      <c r="E27" s="85"/>
      <c r="F27" s="85"/>
      <c r="G27" s="44"/>
      <c r="H27" s="106">
        <v>0.21715581157404629</v>
      </c>
      <c r="I27" s="106">
        <v>0.21715581157404629</v>
      </c>
      <c r="J27" s="106">
        <v>0.21715581157404629</v>
      </c>
      <c r="K27" s="106">
        <v>0.21715581157404629</v>
      </c>
      <c r="L27" s="106">
        <v>0.21715581157404629</v>
      </c>
      <c r="M27" s="106">
        <v>0.21715581157404629</v>
      </c>
      <c r="N27" s="106">
        <v>0.21715581157404629</v>
      </c>
      <c r="O27" s="106">
        <v>0.21715581157404629</v>
      </c>
      <c r="P27" s="106">
        <v>0.21715581157404629</v>
      </c>
      <c r="Q27" s="106">
        <v>0.21715581157404629</v>
      </c>
    </row>
    <row r="28" spans="2:17" x14ac:dyDescent="0.35">
      <c r="B28" s="44"/>
      <c r="C28" s="85"/>
      <c r="D28" s="85"/>
      <c r="E28" s="85"/>
      <c r="F28" s="85"/>
      <c r="G28" s="44"/>
      <c r="H28" s="85"/>
      <c r="I28" s="88"/>
      <c r="J28" s="88"/>
      <c r="K28" s="88"/>
      <c r="L28" s="88"/>
      <c r="M28" s="88"/>
      <c r="N28" s="88"/>
      <c r="O28" s="88"/>
      <c r="P28" s="88"/>
      <c r="Q28" s="88"/>
    </row>
    <row r="29" spans="2:17" x14ac:dyDescent="0.35">
      <c r="B29" s="84" t="s">
        <v>163</v>
      </c>
      <c r="C29" s="44"/>
      <c r="D29" s="44"/>
      <c r="E29" s="44"/>
      <c r="F29" s="44"/>
      <c r="G29" s="44"/>
      <c r="H29" s="88"/>
      <c r="I29" s="88"/>
      <c r="J29" s="88"/>
      <c r="K29" s="88"/>
      <c r="L29" s="88"/>
      <c r="M29" s="88"/>
      <c r="N29" s="88"/>
      <c r="O29" s="88"/>
      <c r="P29" s="88"/>
      <c r="Q29" s="88"/>
    </row>
    <row r="30" spans="2:17" x14ac:dyDescent="0.35">
      <c r="B30" s="44" t="s">
        <v>90</v>
      </c>
      <c r="C30" s="85"/>
      <c r="D30" s="85"/>
      <c r="E30" s="85"/>
      <c r="F30" s="85"/>
      <c r="G30" s="44"/>
      <c r="H30" s="106">
        <f>'GP% automotive'!$H6</f>
        <v>0.24146810948377939</v>
      </c>
      <c r="I30" s="106">
        <f>'GP% automotive'!$H6</f>
        <v>0.24146810948377939</v>
      </c>
      <c r="J30" s="106">
        <f>'GP% automotive'!$H6</f>
        <v>0.24146810948377939</v>
      </c>
      <c r="K30" s="106">
        <f>'GP% automotive'!$H6</f>
        <v>0.24146810948377939</v>
      </c>
      <c r="L30" s="106">
        <f>'GP% automotive'!$H6</f>
        <v>0.24146810948377939</v>
      </c>
      <c r="M30" s="106">
        <f>'GP% automotive'!$H6</f>
        <v>0.24146810948377939</v>
      </c>
      <c r="N30" s="106">
        <f>'GP% automotive'!$H6</f>
        <v>0.24146810948377939</v>
      </c>
      <c r="O30" s="106">
        <f>'GP% automotive'!$H6</f>
        <v>0.24146810948377939</v>
      </c>
      <c r="P30" s="106">
        <f>'GP% automotive'!$H6</f>
        <v>0.24146810948377939</v>
      </c>
      <c r="Q30" s="106">
        <f>'GP% automotive'!$H6</f>
        <v>0.24146810948377939</v>
      </c>
    </row>
    <row r="31" spans="2:17" x14ac:dyDescent="0.35">
      <c r="B31" s="44" t="s">
        <v>91</v>
      </c>
      <c r="C31" s="85"/>
      <c r="D31" s="87"/>
      <c r="E31" s="87"/>
      <c r="F31" s="87"/>
      <c r="G31" s="44"/>
      <c r="H31" s="106">
        <f>'GP% automotive'!$H7</f>
        <v>0.24146810948377939</v>
      </c>
      <c r="I31" s="106">
        <f>'GP% automotive'!$H7</f>
        <v>0.24146810948377939</v>
      </c>
      <c r="J31" s="106">
        <f>'GP% automotive'!$H7</f>
        <v>0.24146810948377939</v>
      </c>
      <c r="K31" s="106">
        <f>'GP% automotive'!$H7</f>
        <v>0.24146810948377939</v>
      </c>
      <c r="L31" s="106">
        <f>'GP% automotive'!$H7</f>
        <v>0.24146810948377939</v>
      </c>
      <c r="M31" s="106">
        <f>'GP% automotive'!$H7</f>
        <v>0.24146810948377939</v>
      </c>
      <c r="N31" s="106">
        <f>'GP% automotive'!$H7</f>
        <v>0.24146810948377939</v>
      </c>
      <c r="O31" s="106">
        <f>'GP% automotive'!$H7</f>
        <v>0.24146810948377939</v>
      </c>
      <c r="P31" s="106">
        <f>'GP% automotive'!$H7</f>
        <v>0.24146810948377939</v>
      </c>
      <c r="Q31" s="106">
        <f>'GP% automotive'!$H7</f>
        <v>0.24146810948377939</v>
      </c>
    </row>
    <row r="32" spans="2:17" x14ac:dyDescent="0.35">
      <c r="B32" s="44" t="s">
        <v>92</v>
      </c>
      <c r="C32" s="85"/>
      <c r="D32" s="85"/>
      <c r="E32" s="85"/>
      <c r="F32" s="85"/>
      <c r="G32" s="44"/>
      <c r="H32" s="106">
        <f>'GP% automotive'!$H8</f>
        <v>0.24146810948377939</v>
      </c>
      <c r="I32" s="106">
        <f>'GP% automotive'!$H8</f>
        <v>0.24146810948377939</v>
      </c>
      <c r="J32" s="106">
        <f>'GP% automotive'!$H8</f>
        <v>0.24146810948377939</v>
      </c>
      <c r="K32" s="106">
        <f>'GP% automotive'!$H8</f>
        <v>0.24146810948377939</v>
      </c>
      <c r="L32" s="106">
        <f>'GP% automotive'!$H8</f>
        <v>0.24146810948377939</v>
      </c>
      <c r="M32" s="106">
        <f>'GP% automotive'!$H8</f>
        <v>0.24146810948377939</v>
      </c>
      <c r="N32" s="106">
        <f>'GP% automotive'!$H8</f>
        <v>0.24146810948377939</v>
      </c>
      <c r="O32" s="106">
        <f>'GP% automotive'!$H8</f>
        <v>0.24146810948377939</v>
      </c>
      <c r="P32" s="106">
        <f>'GP% automotive'!$H8</f>
        <v>0.24146810948377939</v>
      </c>
      <c r="Q32" s="106">
        <f>'GP% automotive'!$H8</f>
        <v>0.24146810948377939</v>
      </c>
    </row>
    <row r="33" spans="2:17" x14ac:dyDescent="0.35">
      <c r="B33" s="44" t="s">
        <v>93</v>
      </c>
      <c r="C33" s="85"/>
      <c r="D33" s="85"/>
      <c r="E33" s="85"/>
      <c r="F33" s="85"/>
      <c r="G33" s="44"/>
      <c r="H33" s="106">
        <f>'GP% automotive'!$H9</f>
        <v>0.44096535458141711</v>
      </c>
      <c r="I33" s="106">
        <f>'GP% automotive'!$H9</f>
        <v>0.44096535458141711</v>
      </c>
      <c r="J33" s="106">
        <f>'GP% automotive'!$H9</f>
        <v>0.44096535458141711</v>
      </c>
      <c r="K33" s="106">
        <f>'GP% automotive'!$H9</f>
        <v>0.44096535458141711</v>
      </c>
      <c r="L33" s="106">
        <f>'GP% automotive'!$H9</f>
        <v>0.44096535458141711</v>
      </c>
      <c r="M33" s="106">
        <f>'GP% automotive'!$H9</f>
        <v>0.44096535458141711</v>
      </c>
      <c r="N33" s="106">
        <f>'GP% automotive'!$H9</f>
        <v>0.44096535458141711</v>
      </c>
      <c r="O33" s="106">
        <f>'GP% automotive'!$H9</f>
        <v>0.44096535458141711</v>
      </c>
      <c r="P33" s="106">
        <f>'GP% automotive'!$H9</f>
        <v>0.44096535458141711</v>
      </c>
      <c r="Q33" s="106">
        <f>'GP% automotive'!$H9</f>
        <v>0.44096535458141711</v>
      </c>
    </row>
    <row r="34" spans="2:17" x14ac:dyDescent="0.35">
      <c r="B34" s="44" t="s">
        <v>94</v>
      </c>
      <c r="C34" s="85"/>
      <c r="D34" s="85"/>
      <c r="E34" s="85"/>
      <c r="F34" s="85"/>
      <c r="G34" s="44"/>
      <c r="H34" s="106">
        <f>'GP% automotive'!$H10</f>
        <v>0.15641528431156237</v>
      </c>
      <c r="I34" s="106">
        <f>'GP% automotive'!$H10</f>
        <v>0.15641528431156237</v>
      </c>
      <c r="J34" s="106">
        <f>'GP% automotive'!$H10</f>
        <v>0.15641528431156237</v>
      </c>
      <c r="K34" s="106">
        <f>'GP% automotive'!$H10</f>
        <v>0.15641528431156237</v>
      </c>
      <c r="L34" s="106">
        <f>'GP% automotive'!$H10</f>
        <v>0.15641528431156237</v>
      </c>
      <c r="M34" s="106">
        <f>'GP% automotive'!$H10</f>
        <v>0.15641528431156237</v>
      </c>
      <c r="N34" s="106">
        <f>'GP% automotive'!$H10</f>
        <v>0.15641528431156237</v>
      </c>
      <c r="O34" s="106">
        <f>'GP% automotive'!$H10</f>
        <v>0.15641528431156237</v>
      </c>
      <c r="P34" s="106">
        <f>'GP% automotive'!$H10</f>
        <v>0.15641528431156237</v>
      </c>
      <c r="Q34" s="106">
        <f>'GP% automotive'!$H10</f>
        <v>0.15641528431156237</v>
      </c>
    </row>
    <row r="35" spans="2:17" x14ac:dyDescent="0.35">
      <c r="B35" s="44" t="s">
        <v>95</v>
      </c>
      <c r="C35" s="85"/>
      <c r="D35" s="85"/>
      <c r="E35" s="85"/>
      <c r="F35" s="85"/>
      <c r="G35" s="44"/>
      <c r="H35" s="106">
        <f>'GP% automotive'!$H11</f>
        <v>0.2021558115740463</v>
      </c>
      <c r="I35" s="106">
        <f>'GP% automotive'!$H11</f>
        <v>0.2021558115740463</v>
      </c>
      <c r="J35" s="106">
        <f>'GP% automotive'!$H11</f>
        <v>0.2021558115740463</v>
      </c>
      <c r="K35" s="106">
        <f>'GP% automotive'!$H11</f>
        <v>0.2021558115740463</v>
      </c>
      <c r="L35" s="106">
        <f>'GP% automotive'!$H11</f>
        <v>0.2021558115740463</v>
      </c>
      <c r="M35" s="106">
        <f>'GP% automotive'!$H11</f>
        <v>0.2021558115740463</v>
      </c>
      <c r="N35" s="106">
        <f>'GP% automotive'!$H11</f>
        <v>0.2021558115740463</v>
      </c>
      <c r="O35" s="106">
        <f>'GP% automotive'!$H11</f>
        <v>0.2021558115740463</v>
      </c>
      <c r="P35" s="106">
        <f>'GP% automotive'!$H11</f>
        <v>0.2021558115740463</v>
      </c>
      <c r="Q35" s="106">
        <f>'GP% automotive'!$H11</f>
        <v>0.2021558115740463</v>
      </c>
    </row>
    <row r="36" spans="2:17" x14ac:dyDescent="0.35">
      <c r="B36" s="44"/>
      <c r="C36" s="85"/>
      <c r="D36" s="85"/>
      <c r="E36" s="85"/>
      <c r="F36" s="85"/>
      <c r="G36" s="44"/>
      <c r="H36" s="85"/>
      <c r="I36" s="88"/>
      <c r="J36" s="88"/>
      <c r="K36" s="88"/>
      <c r="L36" s="88"/>
      <c r="M36" s="88"/>
      <c r="N36" s="88"/>
      <c r="O36" s="88"/>
      <c r="P36" s="88"/>
      <c r="Q36" s="88"/>
    </row>
    <row r="37" spans="2:17" x14ac:dyDescent="0.35">
      <c r="B37" s="84" t="s">
        <v>164</v>
      </c>
      <c r="C37" s="44"/>
      <c r="D37" s="44"/>
      <c r="E37" s="44"/>
      <c r="F37" s="44"/>
      <c r="G37" s="44"/>
      <c r="H37" s="88"/>
      <c r="I37" s="88"/>
      <c r="J37" s="88"/>
      <c r="K37" s="88"/>
      <c r="L37" s="88"/>
      <c r="M37" s="88"/>
      <c r="N37" s="88"/>
      <c r="O37" s="88"/>
      <c r="P37" s="88"/>
      <c r="Q37" s="88"/>
    </row>
    <row r="38" spans="2:17" x14ac:dyDescent="0.35">
      <c r="B38" s="44" t="s">
        <v>90</v>
      </c>
      <c r="C38" s="85"/>
      <c r="D38" s="85"/>
      <c r="E38" s="85"/>
      <c r="F38" s="85"/>
      <c r="G38" s="44"/>
      <c r="H38" s="106">
        <v>0.22646810948377938</v>
      </c>
      <c r="I38" s="106">
        <v>0.22646810948377938</v>
      </c>
      <c r="J38" s="106">
        <v>0.22646810948377938</v>
      </c>
      <c r="K38" s="106">
        <v>0.22646810948377938</v>
      </c>
      <c r="L38" s="106">
        <v>0.22646810948377938</v>
      </c>
      <c r="M38" s="106">
        <v>0.22646810948377938</v>
      </c>
      <c r="N38" s="106">
        <v>0.22646810948377938</v>
      </c>
      <c r="O38" s="106">
        <v>0.22646810948377938</v>
      </c>
      <c r="P38" s="106">
        <v>0.22646810948377938</v>
      </c>
      <c r="Q38" s="106">
        <v>0.22646810948377938</v>
      </c>
    </row>
    <row r="39" spans="2:17" x14ac:dyDescent="0.35">
      <c r="B39" s="44" t="s">
        <v>91</v>
      </c>
      <c r="C39" s="85"/>
      <c r="D39" s="87"/>
      <c r="E39" s="87"/>
      <c r="F39" s="87"/>
      <c r="G39" s="44"/>
      <c r="H39" s="106">
        <v>0.22646810948377938</v>
      </c>
      <c r="I39" s="106">
        <v>0.22646810948377938</v>
      </c>
      <c r="J39" s="106">
        <v>0.22646810948377938</v>
      </c>
      <c r="K39" s="106">
        <v>0.22646810948377938</v>
      </c>
      <c r="L39" s="106">
        <v>0.22646810948377938</v>
      </c>
      <c r="M39" s="106">
        <v>0.22646810948377938</v>
      </c>
      <c r="N39" s="106">
        <v>0.22646810948377938</v>
      </c>
      <c r="O39" s="106">
        <v>0.22646810948377938</v>
      </c>
      <c r="P39" s="106">
        <v>0.22646810948377938</v>
      </c>
      <c r="Q39" s="106">
        <v>0.22646810948377938</v>
      </c>
    </row>
    <row r="40" spans="2:17" x14ac:dyDescent="0.35">
      <c r="B40" s="44" t="s">
        <v>92</v>
      </c>
      <c r="C40" s="85"/>
      <c r="D40" s="85"/>
      <c r="E40" s="85"/>
      <c r="F40" s="85"/>
      <c r="G40" s="44"/>
      <c r="H40" s="106">
        <v>0.22646810948377938</v>
      </c>
      <c r="I40" s="106">
        <v>0.22646810948377938</v>
      </c>
      <c r="J40" s="106">
        <v>0.22646810948377938</v>
      </c>
      <c r="K40" s="106">
        <v>0.22646810948377938</v>
      </c>
      <c r="L40" s="106">
        <v>0.22646810948377938</v>
      </c>
      <c r="M40" s="106">
        <v>0.22646810948377938</v>
      </c>
      <c r="N40" s="106">
        <v>0.22646810948377938</v>
      </c>
      <c r="O40" s="106">
        <v>0.22646810948377938</v>
      </c>
      <c r="P40" s="106">
        <v>0.22646810948377938</v>
      </c>
      <c r="Q40" s="106">
        <v>0.22646810948377938</v>
      </c>
    </row>
    <row r="41" spans="2:17" x14ac:dyDescent="0.35">
      <c r="B41" s="44" t="s">
        <v>93</v>
      </c>
      <c r="C41" s="85"/>
      <c r="D41" s="85"/>
      <c r="E41" s="85"/>
      <c r="F41" s="85"/>
      <c r="G41" s="44"/>
      <c r="H41" s="106">
        <v>0.4259653545814171</v>
      </c>
      <c r="I41" s="106">
        <v>0.4259653545814171</v>
      </c>
      <c r="J41" s="106">
        <v>0.4259653545814171</v>
      </c>
      <c r="K41" s="106">
        <v>0.4259653545814171</v>
      </c>
      <c r="L41" s="106">
        <v>0.4259653545814171</v>
      </c>
      <c r="M41" s="106">
        <v>0.4259653545814171</v>
      </c>
      <c r="N41" s="106">
        <v>0.4259653545814171</v>
      </c>
      <c r="O41" s="106">
        <v>0.4259653545814171</v>
      </c>
      <c r="P41" s="106">
        <v>0.4259653545814171</v>
      </c>
      <c r="Q41" s="106">
        <v>0.4259653545814171</v>
      </c>
    </row>
    <row r="42" spans="2:17" x14ac:dyDescent="0.35">
      <c r="B42" s="44" t="s">
        <v>94</v>
      </c>
      <c r="C42" s="85"/>
      <c r="D42" s="85"/>
      <c r="E42" s="85"/>
      <c r="F42" s="85"/>
      <c r="G42" s="44"/>
      <c r="H42" s="106">
        <v>0.14141528431156236</v>
      </c>
      <c r="I42" s="106">
        <v>0.14141528431156236</v>
      </c>
      <c r="J42" s="106">
        <v>0.14141528431156236</v>
      </c>
      <c r="K42" s="106">
        <v>0.14141528431156236</v>
      </c>
      <c r="L42" s="106">
        <v>0.14141528431156236</v>
      </c>
      <c r="M42" s="106">
        <v>0.14141528431156236</v>
      </c>
      <c r="N42" s="106">
        <v>0.14141528431156236</v>
      </c>
      <c r="O42" s="106">
        <v>0.14141528431156236</v>
      </c>
      <c r="P42" s="106">
        <v>0.14141528431156236</v>
      </c>
      <c r="Q42" s="106">
        <v>0.14141528431156236</v>
      </c>
    </row>
    <row r="43" spans="2:17" x14ac:dyDescent="0.35">
      <c r="B43" s="44" t="s">
        <v>95</v>
      </c>
      <c r="C43" s="85"/>
      <c r="D43" s="85"/>
      <c r="E43" s="85"/>
      <c r="F43" s="85"/>
      <c r="G43" s="44"/>
      <c r="H43" s="106">
        <v>0.18715581157404632</v>
      </c>
      <c r="I43" s="106">
        <v>0.18715581157404632</v>
      </c>
      <c r="J43" s="106">
        <v>0.18715581157404632</v>
      </c>
      <c r="K43" s="106">
        <v>0.18715581157404632</v>
      </c>
      <c r="L43" s="106">
        <v>0.18715581157404632</v>
      </c>
      <c r="M43" s="106">
        <v>0.18715581157404632</v>
      </c>
      <c r="N43" s="106">
        <v>0.18715581157404632</v>
      </c>
      <c r="O43" s="106">
        <v>0.18715581157404632</v>
      </c>
      <c r="P43" s="106">
        <v>0.18715581157404632</v>
      </c>
      <c r="Q43" s="106">
        <v>0.18715581157404632</v>
      </c>
    </row>
    <row r="44" spans="2:17" x14ac:dyDescent="0.35">
      <c r="B44" s="44"/>
      <c r="C44" s="85"/>
      <c r="D44" s="85"/>
      <c r="E44" s="85"/>
      <c r="F44" s="85"/>
      <c r="G44" s="44"/>
      <c r="H44" s="88"/>
      <c r="I44" s="88"/>
      <c r="J44" s="88"/>
      <c r="K44" s="88"/>
      <c r="L44" s="88"/>
      <c r="M44" s="88"/>
      <c r="N44" s="88"/>
      <c r="O44" s="88"/>
      <c r="P44" s="88"/>
      <c r="Q44" s="88"/>
    </row>
  </sheetData>
  <mergeCells count="1">
    <mergeCell ref="C3:Q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8A3F-FA54-4885-85AC-A34223DC1891}">
  <dimension ref="B1:Q11"/>
  <sheetViews>
    <sheetView showGridLines="0" workbookViewId="0">
      <selection activeCell="G22" sqref="G22"/>
    </sheetView>
  </sheetViews>
  <sheetFormatPr defaultRowHeight="14.5" x14ac:dyDescent="0.35"/>
  <cols>
    <col min="1" max="1" width="2.90625" customWidth="1"/>
    <col min="2" max="2" width="31.08984375" customWidth="1"/>
    <col min="8" max="17" width="9.7265625" customWidth="1"/>
  </cols>
  <sheetData>
    <row r="1" spans="2:17" ht="18" x14ac:dyDescent="0.35">
      <c r="B1" s="49" t="s">
        <v>194</v>
      </c>
      <c r="C1" s="17"/>
      <c r="D1" s="17"/>
      <c r="E1" s="17"/>
      <c r="F1" s="76"/>
      <c r="G1" s="76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2:17" ht="15.5" x14ac:dyDescent="0.35">
      <c r="B2" s="16"/>
      <c r="C2" s="77"/>
      <c r="D2" s="77"/>
      <c r="E2" s="77"/>
      <c r="F2" s="77"/>
      <c r="G2" s="7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x14ac:dyDescent="0.35">
      <c r="B3" s="27"/>
      <c r="C3" s="230" t="s">
        <v>196</v>
      </c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</row>
    <row r="4" spans="2:17" ht="28" x14ac:dyDescent="0.35">
      <c r="B4" s="28" t="s">
        <v>82</v>
      </c>
      <c r="C4" s="29" t="s">
        <v>83</v>
      </c>
      <c r="D4" s="29" t="s">
        <v>102</v>
      </c>
      <c r="E4" s="29" t="s">
        <v>103</v>
      </c>
      <c r="F4" s="29" t="s">
        <v>104</v>
      </c>
      <c r="G4" s="29" t="s">
        <v>105</v>
      </c>
      <c r="H4" s="30" t="s">
        <v>84</v>
      </c>
      <c r="I4" s="30" t="s">
        <v>85</v>
      </c>
      <c r="J4" s="30" t="s">
        <v>86</v>
      </c>
      <c r="K4" s="30" t="s">
        <v>87</v>
      </c>
      <c r="L4" s="30" t="s">
        <v>88</v>
      </c>
      <c r="M4" s="30" t="s">
        <v>89</v>
      </c>
      <c r="N4" s="30" t="s">
        <v>106</v>
      </c>
      <c r="O4" s="30" t="s">
        <v>107</v>
      </c>
      <c r="P4" s="30" t="s">
        <v>108</v>
      </c>
      <c r="Q4" s="30" t="s">
        <v>109</v>
      </c>
    </row>
    <row r="5" spans="2:17" x14ac:dyDescent="0.35">
      <c r="B5" s="27" t="s">
        <v>90</v>
      </c>
      <c r="C5" s="31" t="s">
        <v>2</v>
      </c>
      <c r="D5" s="31" t="s">
        <v>2</v>
      </c>
      <c r="E5" s="31" t="s">
        <v>2</v>
      </c>
      <c r="F5" s="31" t="s">
        <v>2</v>
      </c>
      <c r="G5" s="31" t="s">
        <v>2</v>
      </c>
      <c r="H5" s="32">
        <f>'Revenue automotive'!H5-'GP automotive'!H5</f>
        <v>22033.677336453289</v>
      </c>
      <c r="I5" s="32">
        <f>'Revenue automotive'!I5-'GP automotive'!I5</f>
        <v>24237.045070098615</v>
      </c>
      <c r="J5" s="32">
        <f>'Revenue automotive'!J5-'GP automotive'!J5</f>
        <v>26660.749577108487</v>
      </c>
      <c r="K5" s="32">
        <f>'Revenue automotive'!K5-'GP automotive'!K5</f>
        <v>28793.609543277158</v>
      </c>
      <c r="L5" s="32">
        <f>'Revenue automotive'!L5-'GP automotive'!L5</f>
        <v>31097.098306739335</v>
      </c>
      <c r="M5" s="32">
        <f>'Revenue automotive'!M5-'GP automotive'!M5</f>
        <v>32340.982239008903</v>
      </c>
      <c r="N5" s="32">
        <f>'Revenue automotive'!N5-'GP automotive'!N5</f>
        <v>33634.621528569267</v>
      </c>
      <c r="O5" s="32">
        <f>'Revenue automotive'!O5-'GP automotive'!O5</f>
        <v>34980.006389712034</v>
      </c>
      <c r="P5" s="32">
        <f>'Revenue automotive'!P5-'GP automotive'!P5</f>
        <v>36379.206645300525</v>
      </c>
      <c r="Q5" s="32">
        <f>'Revenue automotive'!Q5-'GP automotive'!Q5</f>
        <v>37834.374911112551</v>
      </c>
    </row>
    <row r="6" spans="2:17" x14ac:dyDescent="0.35">
      <c r="B6" s="27" t="s">
        <v>91</v>
      </c>
      <c r="C6" s="31" t="s">
        <v>2</v>
      </c>
      <c r="D6" s="31" t="s">
        <v>2</v>
      </c>
      <c r="E6" s="31" t="s">
        <v>2</v>
      </c>
      <c r="F6" s="31" t="s">
        <v>2</v>
      </c>
      <c r="G6" s="31" t="s">
        <v>2</v>
      </c>
      <c r="H6" s="32">
        <f>'Revenue automotive'!H6-'GP automotive'!H6</f>
        <v>6217.1722442392538</v>
      </c>
      <c r="I6" s="32">
        <f>'Revenue automotive'!I6-'GP automotive'!I6</f>
        <v>6465.8591340088242</v>
      </c>
      <c r="J6" s="32">
        <f>'Revenue automotive'!J6-'GP automotive'!J6</f>
        <v>6724.4934993691759</v>
      </c>
      <c r="K6" s="32">
        <f>'Revenue automotive'!K6-'GP automotive'!K6</f>
        <v>6993.4732393439444</v>
      </c>
      <c r="L6" s="32">
        <f>'Revenue automotive'!L6-'GP automotive'!L6</f>
        <v>7273.212168917702</v>
      </c>
      <c r="M6" s="32">
        <f>'Revenue automotive'!M6-'GP automotive'!M6</f>
        <v>7564.1406556744114</v>
      </c>
      <c r="N6" s="32">
        <f>'Revenue automotive'!N6-'GP automotive'!N6</f>
        <v>7866.7062819013872</v>
      </c>
      <c r="O6" s="32">
        <f>'Revenue automotive'!O6-'GP automotive'!O6</f>
        <v>8181.3745331774444</v>
      </c>
      <c r="P6" s="32">
        <f>'Revenue automotive'!P6-'GP automotive'!P6</f>
        <v>8508.6295145045442</v>
      </c>
      <c r="Q6" s="32">
        <f>'Revenue automotive'!Q6-'GP automotive'!Q6</f>
        <v>8848.9746950847257</v>
      </c>
    </row>
    <row r="7" spans="2:17" x14ac:dyDescent="0.35">
      <c r="B7" s="27" t="s">
        <v>92</v>
      </c>
      <c r="C7" s="31"/>
      <c r="D7" s="31" t="s">
        <v>2</v>
      </c>
      <c r="E7" s="31" t="s">
        <v>2</v>
      </c>
      <c r="F7" s="31" t="s">
        <v>2</v>
      </c>
      <c r="G7" s="31" t="s">
        <v>2</v>
      </c>
      <c r="H7" s="32">
        <f>'Revenue automotive'!H7-'GP automotive'!H7</f>
        <v>52421.91139400885</v>
      </c>
      <c r="I7" s="32">
        <f>'Revenue automotive'!I7-'GP automotive'!I7</f>
        <v>57664.102533409736</v>
      </c>
      <c r="J7" s="32">
        <f>'Revenue automotive'!J7-'GP automotive'!J7</f>
        <v>63430.512786750718</v>
      </c>
      <c r="K7" s="32">
        <f>'Revenue automotive'!K7-'GP automotive'!K7</f>
        <v>68504.953809690793</v>
      </c>
      <c r="L7" s="32">
        <f>'Revenue automotive'!L7-'GP automotive'!L7</f>
        <v>73985.350114466055</v>
      </c>
      <c r="M7" s="32">
        <f>'Revenue automotive'!M7-'GP automotive'!M7</f>
        <v>76944.764119044703</v>
      </c>
      <c r="N7" s="32">
        <f>'Revenue automotive'!N7-'GP automotive'!N7</f>
        <v>80022.554683806477</v>
      </c>
      <c r="O7" s="32">
        <f>'Revenue automotive'!O7-'GP automotive'!O7</f>
        <v>83223.456871158749</v>
      </c>
      <c r="P7" s="32">
        <f>'Revenue automotive'!P7-'GP automotive'!P7</f>
        <v>86552.395146005118</v>
      </c>
      <c r="Q7" s="32">
        <f>'Revenue automotive'!Q7-'GP automotive'!Q7</f>
        <v>90014.490951845335</v>
      </c>
    </row>
    <row r="8" spans="2:17" x14ac:dyDescent="0.35">
      <c r="B8" s="27" t="s">
        <v>93</v>
      </c>
      <c r="C8" s="31"/>
      <c r="D8" s="31"/>
      <c r="E8" s="31"/>
      <c r="F8" s="31"/>
      <c r="G8" s="31"/>
      <c r="H8" s="32">
        <f>'Revenue automotive'!H8-'GP automotive'!H8</f>
        <v>0</v>
      </c>
      <c r="I8" s="32">
        <f>'Revenue automotive'!I8-'GP automotive'!I8</f>
        <v>62.891397609590577</v>
      </c>
      <c r="J8" s="32">
        <f>'Revenue automotive'!J8-'GP automotive'!J8</f>
        <v>125.78279521918115</v>
      </c>
      <c r="K8" s="32">
        <f>'Revenue automotive'!K8-'GP automotive'!K8</f>
        <v>188.67419282877174</v>
      </c>
      <c r="L8" s="32">
        <f>'Revenue automotive'!L8-'GP automotive'!L8</f>
        <v>207.54161211164893</v>
      </c>
      <c r="M8" s="32">
        <f>'Revenue automotive'!M8-'GP automotive'!M8</f>
        <v>228.29577332281386</v>
      </c>
      <c r="N8" s="32">
        <f>'Revenue automotive'!N8-'GP automotive'!N8</f>
        <v>246.55943518863899</v>
      </c>
      <c r="O8" s="32">
        <f>'Revenue automotive'!O8-'GP automotive'!O8</f>
        <v>266.28419000373015</v>
      </c>
      <c r="P8" s="32">
        <f>'Revenue automotive'!P8-'GP automotive'!P8</f>
        <v>276.93555760387937</v>
      </c>
      <c r="Q8" s="32">
        <f>'Revenue automotive'!Q8-'GP automotive'!Q8</f>
        <v>288.01297990803448</v>
      </c>
    </row>
    <row r="9" spans="2:17" x14ac:dyDescent="0.35">
      <c r="B9" s="27" t="s">
        <v>94</v>
      </c>
      <c r="C9" s="31"/>
      <c r="D9" s="31"/>
      <c r="E9" s="31"/>
      <c r="F9" s="31"/>
      <c r="G9" s="31"/>
      <c r="H9" s="32">
        <f>'Revenue automotive'!H9-'GP automotive'!H9</f>
        <v>1438.5481439691789</v>
      </c>
      <c r="I9" s="32">
        <f>'Revenue automotive'!I9-'GP automotive'!I9</f>
        <v>2389.3693487159308</v>
      </c>
      <c r="J9" s="32">
        <f>'Revenue automotive'!J9-'GP automotive'!J9</f>
        <v>4778.7386974318615</v>
      </c>
      <c r="K9" s="32">
        <f>'Revenue automotive'!K9-'GP automotive'!K9</f>
        <v>5256.6125671750478</v>
      </c>
      <c r="L9" s="32">
        <f>'Revenue automotive'!L9-'GP automotive'!L9</f>
        <v>5782.273823892554</v>
      </c>
      <c r="M9" s="32">
        <f>'Revenue automotive'!M9-'GP automotive'!M9</f>
        <v>6244.8557298039586</v>
      </c>
      <c r="N9" s="32">
        <f>'Revenue automotive'!N9-'GP automotive'!N9</f>
        <v>6744.4441881882758</v>
      </c>
      <c r="O9" s="32">
        <f>'Revenue automotive'!O9-'GP automotive'!O9</f>
        <v>7014.2219557158069</v>
      </c>
      <c r="P9" s="32">
        <f>'Revenue automotive'!P9-'GP automotive'!P9</f>
        <v>7294.7908339444402</v>
      </c>
      <c r="Q9" s="32">
        <f>'Revenue automotive'!Q9-'GP automotive'!Q9</f>
        <v>7586.5824673022171</v>
      </c>
    </row>
    <row r="10" spans="2:17" x14ac:dyDescent="0.35">
      <c r="B10" s="27" t="s">
        <v>95</v>
      </c>
      <c r="C10" s="31"/>
      <c r="D10" s="31"/>
      <c r="E10" s="31"/>
      <c r="F10" s="31"/>
      <c r="G10" s="31" t="s">
        <v>2</v>
      </c>
      <c r="H10" s="32">
        <f>'Revenue automotive'!H10-'GP automotive'!H10</f>
        <v>72.126329879882931</v>
      </c>
      <c r="I10" s="32">
        <f>'Revenue automotive'!I10-'GP automotive'!I10</f>
        <v>126.26744291274282</v>
      </c>
      <c r="J10" s="32">
        <f>'Revenue automotive'!J10-'GP automotive'!J10</f>
        <v>195.08398063143665</v>
      </c>
      <c r="K10" s="32">
        <f>'Revenue automotive'!K10-'GP automotive'!K10</f>
        <v>257.51085443349632</v>
      </c>
      <c r="L10" s="32">
        <f>'Revenue automotive'!L10-'GP automotive'!L10</f>
        <v>283.26193987684599</v>
      </c>
      <c r="M10" s="32">
        <f>'Revenue automotive'!M10-'GP automotive'!M10</f>
        <v>311.58813386453068</v>
      </c>
      <c r="N10" s="32">
        <f>'Revenue automotive'!N10-'GP automotive'!N10</f>
        <v>336.51518457369309</v>
      </c>
      <c r="O10" s="32">
        <f>'Revenue automotive'!O10-'GP automotive'!O10</f>
        <v>363.43639933958855</v>
      </c>
      <c r="P10" s="32">
        <f>'Revenue automotive'!P10-'GP automotive'!P10</f>
        <v>377.97385531317212</v>
      </c>
      <c r="Q10" s="32">
        <f>'Revenue automotive'!Q10-'GP automotive'!Q10</f>
        <v>393.09280952569895</v>
      </c>
    </row>
    <row r="11" spans="2:17" ht="15" thickBot="1" x14ac:dyDescent="0.4">
      <c r="B11" s="33" t="s">
        <v>96</v>
      </c>
      <c r="C11" s="107">
        <f>'Revenue automotive'!C11-'GP automotive'!C11</f>
        <v>16938.565999999999</v>
      </c>
      <c r="D11" s="107">
        <f>'Revenue automotive'!D11-'GP automotive'!D11</f>
        <v>20508.96</v>
      </c>
      <c r="E11" s="107">
        <f>'Revenue automotive'!E11-'GP automotive'!E11</f>
        <v>33629.24</v>
      </c>
      <c r="F11" s="107">
        <f>'Revenue automotive'!F11-'GP automotive'!F11</f>
        <v>51121.56</v>
      </c>
      <c r="G11" s="107">
        <f>'Revenue automotive'!G11-'GP automotive'!G11</f>
        <v>65931.596000000005</v>
      </c>
      <c r="H11" s="107">
        <f>'Revenue automotive'!H11-'GP automotive'!H11</f>
        <v>82183.435448550459</v>
      </c>
      <c r="I11" s="107">
        <f>'Revenue automotive'!I11-'GP automotive'!I11</f>
        <v>90945.534926755427</v>
      </c>
      <c r="J11" s="107">
        <f>'Revenue automotive'!J11-'GP automotive'!J11</f>
        <v>101915.36133651083</v>
      </c>
      <c r="K11" s="107">
        <f>'Revenue automotive'!K11-'GP automotive'!K11</f>
        <v>109994.83420674925</v>
      </c>
      <c r="L11" s="107">
        <f>'Revenue automotive'!L11-'GP automotive'!L11</f>
        <v>118628.73796600412</v>
      </c>
      <c r="M11" s="107">
        <f>'Revenue automotive'!M11-'GP automotive'!M11</f>
        <v>123634.62665071932</v>
      </c>
      <c r="N11" s="107">
        <f>'Revenue automotive'!N11-'GP automotive'!N11</f>
        <v>128851.40130222775</v>
      </c>
      <c r="O11" s="107">
        <f>'Revenue automotive'!O11-'GP automotive'!O11</f>
        <v>134028.78033910738</v>
      </c>
      <c r="P11" s="107">
        <f>'Revenue automotive'!P11-'GP automotive'!P11</f>
        <v>139389.93155267165</v>
      </c>
      <c r="Q11" s="107">
        <f>'Revenue automotive'!Q11-'GP automotive'!Q11</f>
        <v>144965.52881477858</v>
      </c>
    </row>
  </sheetData>
  <mergeCells count="1">
    <mergeCell ref="C3:Q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D9D5-D44E-43E0-BEBF-DDF852548AD7}">
  <dimension ref="B1:Q7"/>
  <sheetViews>
    <sheetView showGridLines="0" topLeftCell="B1" workbookViewId="0">
      <selection activeCell="F32" sqref="F32"/>
    </sheetView>
  </sheetViews>
  <sheetFormatPr defaultRowHeight="14.5" x14ac:dyDescent="0.35"/>
  <cols>
    <col min="1" max="1" width="2.90625" customWidth="1"/>
    <col min="2" max="2" width="32.90625" customWidth="1"/>
    <col min="8" max="17" width="9.7265625" customWidth="1"/>
  </cols>
  <sheetData>
    <row r="1" spans="2:17" ht="18" x14ac:dyDescent="0.35">
      <c r="B1" s="49" t="s">
        <v>209</v>
      </c>
      <c r="C1" s="17"/>
      <c r="D1" s="17"/>
      <c r="E1" s="17"/>
      <c r="F1" s="76"/>
      <c r="G1" s="76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2:17" ht="15.5" x14ac:dyDescent="0.35">
      <c r="B2" s="16"/>
      <c r="C2" s="77"/>
      <c r="D2" s="77"/>
      <c r="E2" s="77"/>
      <c r="F2" s="77"/>
      <c r="G2" s="7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x14ac:dyDescent="0.35">
      <c r="B3" s="27"/>
      <c r="C3" s="230" t="s">
        <v>208</v>
      </c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</row>
    <row r="4" spans="2:17" ht="28" x14ac:dyDescent="0.35">
      <c r="B4" s="28" t="s">
        <v>82</v>
      </c>
      <c r="C4" s="29" t="s">
        <v>83</v>
      </c>
      <c r="D4" s="29" t="s">
        <v>102</v>
      </c>
      <c r="E4" s="29" t="s">
        <v>103</v>
      </c>
      <c r="F4" s="29" t="s">
        <v>104</v>
      </c>
      <c r="G4" s="29" t="s">
        <v>105</v>
      </c>
      <c r="H4" s="30" t="s">
        <v>84</v>
      </c>
      <c r="I4" s="30" t="s">
        <v>85</v>
      </c>
      <c r="J4" s="30" t="s">
        <v>86</v>
      </c>
      <c r="K4" s="30" t="s">
        <v>87</v>
      </c>
      <c r="L4" s="30" t="s">
        <v>88</v>
      </c>
      <c r="M4" s="30" t="s">
        <v>89</v>
      </c>
      <c r="N4" s="30" t="s">
        <v>106</v>
      </c>
      <c r="O4" s="30" t="s">
        <v>107</v>
      </c>
      <c r="P4" s="30" t="s">
        <v>108</v>
      </c>
      <c r="Q4" s="30" t="s">
        <v>109</v>
      </c>
    </row>
    <row r="5" spans="2:17" x14ac:dyDescent="0.35">
      <c r="B5" s="27" t="s">
        <v>195</v>
      </c>
      <c r="C5" s="31">
        <f>'Revenue automotive'!C11</f>
        <v>20817.565999999999</v>
      </c>
      <c r="D5" s="31">
        <f>'Revenue automotive'!D11</f>
        <v>27120.959999999999</v>
      </c>
      <c r="E5" s="31">
        <f>'Revenue automotive'!E11</f>
        <v>47364.240000000005</v>
      </c>
      <c r="F5" s="31">
        <f>'Revenue automotive'!F11</f>
        <v>71686.559999999998</v>
      </c>
      <c r="G5" s="31">
        <f>'Revenue automotive'!G11</f>
        <v>82450.596000000005</v>
      </c>
      <c r="H5" s="32">
        <f>'Revenue automotive'!H11</f>
        <v>108149.49733939562</v>
      </c>
      <c r="I5" s="32">
        <f>'Revenue automotive'!I11</f>
        <v>119600.57880779788</v>
      </c>
      <c r="J5" s="32">
        <f>'Revenue automotive'!J11</f>
        <v>133770.0231706163</v>
      </c>
      <c r="K5" s="32">
        <f>'Revenue automotive'!K11</f>
        <v>144383.49864571108</v>
      </c>
      <c r="L5" s="32">
        <f>'Revenue automotive'!L11</f>
        <v>155703.21936496027</v>
      </c>
      <c r="M5" s="32">
        <f>'Revenue automotive'!M11</f>
        <v>162249.10150905553</v>
      </c>
      <c r="N5" s="32">
        <f>'Revenue automotive'!N11</f>
        <v>169067.13249798209</v>
      </c>
      <c r="O5" s="32">
        <f>'Revenue automotive'!O11</f>
        <v>175864.33082110289</v>
      </c>
      <c r="P5" s="32">
        <f>'Revenue automotive'!P11</f>
        <v>182898.90405394702</v>
      </c>
      <c r="Q5" s="32">
        <f>'Revenue automotive'!Q11</f>
        <v>190214.86021610495</v>
      </c>
    </row>
    <row r="6" spans="2:17" x14ac:dyDescent="0.35">
      <c r="B6" s="27" t="s">
        <v>191</v>
      </c>
      <c r="C6" s="31">
        <f>'GP automotive'!C11</f>
        <v>3879</v>
      </c>
      <c r="D6" s="31">
        <f>'GP automotive'!D11</f>
        <v>6612</v>
      </c>
      <c r="E6" s="31">
        <f>'GP automotive'!E11</f>
        <v>13735.000000000007</v>
      </c>
      <c r="F6" s="31">
        <f>'GP automotive'!F11</f>
        <v>20565</v>
      </c>
      <c r="G6" s="31">
        <f>'GP automotive'!G11</f>
        <v>16519</v>
      </c>
      <c r="H6" s="32">
        <f>'GP automotive'!H11</f>
        <v>25966.061890845158</v>
      </c>
      <c r="I6" s="32">
        <f>'GP automotive'!I11</f>
        <v>28655.043881042457</v>
      </c>
      <c r="J6" s="32">
        <f>'GP automotive'!J11</f>
        <v>31854.661834105464</v>
      </c>
      <c r="K6" s="32">
        <f>'GP automotive'!K11</f>
        <v>34388.664438961838</v>
      </c>
      <c r="L6" s="32">
        <f>'GP automotive'!L11</f>
        <v>37074.481398956144</v>
      </c>
      <c r="M6" s="32">
        <f>'GP automotive'!M11</f>
        <v>38614.474858336216</v>
      </c>
      <c r="N6" s="32">
        <f>'GP automotive'!N11</f>
        <v>40215.731195754342</v>
      </c>
      <c r="O6" s="32">
        <f>'GP automotive'!O11</f>
        <v>41835.550481995524</v>
      </c>
      <c r="P6" s="32">
        <f>'GP automotive'!P11</f>
        <v>43508.972501275348</v>
      </c>
      <c r="Q6" s="32">
        <f>'GP automotive'!Q11</f>
        <v>45249.331401326381</v>
      </c>
    </row>
    <row r="7" spans="2:17" x14ac:dyDescent="0.35">
      <c r="B7" s="110" t="s">
        <v>20</v>
      </c>
      <c r="C7" s="111">
        <f>C6/C5</f>
        <v>0.18633302279430747</v>
      </c>
      <c r="D7" s="111">
        <f t="shared" ref="D7:Q7" si="0">D6/D5</f>
        <v>0.24379667976354821</v>
      </c>
      <c r="E7" s="111">
        <f t="shared" si="0"/>
        <v>0.28998670727113968</v>
      </c>
      <c r="F7" s="111">
        <f t="shared" si="0"/>
        <v>0.28687385752643174</v>
      </c>
      <c r="G7" s="111">
        <f t="shared" si="0"/>
        <v>0.20035028006346975</v>
      </c>
      <c r="H7" s="112">
        <f t="shared" si="0"/>
        <v>0.24009415235059536</v>
      </c>
      <c r="I7" s="112">
        <f t="shared" si="0"/>
        <v>0.23958950840105939</v>
      </c>
      <c r="J7" s="112">
        <f t="shared" si="0"/>
        <v>0.23813004647144745</v>
      </c>
      <c r="K7" s="112">
        <f t="shared" si="0"/>
        <v>0.23817586331901339</v>
      </c>
      <c r="L7" s="112">
        <f t="shared" si="0"/>
        <v>0.23810992187679486</v>
      </c>
      <c r="M7" s="112">
        <f t="shared" si="0"/>
        <v>0.23799499965909546</v>
      </c>
      <c r="N7" s="112">
        <f t="shared" si="0"/>
        <v>0.23786841712852932</v>
      </c>
      <c r="O7" s="112">
        <f t="shared" si="0"/>
        <v>0.23788536473921212</v>
      </c>
      <c r="P7" s="112">
        <f t="shared" si="0"/>
        <v>0.23788536473921212</v>
      </c>
      <c r="Q7" s="112">
        <f t="shared" si="0"/>
        <v>0.23788536473921215</v>
      </c>
    </row>
  </sheetData>
  <mergeCells count="1">
    <mergeCell ref="C3:Q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A1C59-C04B-4E31-A3BD-D636B7B6C26B}">
  <sheetPr>
    <tabColor theme="5" tint="0.39997558519241921"/>
  </sheetPr>
  <dimension ref="C11:K22"/>
  <sheetViews>
    <sheetView showGridLines="0" workbookViewId="0">
      <selection activeCell="C23" sqref="C23"/>
    </sheetView>
  </sheetViews>
  <sheetFormatPr defaultRowHeight="14.5" x14ac:dyDescent="0.35"/>
  <cols>
    <col min="3" max="3" width="11.54296875" customWidth="1"/>
    <col min="5" max="5" width="13.08984375" customWidth="1"/>
    <col min="6" max="6" width="15.08984375" customWidth="1"/>
    <col min="7" max="7" width="15.36328125" customWidth="1"/>
    <col min="8" max="8" width="16.81640625" customWidth="1"/>
    <col min="9" max="9" width="19.54296875" customWidth="1"/>
    <col min="10" max="10" width="14.26953125" customWidth="1"/>
  </cols>
  <sheetData>
    <row r="11" spans="3:11" x14ac:dyDescent="0.35">
      <c r="C11" s="229" t="s">
        <v>300</v>
      </c>
      <c r="D11" s="229"/>
      <c r="E11" s="229"/>
      <c r="F11" s="229"/>
      <c r="G11" s="229"/>
      <c r="H11" s="229"/>
      <c r="I11" s="229"/>
      <c r="J11" s="229"/>
      <c r="K11" s="229"/>
    </row>
    <row r="12" spans="3:11" x14ac:dyDescent="0.35">
      <c r="C12" s="229"/>
      <c r="D12" s="229"/>
      <c r="E12" s="229"/>
      <c r="F12" s="229"/>
      <c r="G12" s="229"/>
      <c r="H12" s="229"/>
      <c r="I12" s="229"/>
      <c r="J12" s="229"/>
      <c r="K12" s="229"/>
    </row>
    <row r="13" spans="3:11" x14ac:dyDescent="0.35">
      <c r="C13" s="229"/>
      <c r="D13" s="229"/>
      <c r="E13" s="229"/>
      <c r="F13" s="229"/>
      <c r="G13" s="229"/>
      <c r="H13" s="229"/>
      <c r="I13" s="229"/>
      <c r="J13" s="229"/>
      <c r="K13" s="229"/>
    </row>
    <row r="14" spans="3:11" x14ac:dyDescent="0.35">
      <c r="C14" s="229"/>
      <c r="D14" s="229"/>
      <c r="E14" s="229"/>
      <c r="F14" s="229"/>
      <c r="G14" s="229"/>
      <c r="H14" s="229"/>
      <c r="I14" s="229"/>
      <c r="J14" s="229"/>
      <c r="K14" s="229"/>
    </row>
    <row r="15" spans="3:11" x14ac:dyDescent="0.35">
      <c r="C15" s="229"/>
      <c r="D15" s="229"/>
      <c r="E15" s="229"/>
      <c r="F15" s="229"/>
      <c r="G15" s="229"/>
      <c r="H15" s="229"/>
      <c r="I15" s="229"/>
      <c r="J15" s="229"/>
      <c r="K15" s="229"/>
    </row>
    <row r="16" spans="3:11" x14ac:dyDescent="0.35">
      <c r="C16" s="229"/>
      <c r="D16" s="229"/>
      <c r="E16" s="229"/>
      <c r="F16" s="229"/>
      <c r="G16" s="229"/>
      <c r="H16" s="229"/>
      <c r="I16" s="229"/>
      <c r="J16" s="229"/>
      <c r="K16" s="229"/>
    </row>
    <row r="17" spans="3:11" x14ac:dyDescent="0.35">
      <c r="C17" s="229"/>
      <c r="D17" s="229"/>
      <c r="E17" s="229"/>
      <c r="F17" s="229"/>
      <c r="G17" s="229"/>
      <c r="H17" s="229"/>
      <c r="I17" s="229"/>
      <c r="J17" s="229"/>
      <c r="K17" s="229"/>
    </row>
    <row r="18" spans="3:11" x14ac:dyDescent="0.35">
      <c r="C18" s="229"/>
      <c r="D18" s="229"/>
      <c r="E18" s="229"/>
      <c r="F18" s="229"/>
      <c r="G18" s="229"/>
      <c r="H18" s="229"/>
      <c r="I18" s="229"/>
      <c r="J18" s="229"/>
      <c r="K18" s="229"/>
    </row>
    <row r="19" spans="3:11" x14ac:dyDescent="0.35">
      <c r="C19" s="229"/>
      <c r="D19" s="229"/>
      <c r="E19" s="229"/>
      <c r="F19" s="229"/>
      <c r="G19" s="229"/>
      <c r="H19" s="229"/>
      <c r="I19" s="229"/>
      <c r="J19" s="229"/>
      <c r="K19" s="229"/>
    </row>
    <row r="20" spans="3:11" x14ac:dyDescent="0.35">
      <c r="C20" s="229"/>
      <c r="D20" s="229"/>
      <c r="E20" s="229"/>
      <c r="F20" s="229"/>
      <c r="G20" s="229"/>
      <c r="H20" s="229"/>
      <c r="I20" s="229"/>
      <c r="J20" s="229"/>
      <c r="K20" s="229"/>
    </row>
    <row r="21" spans="3:11" x14ac:dyDescent="0.35">
      <c r="C21" s="229"/>
      <c r="D21" s="229"/>
      <c r="E21" s="229"/>
      <c r="F21" s="229"/>
      <c r="G21" s="229"/>
      <c r="H21" s="229"/>
      <c r="I21" s="229"/>
      <c r="J21" s="229"/>
      <c r="K21" s="229"/>
    </row>
    <row r="22" spans="3:11" x14ac:dyDescent="0.35">
      <c r="C22" s="229"/>
      <c r="D22" s="229"/>
      <c r="E22" s="229"/>
      <c r="F22" s="229"/>
      <c r="G22" s="229"/>
      <c r="H22" s="229"/>
      <c r="I22" s="229"/>
      <c r="J22" s="229"/>
      <c r="K22" s="229"/>
    </row>
  </sheetData>
  <mergeCells count="1">
    <mergeCell ref="C11:K2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E557B-7353-445E-8E7F-804718FFC2B3}">
  <dimension ref="B1:Q19"/>
  <sheetViews>
    <sheetView showGridLines="0" topLeftCell="B1" workbookViewId="0">
      <selection activeCell="I24" sqref="I24"/>
    </sheetView>
  </sheetViews>
  <sheetFormatPr defaultRowHeight="14.5" x14ac:dyDescent="0.35"/>
  <cols>
    <col min="1" max="1" width="2.90625" customWidth="1"/>
    <col min="2" max="2" width="28.26953125" customWidth="1"/>
    <col min="8" max="17" width="11.08984375" customWidth="1"/>
  </cols>
  <sheetData>
    <row r="1" spans="2:17" ht="18" x14ac:dyDescent="0.35">
      <c r="B1" s="49" t="s">
        <v>202</v>
      </c>
      <c r="C1" s="17"/>
      <c r="D1" s="17"/>
      <c r="E1" s="17"/>
      <c r="F1" s="76"/>
      <c r="G1" s="76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2:17" ht="15.5" x14ac:dyDescent="0.35">
      <c r="B2" s="16"/>
      <c r="C2" s="77"/>
      <c r="D2" s="77"/>
      <c r="E2" s="77"/>
      <c r="F2" s="77"/>
      <c r="G2" s="7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x14ac:dyDescent="0.35">
      <c r="B3" s="27"/>
      <c r="C3" s="230" t="s">
        <v>203</v>
      </c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</row>
    <row r="4" spans="2:17" ht="28" x14ac:dyDescent="0.35">
      <c r="B4" s="28" t="s">
        <v>201</v>
      </c>
      <c r="C4" s="29" t="s">
        <v>83</v>
      </c>
      <c r="D4" s="29" t="s">
        <v>102</v>
      </c>
      <c r="E4" s="29" t="s">
        <v>103</v>
      </c>
      <c r="F4" s="29" t="s">
        <v>104</v>
      </c>
      <c r="G4" s="29" t="s">
        <v>105</v>
      </c>
      <c r="H4" s="30" t="s">
        <v>84</v>
      </c>
      <c r="I4" s="30" t="s">
        <v>85</v>
      </c>
      <c r="J4" s="30" t="s">
        <v>86</v>
      </c>
      <c r="K4" s="30" t="s">
        <v>87</v>
      </c>
      <c r="L4" s="30" t="s">
        <v>88</v>
      </c>
      <c r="M4" s="30" t="s">
        <v>89</v>
      </c>
      <c r="N4" s="30" t="s">
        <v>106</v>
      </c>
      <c r="O4" s="30" t="s">
        <v>107</v>
      </c>
      <c r="P4" s="30" t="s">
        <v>108</v>
      </c>
      <c r="Q4" s="30" t="s">
        <v>109</v>
      </c>
    </row>
    <row r="5" spans="2:17" x14ac:dyDescent="0.35">
      <c r="B5" s="27" t="s">
        <v>199</v>
      </c>
      <c r="C5" s="31">
        <f>'P&amp;L Input'!C6</f>
        <v>1523.836</v>
      </c>
      <c r="D5" s="31">
        <f>'P&amp;L Input'!D6</f>
        <v>1892.1599999999999</v>
      </c>
      <c r="E5" s="31">
        <f>'P&amp;L Input'!E6</f>
        <v>2691.15</v>
      </c>
      <c r="F5" s="31">
        <f>'P&amp;L Input'!F6</f>
        <v>4073.1000000000004</v>
      </c>
      <c r="G5" s="31">
        <f>'P&amp;L Input'!G6</f>
        <v>5999.9260000000004</v>
      </c>
      <c r="H5" s="32" t="s">
        <v>98</v>
      </c>
      <c r="I5" s="32" t="s">
        <v>98</v>
      </c>
      <c r="J5" s="32" t="s">
        <v>98</v>
      </c>
      <c r="K5" s="32" t="s">
        <v>98</v>
      </c>
      <c r="L5" s="32" t="s">
        <v>98</v>
      </c>
      <c r="M5" s="32" t="s">
        <v>98</v>
      </c>
      <c r="N5" s="32" t="s">
        <v>98</v>
      </c>
      <c r="O5" s="32" t="s">
        <v>98</v>
      </c>
      <c r="P5" s="32" t="s">
        <v>98</v>
      </c>
      <c r="Q5" s="32" t="s">
        <v>98</v>
      </c>
    </row>
    <row r="6" spans="2:17" x14ac:dyDescent="0.35">
      <c r="B6" s="27" t="s">
        <v>200</v>
      </c>
      <c r="C6" s="31">
        <f>'P&amp;L Input'!C7</f>
        <v>2236.5980000000018</v>
      </c>
      <c r="D6" s="31">
        <f>'P&amp;L Input'!D7</f>
        <v>2522.880000000001</v>
      </c>
      <c r="E6" s="31">
        <f>'P&amp;L Input'!E7</f>
        <v>3767.6099999999933</v>
      </c>
      <c r="F6" s="31">
        <f>'P&amp;L Input'!F7</f>
        <v>5702.3399999999965</v>
      </c>
      <c r="G6" s="31">
        <f>'P&amp;L Input'!G7</f>
        <v>8322.4779999999882</v>
      </c>
      <c r="H6" s="32" t="s">
        <v>98</v>
      </c>
      <c r="I6" s="32" t="s">
        <v>98</v>
      </c>
      <c r="J6" s="32" t="s">
        <v>98</v>
      </c>
      <c r="K6" s="32" t="s">
        <v>98</v>
      </c>
      <c r="L6" s="32" t="s">
        <v>98</v>
      </c>
      <c r="M6" s="32" t="s">
        <v>98</v>
      </c>
      <c r="N6" s="32" t="s">
        <v>98</v>
      </c>
      <c r="O6" s="32" t="s">
        <v>98</v>
      </c>
      <c r="P6" s="32" t="s">
        <v>98</v>
      </c>
      <c r="Q6" s="32" t="s">
        <v>98</v>
      </c>
    </row>
    <row r="7" spans="2:17" ht="15" thickBot="1" x14ac:dyDescent="0.4">
      <c r="B7" s="33" t="s">
        <v>197</v>
      </c>
      <c r="C7" s="107">
        <f>SUM(C5:C6)</f>
        <v>3760.434000000002</v>
      </c>
      <c r="D7" s="107">
        <f t="shared" ref="D7:G7" si="0">SUM(D5:D6)</f>
        <v>4415.0400000000009</v>
      </c>
      <c r="E7" s="107">
        <f t="shared" si="0"/>
        <v>6458.7599999999929</v>
      </c>
      <c r="F7" s="107">
        <f t="shared" si="0"/>
        <v>9775.4399999999969</v>
      </c>
      <c r="G7" s="107">
        <f t="shared" si="0"/>
        <v>14322.403999999988</v>
      </c>
      <c r="H7" s="107">
        <f>G7*(1+H9)</f>
        <v>17043.660759999984</v>
      </c>
      <c r="I7" s="107">
        <f t="shared" ref="I7:Q7" si="1">H7*(1+I9)</f>
        <v>19600.209873999982</v>
      </c>
      <c r="J7" s="107">
        <f t="shared" si="1"/>
        <v>21560.230861399981</v>
      </c>
      <c r="K7" s="107">
        <f t="shared" si="1"/>
        <v>23285.04933031198</v>
      </c>
      <c r="L7" s="107">
        <f t="shared" si="1"/>
        <v>24682.1522901307</v>
      </c>
      <c r="M7" s="107">
        <f t="shared" si="1"/>
        <v>26163.081427538542</v>
      </c>
      <c r="N7" s="107">
        <f t="shared" si="1"/>
        <v>27732.866313190854</v>
      </c>
      <c r="O7" s="107">
        <f t="shared" si="1"/>
        <v>29396.838291982305</v>
      </c>
      <c r="P7" s="107">
        <f t="shared" si="1"/>
        <v>31160.648589501245</v>
      </c>
      <c r="Q7" s="107">
        <f t="shared" si="1"/>
        <v>33030.287504871318</v>
      </c>
    </row>
    <row r="8" spans="2:17" x14ac:dyDescent="0.35">
      <c r="B8" s="84" t="s">
        <v>65</v>
      </c>
      <c r="C8" s="106"/>
      <c r="D8" s="106"/>
      <c r="E8" s="106"/>
      <c r="F8" s="106"/>
      <c r="G8" s="106"/>
      <c r="H8" s="108">
        <f>CHOOSE(Drivers!$C$3,'Revenue Energy &amp; Other'!H13,'Revenue Energy &amp; Other'!H16,'Revenue Energy &amp; Other'!H19)</f>
        <v>0.19</v>
      </c>
      <c r="I8" s="106"/>
      <c r="J8" s="106"/>
      <c r="K8" s="106"/>
      <c r="L8" s="106"/>
      <c r="M8" s="106"/>
      <c r="N8" s="106"/>
      <c r="O8" s="106"/>
      <c r="P8" s="106"/>
      <c r="Q8" s="106"/>
    </row>
    <row r="9" spans="2:17" x14ac:dyDescent="0.35">
      <c r="B9" s="44" t="s">
        <v>197</v>
      </c>
      <c r="C9" s="115"/>
      <c r="D9" s="115"/>
      <c r="E9" s="115"/>
      <c r="F9" s="115"/>
      <c r="G9" s="106"/>
      <c r="H9" s="109">
        <f>CHOOSE(Drivers!$C$3,'Revenue Energy &amp; Other'!H13,'Revenue Energy &amp; Other'!H16,'Revenue Energy &amp; Other'!H19)</f>
        <v>0.19</v>
      </c>
      <c r="I9" s="109">
        <f>CHOOSE(Drivers!$C$3,'Revenue Energy &amp; Other'!I13,'Revenue Energy &amp; Other'!I16,'Revenue Energy &amp; Other'!I19)</f>
        <v>0.15</v>
      </c>
      <c r="J9" s="109">
        <f>CHOOSE(Drivers!$C$3,'Revenue Energy &amp; Other'!J13,'Revenue Energy &amp; Other'!J16,'Revenue Energy &amp; Other'!J19)</f>
        <v>0.1</v>
      </c>
      <c r="K9" s="109">
        <f>CHOOSE(Drivers!$C$3,'Revenue Energy &amp; Other'!K13,'Revenue Energy &amp; Other'!K16,'Revenue Energy &amp; Other'!K19)</f>
        <v>0.08</v>
      </c>
      <c r="L9" s="109">
        <f>CHOOSE(Drivers!$C$3,'Revenue Energy &amp; Other'!L13,'Revenue Energy &amp; Other'!L16,'Revenue Energy &amp; Other'!L19)</f>
        <v>0.06</v>
      </c>
      <c r="M9" s="109">
        <f>CHOOSE(Drivers!$C$3,'Revenue Energy &amp; Other'!M13,'Revenue Energy &amp; Other'!M16,'Revenue Energy &amp; Other'!M19)</f>
        <v>0.06</v>
      </c>
      <c r="N9" s="109">
        <f>CHOOSE(Drivers!$C$3,'Revenue Energy &amp; Other'!N13,'Revenue Energy &amp; Other'!N16,'Revenue Energy &amp; Other'!N19)</f>
        <v>0.06</v>
      </c>
      <c r="O9" s="109">
        <f>CHOOSE(Drivers!$C$3,'Revenue Energy &amp; Other'!O13,'Revenue Energy &amp; Other'!O16,'Revenue Energy &amp; Other'!O19)</f>
        <v>0.06</v>
      </c>
      <c r="P9" s="109">
        <f>CHOOSE(Drivers!$C$3,'Revenue Energy &amp; Other'!P13,'Revenue Energy &amp; Other'!P16,'Revenue Energy &amp; Other'!P19)</f>
        <v>0.06</v>
      </c>
      <c r="Q9" s="109">
        <f>CHOOSE(Drivers!$C$3,'Revenue Energy &amp; Other'!Q13,'Revenue Energy &amp; Other'!Q16,'Revenue Energy &amp; Other'!Q19)</f>
        <v>0.06</v>
      </c>
    </row>
    <row r="10" spans="2:17" x14ac:dyDescent="0.35">
      <c r="B10" s="44"/>
      <c r="C10" s="115"/>
      <c r="D10" s="116"/>
      <c r="E10" s="116"/>
      <c r="F10" s="116"/>
      <c r="G10" s="106"/>
      <c r="H10" s="109"/>
      <c r="I10" s="109"/>
      <c r="J10" s="109"/>
      <c r="K10" s="109"/>
      <c r="L10" s="109"/>
      <c r="M10" s="109"/>
      <c r="N10" s="109"/>
      <c r="O10" s="109"/>
      <c r="P10" s="109"/>
      <c r="Q10" s="109"/>
    </row>
    <row r="11" spans="2:17" x14ac:dyDescent="0.35">
      <c r="B11" s="114" t="s">
        <v>198</v>
      </c>
      <c r="C11" s="115"/>
      <c r="D11" s="115"/>
      <c r="E11" s="115"/>
      <c r="F11" s="115"/>
      <c r="G11" s="106"/>
      <c r="H11" s="109"/>
      <c r="I11" s="109"/>
      <c r="J11" s="109"/>
      <c r="K11" s="109"/>
      <c r="L11" s="109"/>
      <c r="M11" s="109"/>
      <c r="N11" s="109"/>
      <c r="O11" s="109"/>
      <c r="P11" s="109"/>
      <c r="Q11" s="109"/>
    </row>
    <row r="12" spans="2:17" x14ac:dyDescent="0.35">
      <c r="B12" s="84" t="s">
        <v>162</v>
      </c>
      <c r="C12" s="115"/>
      <c r="D12" s="115"/>
      <c r="E12" s="115"/>
      <c r="F12" s="115"/>
      <c r="G12" s="106"/>
      <c r="H12" s="109"/>
      <c r="I12" s="109"/>
      <c r="J12" s="109"/>
      <c r="K12" s="109"/>
      <c r="L12" s="109"/>
      <c r="M12" s="109"/>
      <c r="N12" s="109"/>
      <c r="O12" s="109"/>
      <c r="P12" s="109"/>
      <c r="Q12" s="109"/>
    </row>
    <row r="13" spans="2:17" x14ac:dyDescent="0.35">
      <c r="B13" s="44" t="s">
        <v>197</v>
      </c>
      <c r="C13" s="115"/>
      <c r="D13" s="115"/>
      <c r="E13" s="115"/>
      <c r="F13" s="115"/>
      <c r="G13" s="106"/>
      <c r="H13" s="109">
        <f>H16+3.1%</f>
        <v>0.221</v>
      </c>
      <c r="I13" s="109">
        <f t="shared" ref="I13:Q13" si="2">I16+3.1%</f>
        <v>0.18099999999999999</v>
      </c>
      <c r="J13" s="109">
        <f t="shared" si="2"/>
        <v>0.13100000000000001</v>
      </c>
      <c r="K13" s="109">
        <f t="shared" si="2"/>
        <v>0.111</v>
      </c>
      <c r="L13" s="109">
        <f t="shared" si="2"/>
        <v>9.0999999999999998E-2</v>
      </c>
      <c r="M13" s="109">
        <f t="shared" si="2"/>
        <v>9.0999999999999998E-2</v>
      </c>
      <c r="N13" s="109">
        <f t="shared" si="2"/>
        <v>9.0999999999999998E-2</v>
      </c>
      <c r="O13" s="109">
        <f t="shared" si="2"/>
        <v>9.0999999999999998E-2</v>
      </c>
      <c r="P13" s="109">
        <f t="shared" si="2"/>
        <v>9.0999999999999998E-2</v>
      </c>
      <c r="Q13" s="109">
        <f t="shared" si="2"/>
        <v>9.0999999999999998E-2</v>
      </c>
    </row>
    <row r="14" spans="2:17" x14ac:dyDescent="0.35">
      <c r="B14" s="44"/>
      <c r="C14" s="115"/>
      <c r="D14" s="115"/>
      <c r="E14" s="115"/>
      <c r="F14" s="115"/>
      <c r="G14" s="106"/>
      <c r="H14" s="115"/>
      <c r="I14" s="106"/>
      <c r="J14" s="106"/>
      <c r="K14" s="106"/>
      <c r="L14" s="106"/>
      <c r="M14" s="106"/>
      <c r="N14" s="106"/>
      <c r="O14" s="106"/>
      <c r="P14" s="106"/>
      <c r="Q14" s="106"/>
    </row>
    <row r="15" spans="2:17" x14ac:dyDescent="0.35">
      <c r="B15" s="84" t="s">
        <v>163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</row>
    <row r="16" spans="2:17" x14ac:dyDescent="0.35">
      <c r="B16" s="44" t="s">
        <v>197</v>
      </c>
      <c r="C16" s="115"/>
      <c r="D16" s="115">
        <f>D7/C7-1</f>
        <v>0.17407724746664832</v>
      </c>
      <c r="E16" s="115">
        <f t="shared" ref="E16:G16" si="3">E7/D7-1</f>
        <v>0.46289954337899353</v>
      </c>
      <c r="F16" s="115">
        <f t="shared" si="3"/>
        <v>0.51351652639206402</v>
      </c>
      <c r="G16" s="115">
        <f t="shared" si="3"/>
        <v>0.46514162022374372</v>
      </c>
      <c r="H16" s="106">
        <v>0.19</v>
      </c>
      <c r="I16" s="106">
        <v>0.15</v>
      </c>
      <c r="J16" s="106">
        <v>0.1</v>
      </c>
      <c r="K16" s="106">
        <v>0.08</v>
      </c>
      <c r="L16" s="106">
        <v>0.06</v>
      </c>
      <c r="M16" s="106">
        <v>0.06</v>
      </c>
      <c r="N16" s="106">
        <v>0.06</v>
      </c>
      <c r="O16" s="106">
        <v>0.06</v>
      </c>
      <c r="P16" s="106">
        <v>0.06</v>
      </c>
      <c r="Q16" s="106">
        <v>0.06</v>
      </c>
    </row>
    <row r="17" spans="2:17" x14ac:dyDescent="0.35">
      <c r="B17" s="44"/>
      <c r="C17" s="115"/>
      <c r="D17" s="115"/>
      <c r="E17" s="115"/>
      <c r="F17" s="115"/>
      <c r="G17" s="106"/>
      <c r="H17" s="115"/>
      <c r="I17" s="106"/>
      <c r="J17" s="106"/>
      <c r="K17" s="106"/>
      <c r="L17" s="106"/>
      <c r="M17" s="106"/>
      <c r="N17" s="106"/>
      <c r="O17" s="106"/>
      <c r="P17" s="106"/>
      <c r="Q17" s="106"/>
    </row>
    <row r="18" spans="2:17" x14ac:dyDescent="0.35">
      <c r="B18" s="84" t="s">
        <v>164</v>
      </c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</row>
    <row r="19" spans="2:17" x14ac:dyDescent="0.35">
      <c r="B19" s="44" t="s">
        <v>197</v>
      </c>
      <c r="C19" s="115"/>
      <c r="D19" s="115"/>
      <c r="E19" s="115"/>
      <c r="F19" s="115"/>
      <c r="G19" s="106"/>
      <c r="H19" s="106">
        <f>H16-3.1%</f>
        <v>0.159</v>
      </c>
      <c r="I19" s="106">
        <f t="shared" ref="I19:Q19" si="4">I16-3.1%</f>
        <v>0.11899999999999999</v>
      </c>
      <c r="J19" s="106">
        <f t="shared" si="4"/>
        <v>6.9000000000000006E-2</v>
      </c>
      <c r="K19" s="106">
        <f t="shared" si="4"/>
        <v>4.9000000000000002E-2</v>
      </c>
      <c r="L19" s="106">
        <f t="shared" si="4"/>
        <v>2.8999999999999998E-2</v>
      </c>
      <c r="M19" s="106">
        <f t="shared" si="4"/>
        <v>2.8999999999999998E-2</v>
      </c>
      <c r="N19" s="106">
        <f t="shared" si="4"/>
        <v>2.8999999999999998E-2</v>
      </c>
      <c r="O19" s="106">
        <f t="shared" si="4"/>
        <v>2.8999999999999998E-2</v>
      </c>
      <c r="P19" s="106">
        <f t="shared" si="4"/>
        <v>2.8999999999999998E-2</v>
      </c>
      <c r="Q19" s="106">
        <f t="shared" si="4"/>
        <v>2.8999999999999998E-2</v>
      </c>
    </row>
  </sheetData>
  <mergeCells count="1">
    <mergeCell ref="C3:Q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8BFA5-B4E9-4E7C-A42E-E2898BB84F75}">
  <dimension ref="B1:Q25"/>
  <sheetViews>
    <sheetView showGridLines="0" workbookViewId="0">
      <selection activeCell="C30" sqref="C30"/>
    </sheetView>
  </sheetViews>
  <sheetFormatPr defaultRowHeight="14.5" x14ac:dyDescent="0.35"/>
  <cols>
    <col min="1" max="1" width="2.90625" customWidth="1"/>
    <col min="2" max="2" width="28.26953125" customWidth="1"/>
    <col min="4" max="7" width="9.6328125" customWidth="1"/>
    <col min="8" max="17" width="11.08984375" customWidth="1"/>
  </cols>
  <sheetData>
    <row r="1" spans="2:17" ht="18" x14ac:dyDescent="0.35">
      <c r="B1" s="49" t="s">
        <v>204</v>
      </c>
      <c r="C1" s="17"/>
      <c r="D1" s="17"/>
      <c r="E1" s="17"/>
      <c r="F1" s="76"/>
      <c r="G1" s="76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2:17" ht="15.5" x14ac:dyDescent="0.35">
      <c r="B2" s="16"/>
      <c r="C2" s="77"/>
      <c r="D2" s="77"/>
      <c r="E2" s="77"/>
      <c r="F2" s="77"/>
      <c r="G2" s="7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x14ac:dyDescent="0.35">
      <c r="B3" s="27"/>
      <c r="C3" s="230" t="s">
        <v>205</v>
      </c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</row>
    <row r="4" spans="2:17" ht="28" x14ac:dyDescent="0.35">
      <c r="B4" s="28" t="s">
        <v>201</v>
      </c>
      <c r="C4" s="29" t="s">
        <v>83</v>
      </c>
      <c r="D4" s="29" t="s">
        <v>102</v>
      </c>
      <c r="E4" s="29" t="s">
        <v>103</v>
      </c>
      <c r="F4" s="29" t="s">
        <v>104</v>
      </c>
      <c r="G4" s="29" t="s">
        <v>105</v>
      </c>
      <c r="H4" s="30" t="s">
        <v>84</v>
      </c>
      <c r="I4" s="30" t="s">
        <v>85</v>
      </c>
      <c r="J4" s="30" t="s">
        <v>86</v>
      </c>
      <c r="K4" s="30" t="s">
        <v>87</v>
      </c>
      <c r="L4" s="30" t="s">
        <v>88</v>
      </c>
      <c r="M4" s="30" t="s">
        <v>89</v>
      </c>
      <c r="N4" s="30" t="s">
        <v>106</v>
      </c>
      <c r="O4" s="30" t="s">
        <v>107</v>
      </c>
      <c r="P4" s="30" t="s">
        <v>108</v>
      </c>
      <c r="Q4" s="30" t="s">
        <v>109</v>
      </c>
    </row>
    <row r="5" spans="2:17" x14ac:dyDescent="0.35">
      <c r="B5" s="27" t="s">
        <v>199</v>
      </c>
      <c r="C5" s="31">
        <f>'P&amp;L Input'!C6+'P&amp;L Input'!C10</f>
        <v>190</v>
      </c>
      <c r="D5" s="31">
        <f>'P&amp;L Input'!D6+'P&amp;L Input'!D10</f>
        <v>17.999999999999773</v>
      </c>
      <c r="E5" s="31">
        <f>'P&amp;L Input'!E6+'P&amp;L Input'!E10</f>
        <v>-129</v>
      </c>
      <c r="F5" s="31">
        <f>'P&amp;L Input'!F6+'P&amp;L Input'!F10</f>
        <v>288.00000000000045</v>
      </c>
      <c r="G5" s="31">
        <f>'P&amp;L Input'!G6+'P&amp;L Input'!G10</f>
        <v>1141</v>
      </c>
      <c r="H5" s="32" t="s">
        <v>98</v>
      </c>
      <c r="I5" s="32" t="s">
        <v>98</v>
      </c>
      <c r="J5" s="32" t="s">
        <v>98</v>
      </c>
      <c r="K5" s="32" t="s">
        <v>98</v>
      </c>
      <c r="L5" s="32" t="s">
        <v>98</v>
      </c>
      <c r="M5" s="32" t="s">
        <v>98</v>
      </c>
      <c r="N5" s="32" t="s">
        <v>98</v>
      </c>
      <c r="O5" s="32" t="s">
        <v>98</v>
      </c>
      <c r="P5" s="32" t="s">
        <v>98</v>
      </c>
      <c r="Q5" s="32" t="s">
        <v>98</v>
      </c>
    </row>
    <row r="6" spans="2:17" x14ac:dyDescent="0.35">
      <c r="B6" s="27" t="s">
        <v>200</v>
      </c>
      <c r="C6" s="31">
        <f>'P&amp;L Input'!C7+'P&amp;L Input'!C11</f>
        <v>0</v>
      </c>
      <c r="D6" s="31">
        <f>'P&amp;L Input'!D7+'P&amp;L Input'!D11</f>
        <v>0</v>
      </c>
      <c r="E6" s="117">
        <f>'P&amp;L Input'!E7+'P&amp;L Input'!E11</f>
        <v>-6.8212102632969618E-12</v>
      </c>
      <c r="F6" s="31">
        <f>'P&amp;L Input'!F7+'P&amp;L Input'!F11</f>
        <v>0</v>
      </c>
      <c r="G6" s="31">
        <f>'P&amp;L Input'!G7+'P&amp;L Input'!G11</f>
        <v>0</v>
      </c>
      <c r="H6" s="32" t="s">
        <v>98</v>
      </c>
      <c r="I6" s="32" t="s">
        <v>98</v>
      </c>
      <c r="J6" s="32" t="s">
        <v>98</v>
      </c>
      <c r="K6" s="32" t="s">
        <v>98</v>
      </c>
      <c r="L6" s="32" t="s">
        <v>98</v>
      </c>
      <c r="M6" s="32" t="s">
        <v>98</v>
      </c>
      <c r="N6" s="32" t="s">
        <v>98</v>
      </c>
      <c r="O6" s="32" t="s">
        <v>98</v>
      </c>
      <c r="P6" s="32" t="s">
        <v>98</v>
      </c>
      <c r="Q6" s="32" t="s">
        <v>98</v>
      </c>
    </row>
    <row r="7" spans="2:17" ht="15" thickBot="1" x14ac:dyDescent="0.4">
      <c r="B7" s="33" t="s">
        <v>197</v>
      </c>
      <c r="C7" s="107">
        <f>SUM(C5:C6)</f>
        <v>190</v>
      </c>
      <c r="D7" s="107">
        <f t="shared" ref="D7:G7" si="0">SUM(D5:D6)</f>
        <v>17.999999999999773</v>
      </c>
      <c r="E7" s="107">
        <f t="shared" si="0"/>
        <v>-129.00000000000682</v>
      </c>
      <c r="F7" s="107">
        <f t="shared" si="0"/>
        <v>288.00000000000045</v>
      </c>
      <c r="G7" s="107">
        <f t="shared" si="0"/>
        <v>1141</v>
      </c>
      <c r="H7" s="107">
        <f>'Revenue Energy &amp; Other'!H7*'Gross Profit Energy &amp; Other'!H9</f>
        <v>929.96166804154097</v>
      </c>
      <c r="I7" s="107">
        <f>'Revenue Energy &amp; Other'!I7*'Gross Profit Energy &amp; Other'!I9</f>
        <v>1069.4559182477722</v>
      </c>
      <c r="J7" s="107">
        <f>'Revenue Energy &amp; Other'!J7*'Gross Profit Energy &amp; Other'!J9</f>
        <v>1176.4015100725494</v>
      </c>
      <c r="K7" s="107">
        <f>'Revenue Energy &amp; Other'!K7*'Gross Profit Energy &amp; Other'!K9</f>
        <v>1270.5136308783535</v>
      </c>
      <c r="L7" s="107">
        <f>'Revenue Energy &amp; Other'!L7*'Gross Profit Energy &amp; Other'!L9</f>
        <v>1346.7444487310547</v>
      </c>
      <c r="M7" s="107">
        <f>'Revenue Energy &amp; Other'!M7*'Gross Profit Energy &amp; Other'!M9</f>
        <v>1427.5491156549181</v>
      </c>
      <c r="N7" s="107">
        <f>'Revenue Energy &amp; Other'!N7*'Gross Profit Energy &amp; Other'!N9</f>
        <v>1513.202062594213</v>
      </c>
      <c r="O7" s="107">
        <f>'Revenue Energy &amp; Other'!O7*'Gross Profit Energy &amp; Other'!O9</f>
        <v>1603.9941863498659</v>
      </c>
      <c r="P7" s="107">
        <f>'Revenue Energy &amp; Other'!P7*'Gross Profit Energy &amp; Other'!P9</f>
        <v>1700.2338375308577</v>
      </c>
      <c r="Q7" s="107">
        <f>'Revenue Energy &amp; Other'!Q7*'Gross Profit Energy &amp; Other'!Q9</f>
        <v>1802.2478677827091</v>
      </c>
    </row>
    <row r="8" spans="2:17" x14ac:dyDescent="0.35">
      <c r="B8" s="84" t="s">
        <v>65</v>
      </c>
      <c r="C8" s="106"/>
      <c r="D8" s="106"/>
      <c r="E8" s="106"/>
      <c r="F8" s="106"/>
      <c r="G8" s="106"/>
      <c r="H8" s="108">
        <f>CHOOSE(Drivers!$C$3,H13,H16,H19)</f>
        <v>5.4563493203530641E-2</v>
      </c>
      <c r="I8" s="106"/>
      <c r="J8" s="106"/>
      <c r="K8" s="106"/>
      <c r="L8" s="106"/>
      <c r="M8" s="106"/>
      <c r="N8" s="106"/>
      <c r="O8" s="106"/>
      <c r="P8" s="106"/>
      <c r="Q8" s="106"/>
    </row>
    <row r="9" spans="2:17" x14ac:dyDescent="0.35">
      <c r="B9" s="44" t="s">
        <v>197</v>
      </c>
      <c r="C9" s="115"/>
      <c r="D9" s="115"/>
      <c r="E9" s="115"/>
      <c r="F9" s="115"/>
      <c r="G9" s="106"/>
      <c r="H9" s="109">
        <f>CHOOSE(Drivers!$C$3,H13,H16,H19)</f>
        <v>5.4563493203530641E-2</v>
      </c>
      <c r="I9" s="109">
        <f>CHOOSE(Drivers!$C$3,I13,I16,I19)</f>
        <v>5.4563493203530641E-2</v>
      </c>
      <c r="J9" s="109">
        <f>CHOOSE(Drivers!$C$3,J13,J16,J19)</f>
        <v>5.4563493203530641E-2</v>
      </c>
      <c r="K9" s="109">
        <f>CHOOSE(Drivers!$C$3,K13,K16,K19)</f>
        <v>5.4563493203530641E-2</v>
      </c>
      <c r="L9" s="109">
        <f>CHOOSE(Drivers!$C$3,L13,L16,L19)</f>
        <v>5.4563493203530641E-2</v>
      </c>
      <c r="M9" s="109">
        <f>CHOOSE(Drivers!$C$3,M13,M16,M19)</f>
        <v>5.4563493203530641E-2</v>
      </c>
      <c r="N9" s="109">
        <f>CHOOSE(Drivers!$C$3,N13,N16,N19)</f>
        <v>5.4563493203530641E-2</v>
      </c>
      <c r="O9" s="109">
        <f>CHOOSE(Drivers!$C$3,O13,O16,O19)</f>
        <v>5.4563493203530641E-2</v>
      </c>
      <c r="P9" s="109">
        <f>CHOOSE(Drivers!$C$3,P13,P16,P19)</f>
        <v>5.4563493203530641E-2</v>
      </c>
      <c r="Q9" s="109">
        <f>CHOOSE(Drivers!$C$3,Q13,Q16,Q19)</f>
        <v>5.4563493203530641E-2</v>
      </c>
    </row>
    <row r="10" spans="2:17" x14ac:dyDescent="0.35">
      <c r="B10" s="44"/>
      <c r="C10" s="115"/>
      <c r="D10" s="116"/>
      <c r="E10" s="116"/>
      <c r="F10" s="116"/>
      <c r="G10" s="106"/>
      <c r="H10" s="109"/>
      <c r="I10" s="109"/>
      <c r="J10" s="109"/>
      <c r="K10" s="109"/>
      <c r="L10" s="109"/>
      <c r="M10" s="109"/>
      <c r="N10" s="109"/>
      <c r="O10" s="109"/>
      <c r="P10" s="109"/>
      <c r="Q10" s="109"/>
    </row>
    <row r="11" spans="2:17" x14ac:dyDescent="0.35">
      <c r="B11" s="114" t="s">
        <v>198</v>
      </c>
      <c r="C11" s="115"/>
      <c r="D11" s="115"/>
      <c r="E11" s="115"/>
      <c r="F11" s="115"/>
      <c r="G11" s="106"/>
      <c r="H11" s="109"/>
      <c r="I11" s="109"/>
      <c r="J11" s="109"/>
      <c r="K11" s="109"/>
      <c r="L11" s="109"/>
      <c r="M11" s="109"/>
      <c r="N11" s="109"/>
      <c r="O11" s="109"/>
      <c r="P11" s="109"/>
      <c r="Q11" s="109"/>
    </row>
    <row r="12" spans="2:17" x14ac:dyDescent="0.35">
      <c r="B12" s="84" t="s">
        <v>162</v>
      </c>
      <c r="C12" s="115"/>
      <c r="D12" s="115"/>
      <c r="E12" s="115"/>
      <c r="F12" s="115"/>
      <c r="G12" s="106"/>
      <c r="H12" s="109"/>
      <c r="I12" s="109"/>
      <c r="J12" s="109"/>
      <c r="K12" s="109"/>
      <c r="L12" s="109"/>
      <c r="M12" s="109"/>
      <c r="N12" s="109"/>
      <c r="O12" s="109"/>
      <c r="P12" s="109"/>
      <c r="Q12" s="109"/>
    </row>
    <row r="13" spans="2:17" x14ac:dyDescent="0.35">
      <c r="B13" s="44" t="s">
        <v>197</v>
      </c>
      <c r="C13" s="115"/>
      <c r="D13" s="115"/>
      <c r="E13" s="115"/>
      <c r="F13" s="115"/>
      <c r="G13" s="106"/>
      <c r="H13" s="109">
        <f>H16+3.1%</f>
        <v>8.5563493203530641E-2</v>
      </c>
      <c r="I13" s="109">
        <f t="shared" ref="I13:Q13" si="1">I16+3.1%</f>
        <v>8.5563493203530641E-2</v>
      </c>
      <c r="J13" s="109">
        <f t="shared" si="1"/>
        <v>8.5563493203530641E-2</v>
      </c>
      <c r="K13" s="109">
        <f t="shared" si="1"/>
        <v>8.5563493203530641E-2</v>
      </c>
      <c r="L13" s="109">
        <f t="shared" si="1"/>
        <v>8.5563493203530641E-2</v>
      </c>
      <c r="M13" s="109">
        <f t="shared" si="1"/>
        <v>8.5563493203530641E-2</v>
      </c>
      <c r="N13" s="109">
        <f t="shared" si="1"/>
        <v>8.5563493203530641E-2</v>
      </c>
      <c r="O13" s="109">
        <f t="shared" si="1"/>
        <v>8.5563493203530641E-2</v>
      </c>
      <c r="P13" s="109">
        <f t="shared" si="1"/>
        <v>8.5563493203530641E-2</v>
      </c>
      <c r="Q13" s="109">
        <f t="shared" si="1"/>
        <v>8.5563493203530641E-2</v>
      </c>
    </row>
    <row r="14" spans="2:17" x14ac:dyDescent="0.35">
      <c r="B14" s="44"/>
      <c r="C14" s="115"/>
      <c r="D14" s="115"/>
      <c r="E14" s="115"/>
      <c r="F14" s="115"/>
      <c r="G14" s="106"/>
      <c r="H14" s="115"/>
      <c r="I14" s="106"/>
      <c r="J14" s="106"/>
      <c r="K14" s="106"/>
      <c r="L14" s="106"/>
      <c r="M14" s="106"/>
      <c r="N14" s="106"/>
      <c r="O14" s="106"/>
      <c r="P14" s="106"/>
      <c r="Q14" s="106"/>
    </row>
    <row r="15" spans="2:17" x14ac:dyDescent="0.35">
      <c r="B15" s="84" t="s">
        <v>163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</row>
    <row r="16" spans="2:17" x14ac:dyDescent="0.35">
      <c r="B16" s="44" t="s">
        <v>197</v>
      </c>
      <c r="C16" s="115">
        <f>C7/'Revenue Energy &amp; Other'!C7</f>
        <v>5.0526082893623418E-2</v>
      </c>
      <c r="D16" s="115">
        <f>D7/'Revenue Energy &amp; Other'!D7</f>
        <v>4.0769732550553946E-3</v>
      </c>
      <c r="E16" s="115">
        <f>E7/'Revenue Energy &amp; Other'!E7</f>
        <v>-1.9972874050128347E-2</v>
      </c>
      <c r="F16" s="115">
        <f>F7/'Revenue Energy &amp; Other'!F7</f>
        <v>2.9461589452751031E-2</v>
      </c>
      <c r="G16" s="115">
        <f>G7/'Revenue Energy &amp; Other'!G7</f>
        <v>7.9665396954310255E-2</v>
      </c>
      <c r="H16" s="106">
        <f>AVERAGE($F$16:$G$16)</f>
        <v>5.4563493203530641E-2</v>
      </c>
      <c r="I16" s="106">
        <f t="shared" ref="I16:Q16" si="2">AVERAGE($F$16:$G$16)</f>
        <v>5.4563493203530641E-2</v>
      </c>
      <c r="J16" s="106">
        <f t="shared" si="2"/>
        <v>5.4563493203530641E-2</v>
      </c>
      <c r="K16" s="106">
        <f t="shared" si="2"/>
        <v>5.4563493203530641E-2</v>
      </c>
      <c r="L16" s="106">
        <f t="shared" si="2"/>
        <v>5.4563493203530641E-2</v>
      </c>
      <c r="M16" s="106">
        <f t="shared" si="2"/>
        <v>5.4563493203530641E-2</v>
      </c>
      <c r="N16" s="106">
        <f t="shared" si="2"/>
        <v>5.4563493203530641E-2</v>
      </c>
      <c r="O16" s="106">
        <f t="shared" si="2"/>
        <v>5.4563493203530641E-2</v>
      </c>
      <c r="P16" s="106">
        <f t="shared" si="2"/>
        <v>5.4563493203530641E-2</v>
      </c>
      <c r="Q16" s="106">
        <f t="shared" si="2"/>
        <v>5.4563493203530641E-2</v>
      </c>
    </row>
    <row r="17" spans="2:17" x14ac:dyDescent="0.35">
      <c r="B17" s="44"/>
      <c r="C17" s="115"/>
      <c r="D17" s="115"/>
      <c r="E17" s="115"/>
      <c r="F17" s="115"/>
      <c r="G17" s="106"/>
      <c r="H17" s="115"/>
      <c r="I17" s="106"/>
      <c r="J17" s="106"/>
      <c r="K17" s="106"/>
      <c r="L17" s="106"/>
      <c r="M17" s="106"/>
      <c r="N17" s="106"/>
      <c r="O17" s="106"/>
      <c r="P17" s="106"/>
      <c r="Q17" s="106"/>
    </row>
    <row r="18" spans="2:17" x14ac:dyDescent="0.35">
      <c r="B18" s="84" t="s">
        <v>164</v>
      </c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</row>
    <row r="19" spans="2:17" x14ac:dyDescent="0.35">
      <c r="B19" s="44" t="s">
        <v>197</v>
      </c>
      <c r="C19" s="115"/>
      <c r="D19" s="115"/>
      <c r="E19" s="115"/>
      <c r="F19" s="115"/>
      <c r="G19" s="106"/>
      <c r="H19" s="106">
        <f>H16-3.1%</f>
        <v>2.3563493203530642E-2</v>
      </c>
      <c r="I19" s="106">
        <f t="shared" ref="I19:Q19" si="3">I16-3.1%</f>
        <v>2.3563493203530642E-2</v>
      </c>
      <c r="J19" s="106">
        <f t="shared" si="3"/>
        <v>2.3563493203530642E-2</v>
      </c>
      <c r="K19" s="106">
        <f t="shared" si="3"/>
        <v>2.3563493203530642E-2</v>
      </c>
      <c r="L19" s="106">
        <f t="shared" si="3"/>
        <v>2.3563493203530642E-2</v>
      </c>
      <c r="M19" s="106">
        <f t="shared" si="3"/>
        <v>2.3563493203530642E-2</v>
      </c>
      <c r="N19" s="106">
        <f t="shared" si="3"/>
        <v>2.3563493203530642E-2</v>
      </c>
      <c r="O19" s="106">
        <f t="shared" si="3"/>
        <v>2.3563493203530642E-2</v>
      </c>
      <c r="P19" s="106">
        <f t="shared" si="3"/>
        <v>2.3563493203530642E-2</v>
      </c>
      <c r="Q19" s="106">
        <f t="shared" si="3"/>
        <v>2.3563493203530642E-2</v>
      </c>
    </row>
    <row r="25" spans="2:17" x14ac:dyDescent="0.35">
      <c r="J25" s="118"/>
    </row>
  </sheetData>
  <mergeCells count="1">
    <mergeCell ref="C3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2E204-247F-4ACF-B5AE-4A822E8A3AC6}">
  <sheetPr>
    <tabColor theme="5" tint="-0.499984740745262"/>
  </sheetPr>
  <dimension ref="C11:K22"/>
  <sheetViews>
    <sheetView showGridLines="0" workbookViewId="0">
      <selection activeCell="E32" sqref="E32"/>
    </sheetView>
  </sheetViews>
  <sheetFormatPr defaultRowHeight="14.5" x14ac:dyDescent="0.35"/>
  <sheetData>
    <row r="11" spans="3:11" x14ac:dyDescent="0.35">
      <c r="C11" s="229" t="s">
        <v>62</v>
      </c>
      <c r="D11" s="229"/>
      <c r="E11" s="229"/>
      <c r="F11" s="229"/>
      <c r="G11" s="229"/>
      <c r="H11" s="229"/>
      <c r="I11" s="229"/>
      <c r="J11" s="229"/>
      <c r="K11" s="229"/>
    </row>
    <row r="12" spans="3:11" x14ac:dyDescent="0.35">
      <c r="C12" s="229"/>
      <c r="D12" s="229"/>
      <c r="E12" s="229"/>
      <c r="F12" s="229"/>
      <c r="G12" s="229"/>
      <c r="H12" s="229"/>
      <c r="I12" s="229"/>
      <c r="J12" s="229"/>
      <c r="K12" s="229"/>
    </row>
    <row r="13" spans="3:11" x14ac:dyDescent="0.35">
      <c r="C13" s="229"/>
      <c r="D13" s="229"/>
      <c r="E13" s="229"/>
      <c r="F13" s="229"/>
      <c r="G13" s="229"/>
      <c r="H13" s="229"/>
      <c r="I13" s="229"/>
      <c r="J13" s="229"/>
      <c r="K13" s="229"/>
    </row>
    <row r="14" spans="3:11" x14ac:dyDescent="0.35">
      <c r="C14" s="229"/>
      <c r="D14" s="229"/>
      <c r="E14" s="229"/>
      <c r="F14" s="229"/>
      <c r="G14" s="229"/>
      <c r="H14" s="229"/>
      <c r="I14" s="229"/>
      <c r="J14" s="229"/>
      <c r="K14" s="229"/>
    </row>
    <row r="15" spans="3:11" x14ac:dyDescent="0.35">
      <c r="C15" s="229"/>
      <c r="D15" s="229"/>
      <c r="E15" s="229"/>
      <c r="F15" s="229"/>
      <c r="G15" s="229"/>
      <c r="H15" s="229"/>
      <c r="I15" s="229"/>
      <c r="J15" s="229"/>
      <c r="K15" s="229"/>
    </row>
    <row r="16" spans="3:11" x14ac:dyDescent="0.35">
      <c r="C16" s="229"/>
      <c r="D16" s="229"/>
      <c r="E16" s="229"/>
      <c r="F16" s="229"/>
      <c r="G16" s="229"/>
      <c r="H16" s="229"/>
      <c r="I16" s="229"/>
      <c r="J16" s="229"/>
      <c r="K16" s="229"/>
    </row>
    <row r="17" spans="3:11" x14ac:dyDescent="0.35">
      <c r="C17" s="229"/>
      <c r="D17" s="229"/>
      <c r="E17" s="229"/>
      <c r="F17" s="229"/>
      <c r="G17" s="229"/>
      <c r="H17" s="229"/>
      <c r="I17" s="229"/>
      <c r="J17" s="229"/>
      <c r="K17" s="229"/>
    </row>
    <row r="18" spans="3:11" x14ac:dyDescent="0.35">
      <c r="C18" s="229"/>
      <c r="D18" s="229"/>
      <c r="E18" s="229"/>
      <c r="F18" s="229"/>
      <c r="G18" s="229"/>
      <c r="H18" s="229"/>
      <c r="I18" s="229"/>
      <c r="J18" s="229"/>
      <c r="K18" s="229"/>
    </row>
    <row r="19" spans="3:11" x14ac:dyDescent="0.35">
      <c r="C19" s="229"/>
      <c r="D19" s="229"/>
      <c r="E19" s="229"/>
      <c r="F19" s="229"/>
      <c r="G19" s="229"/>
      <c r="H19" s="229"/>
      <c r="I19" s="229"/>
      <c r="J19" s="229"/>
      <c r="K19" s="229"/>
    </row>
    <row r="20" spans="3:11" x14ac:dyDescent="0.35">
      <c r="C20" s="229"/>
      <c r="D20" s="229"/>
      <c r="E20" s="229"/>
      <c r="F20" s="229"/>
      <c r="G20" s="229"/>
      <c r="H20" s="229"/>
      <c r="I20" s="229"/>
      <c r="J20" s="229"/>
      <c r="K20" s="229"/>
    </row>
    <row r="21" spans="3:11" x14ac:dyDescent="0.35">
      <c r="C21" s="229"/>
      <c r="D21" s="229"/>
      <c r="E21" s="229"/>
      <c r="F21" s="229"/>
      <c r="G21" s="229"/>
      <c r="H21" s="229"/>
      <c r="I21" s="229"/>
      <c r="J21" s="229"/>
      <c r="K21" s="229"/>
    </row>
    <row r="22" spans="3:11" x14ac:dyDescent="0.35">
      <c r="C22" s="229"/>
      <c r="D22" s="229"/>
      <c r="E22" s="229"/>
      <c r="F22" s="229"/>
      <c r="G22" s="229"/>
      <c r="H22" s="229"/>
      <c r="I22" s="229"/>
      <c r="J22" s="229"/>
      <c r="K22" s="229"/>
    </row>
  </sheetData>
  <mergeCells count="1">
    <mergeCell ref="C11:K2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05512-BBEA-4479-8173-A2CBE9D07853}">
  <dimension ref="B1:Q13"/>
  <sheetViews>
    <sheetView showGridLines="0" workbookViewId="0">
      <selection activeCell="D32" sqref="D32"/>
    </sheetView>
  </sheetViews>
  <sheetFormatPr defaultRowHeight="14.5" x14ac:dyDescent="0.35"/>
  <cols>
    <col min="1" max="1" width="2.90625" customWidth="1"/>
    <col min="2" max="2" width="28.26953125" customWidth="1"/>
    <col min="4" max="7" width="9.6328125" customWidth="1"/>
    <col min="8" max="17" width="11.08984375" customWidth="1"/>
  </cols>
  <sheetData>
    <row r="1" spans="2:17" ht="18" x14ac:dyDescent="0.35">
      <c r="B1" s="49" t="s">
        <v>206</v>
      </c>
      <c r="C1" s="17"/>
      <c r="D1" s="17"/>
      <c r="E1" s="17"/>
      <c r="F1" s="76"/>
      <c r="G1" s="76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2:17" ht="15.5" x14ac:dyDescent="0.35">
      <c r="B2" s="16"/>
      <c r="C2" s="77"/>
      <c r="D2" s="77"/>
      <c r="E2" s="77"/>
      <c r="F2" s="77"/>
      <c r="G2" s="7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x14ac:dyDescent="0.35">
      <c r="B3" s="27"/>
      <c r="C3" s="230" t="s">
        <v>207</v>
      </c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</row>
    <row r="4" spans="2:17" ht="28" x14ac:dyDescent="0.35">
      <c r="B4" s="28" t="s">
        <v>201</v>
      </c>
      <c r="C4" s="29" t="s">
        <v>83</v>
      </c>
      <c r="D4" s="29" t="s">
        <v>102</v>
      </c>
      <c r="E4" s="29" t="s">
        <v>103</v>
      </c>
      <c r="F4" s="29" t="s">
        <v>104</v>
      </c>
      <c r="G4" s="29" t="s">
        <v>105</v>
      </c>
      <c r="H4" s="30" t="s">
        <v>84</v>
      </c>
      <c r="I4" s="30" t="s">
        <v>85</v>
      </c>
      <c r="J4" s="30" t="s">
        <v>86</v>
      </c>
      <c r="K4" s="30" t="s">
        <v>87</v>
      </c>
      <c r="L4" s="30" t="s">
        <v>88</v>
      </c>
      <c r="M4" s="30" t="s">
        <v>89</v>
      </c>
      <c r="N4" s="30" t="s">
        <v>106</v>
      </c>
      <c r="O4" s="30" t="s">
        <v>107</v>
      </c>
      <c r="P4" s="30" t="s">
        <v>108</v>
      </c>
      <c r="Q4" s="30" t="s">
        <v>109</v>
      </c>
    </row>
    <row r="5" spans="2:17" x14ac:dyDescent="0.35">
      <c r="B5" s="27" t="s">
        <v>199</v>
      </c>
      <c r="C5" s="31">
        <f>-('Revenue Energy &amp; Other'!C5-'Gross Profit Energy &amp; Other'!C5)</f>
        <v>-1333.836</v>
      </c>
      <c r="D5" s="31">
        <f>-('Revenue Energy &amp; Other'!D5-'Gross Profit Energy &amp; Other'!D5)</f>
        <v>-1874.16</v>
      </c>
      <c r="E5" s="31">
        <f>-('Revenue Energy &amp; Other'!E5-'Gross Profit Energy &amp; Other'!E5)</f>
        <v>-2820.15</v>
      </c>
      <c r="F5" s="31">
        <f>-('Revenue Energy &amp; Other'!F5-'Gross Profit Energy &amp; Other'!F5)</f>
        <v>-3785.1</v>
      </c>
      <c r="G5" s="31">
        <f>-('Revenue Energy &amp; Other'!G5-'Gross Profit Energy &amp; Other'!G5)</f>
        <v>-4858.9260000000004</v>
      </c>
      <c r="H5" s="32" t="s">
        <v>98</v>
      </c>
      <c r="I5" s="32" t="s">
        <v>98</v>
      </c>
      <c r="J5" s="32" t="s">
        <v>98</v>
      </c>
      <c r="K5" s="32" t="s">
        <v>98</v>
      </c>
      <c r="L5" s="32" t="s">
        <v>98</v>
      </c>
      <c r="M5" s="32" t="s">
        <v>98</v>
      </c>
      <c r="N5" s="32" t="s">
        <v>98</v>
      </c>
      <c r="O5" s="32" t="s">
        <v>98</v>
      </c>
      <c r="P5" s="32" t="s">
        <v>98</v>
      </c>
      <c r="Q5" s="32" t="s">
        <v>98</v>
      </c>
    </row>
    <row r="6" spans="2:17" x14ac:dyDescent="0.35">
      <c r="B6" s="27" t="s">
        <v>200</v>
      </c>
      <c r="C6" s="31">
        <f>-('Revenue Energy &amp; Other'!C6-'Gross Profit Energy &amp; Other'!C6)</f>
        <v>-2236.5980000000018</v>
      </c>
      <c r="D6" s="31">
        <f>-('Revenue Energy &amp; Other'!D6-'Gross Profit Energy &amp; Other'!D6)</f>
        <v>-2522.880000000001</v>
      </c>
      <c r="E6" s="31">
        <f>-('Revenue Energy &amp; Other'!E6-'Gross Profit Energy &amp; Other'!E6)</f>
        <v>-3767.61</v>
      </c>
      <c r="F6" s="31">
        <f>-('Revenue Energy &amp; Other'!F6-'Gross Profit Energy &amp; Other'!F6)</f>
        <v>-5702.3399999999965</v>
      </c>
      <c r="G6" s="31">
        <f>-('Revenue Energy &amp; Other'!G6-'Gross Profit Energy &amp; Other'!G6)</f>
        <v>-8322.4779999999882</v>
      </c>
      <c r="H6" s="32" t="s">
        <v>98</v>
      </c>
      <c r="I6" s="32" t="s">
        <v>98</v>
      </c>
      <c r="J6" s="32" t="s">
        <v>98</v>
      </c>
      <c r="K6" s="32" t="s">
        <v>98</v>
      </c>
      <c r="L6" s="32" t="s">
        <v>98</v>
      </c>
      <c r="M6" s="32" t="s">
        <v>98</v>
      </c>
      <c r="N6" s="32" t="s">
        <v>98</v>
      </c>
      <c r="O6" s="32" t="s">
        <v>98</v>
      </c>
      <c r="P6" s="32" t="s">
        <v>98</v>
      </c>
      <c r="Q6" s="32" t="s">
        <v>98</v>
      </c>
    </row>
    <row r="7" spans="2:17" ht="15" thickBot="1" x14ac:dyDescent="0.4">
      <c r="B7" s="33" t="s">
        <v>197</v>
      </c>
      <c r="C7" s="107">
        <f>SUM(C5:C6)</f>
        <v>-3570.434000000002</v>
      </c>
      <c r="D7" s="107">
        <f t="shared" ref="D7:G7" si="0">SUM(D5:D6)</f>
        <v>-4397.0400000000009</v>
      </c>
      <c r="E7" s="107">
        <f t="shared" si="0"/>
        <v>-6587.76</v>
      </c>
      <c r="F7" s="107">
        <f t="shared" si="0"/>
        <v>-9487.4399999999969</v>
      </c>
      <c r="G7" s="107">
        <f t="shared" si="0"/>
        <v>-13181.403999999988</v>
      </c>
      <c r="H7" s="107">
        <f>-('Revenue Energy &amp; Other'!H7-'Gross Profit Energy &amp; Other'!H7)</f>
        <v>-16113.699091958444</v>
      </c>
      <c r="I7" s="107">
        <f>-('Revenue Energy &amp; Other'!I7-'Gross Profit Energy &amp; Other'!I7)</f>
        <v>-18530.75395575221</v>
      </c>
      <c r="J7" s="107">
        <f>-('Revenue Energy &amp; Other'!J7-'Gross Profit Energy &amp; Other'!J7)</f>
        <v>-20383.829351327433</v>
      </c>
      <c r="K7" s="107">
        <f>-('Revenue Energy &amp; Other'!K7-'Gross Profit Energy &amp; Other'!K7)</f>
        <v>-22014.535699433625</v>
      </c>
      <c r="L7" s="107">
        <f>-('Revenue Energy &amp; Other'!L7-'Gross Profit Energy &amp; Other'!L7)</f>
        <v>-23335.407841399647</v>
      </c>
      <c r="M7" s="107">
        <f>-('Revenue Energy &amp; Other'!M7-'Gross Profit Energy &amp; Other'!M7)</f>
        <v>-24735.532311883624</v>
      </c>
      <c r="N7" s="107">
        <f>-('Revenue Energy &amp; Other'!N7-'Gross Profit Energy &amp; Other'!N7)</f>
        <v>-26219.664250596641</v>
      </c>
      <c r="O7" s="107">
        <f>-('Revenue Energy &amp; Other'!O7-'Gross Profit Energy &amp; Other'!O7)</f>
        <v>-27792.844105632441</v>
      </c>
      <c r="P7" s="107">
        <f>-('Revenue Energy &amp; Other'!P7-'Gross Profit Energy &amp; Other'!P7)</f>
        <v>-29460.414751970387</v>
      </c>
      <c r="Q7" s="107">
        <f>-('Revenue Energy &amp; Other'!Q7-'Gross Profit Energy &amp; Other'!Q7)</f>
        <v>-31228.039637088608</v>
      </c>
    </row>
    <row r="13" spans="2:17" x14ac:dyDescent="0.35">
      <c r="J13" s="118"/>
    </row>
  </sheetData>
  <mergeCells count="1">
    <mergeCell ref="C3:Q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EA441-9378-44ED-83D7-6D9AB60FB224}">
  <sheetPr>
    <tabColor theme="5" tint="0.39997558519241921"/>
  </sheetPr>
  <dimension ref="C11:K22"/>
  <sheetViews>
    <sheetView showGridLines="0" workbookViewId="0">
      <selection activeCell="F6" sqref="F6"/>
    </sheetView>
  </sheetViews>
  <sheetFormatPr defaultRowHeight="14.5" x14ac:dyDescent="0.35"/>
  <cols>
    <col min="3" max="3" width="12.7265625" customWidth="1"/>
    <col min="4" max="4" width="16.54296875" customWidth="1"/>
    <col min="5" max="5" width="13.08984375" customWidth="1"/>
    <col min="6" max="6" width="15.08984375" customWidth="1"/>
    <col min="7" max="7" width="15.453125" customWidth="1"/>
    <col min="8" max="8" width="15.08984375" customWidth="1"/>
    <col min="9" max="9" width="19.54296875" customWidth="1"/>
    <col min="10" max="10" width="14.26953125" customWidth="1"/>
  </cols>
  <sheetData>
    <row r="11" spans="3:11" x14ac:dyDescent="0.35">
      <c r="C11" s="229" t="s">
        <v>299</v>
      </c>
      <c r="D11" s="229"/>
      <c r="E11" s="229"/>
      <c r="F11" s="229"/>
      <c r="G11" s="229"/>
      <c r="H11" s="229"/>
      <c r="I11" s="229"/>
      <c r="J11" s="229"/>
      <c r="K11" s="229"/>
    </row>
    <row r="12" spans="3:11" x14ac:dyDescent="0.35">
      <c r="C12" s="229"/>
      <c r="D12" s="229"/>
      <c r="E12" s="229"/>
      <c r="F12" s="229"/>
      <c r="G12" s="229"/>
      <c r="H12" s="229"/>
      <c r="I12" s="229"/>
      <c r="J12" s="229"/>
      <c r="K12" s="229"/>
    </row>
    <row r="13" spans="3:11" x14ac:dyDescent="0.35">
      <c r="C13" s="229"/>
      <c r="D13" s="229"/>
      <c r="E13" s="229"/>
      <c r="F13" s="229"/>
      <c r="G13" s="229"/>
      <c r="H13" s="229"/>
      <c r="I13" s="229"/>
      <c r="J13" s="229"/>
      <c r="K13" s="229"/>
    </row>
    <row r="14" spans="3:11" x14ac:dyDescent="0.35">
      <c r="C14" s="229"/>
      <c r="D14" s="229"/>
      <c r="E14" s="229"/>
      <c r="F14" s="229"/>
      <c r="G14" s="229"/>
      <c r="H14" s="229"/>
      <c r="I14" s="229"/>
      <c r="J14" s="229"/>
      <c r="K14" s="229"/>
    </row>
    <row r="15" spans="3:11" x14ac:dyDescent="0.35">
      <c r="C15" s="229"/>
      <c r="D15" s="229"/>
      <c r="E15" s="229"/>
      <c r="F15" s="229"/>
      <c r="G15" s="229"/>
      <c r="H15" s="229"/>
      <c r="I15" s="229"/>
      <c r="J15" s="229"/>
      <c r="K15" s="229"/>
    </row>
    <row r="16" spans="3:11" x14ac:dyDescent="0.35">
      <c r="C16" s="229"/>
      <c r="D16" s="229"/>
      <c r="E16" s="229"/>
      <c r="F16" s="229"/>
      <c r="G16" s="229"/>
      <c r="H16" s="229"/>
      <c r="I16" s="229"/>
      <c r="J16" s="229"/>
      <c r="K16" s="229"/>
    </row>
    <row r="17" spans="3:11" x14ac:dyDescent="0.35">
      <c r="C17" s="229"/>
      <c r="D17" s="229"/>
      <c r="E17" s="229"/>
      <c r="F17" s="229"/>
      <c r="G17" s="229"/>
      <c r="H17" s="229"/>
      <c r="I17" s="229"/>
      <c r="J17" s="229"/>
      <c r="K17" s="229"/>
    </row>
    <row r="18" spans="3:11" x14ac:dyDescent="0.35">
      <c r="C18" s="229"/>
      <c r="D18" s="229"/>
      <c r="E18" s="229"/>
      <c r="F18" s="229"/>
      <c r="G18" s="229"/>
      <c r="H18" s="229"/>
      <c r="I18" s="229"/>
      <c r="J18" s="229"/>
      <c r="K18" s="229"/>
    </row>
    <row r="19" spans="3:11" x14ac:dyDescent="0.35">
      <c r="C19" s="229"/>
      <c r="D19" s="229"/>
      <c r="E19" s="229"/>
      <c r="F19" s="229"/>
      <c r="G19" s="229"/>
      <c r="H19" s="229"/>
      <c r="I19" s="229"/>
      <c r="J19" s="229"/>
      <c r="K19" s="229"/>
    </row>
    <row r="20" spans="3:11" x14ac:dyDescent="0.35">
      <c r="C20" s="229"/>
      <c r="D20" s="229"/>
      <c r="E20" s="229"/>
      <c r="F20" s="229"/>
      <c r="G20" s="229"/>
      <c r="H20" s="229"/>
      <c r="I20" s="229"/>
      <c r="J20" s="229"/>
      <c r="K20" s="229"/>
    </row>
    <row r="21" spans="3:11" x14ac:dyDescent="0.35">
      <c r="C21" s="229"/>
      <c r="D21" s="229"/>
      <c r="E21" s="229"/>
      <c r="F21" s="229"/>
      <c r="G21" s="229"/>
      <c r="H21" s="229"/>
      <c r="I21" s="229"/>
      <c r="J21" s="229"/>
      <c r="K21" s="229"/>
    </row>
    <row r="22" spans="3:11" x14ac:dyDescent="0.35">
      <c r="C22" s="229"/>
      <c r="D22" s="229"/>
      <c r="E22" s="229"/>
      <c r="F22" s="229"/>
      <c r="G22" s="229"/>
      <c r="H22" s="229"/>
      <c r="I22" s="229"/>
      <c r="J22" s="229"/>
      <c r="K22" s="229"/>
    </row>
  </sheetData>
  <mergeCells count="1">
    <mergeCell ref="C11:K2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CC02A-046C-41BF-B935-90568E38125C}">
  <dimension ref="B1:J18"/>
  <sheetViews>
    <sheetView showGridLines="0" workbookViewId="0">
      <selection activeCell="D28" sqref="D28"/>
    </sheetView>
  </sheetViews>
  <sheetFormatPr defaultRowHeight="14.5" x14ac:dyDescent="0.35"/>
  <cols>
    <col min="1" max="1" width="2.90625" customWidth="1"/>
    <col min="2" max="2" width="28.26953125" customWidth="1"/>
    <col min="4" max="7" width="9.6328125" customWidth="1"/>
    <col min="8" max="17" width="11.08984375" customWidth="1"/>
  </cols>
  <sheetData>
    <row r="1" spans="2:10" ht="18" x14ac:dyDescent="0.35">
      <c r="B1" s="49" t="s">
        <v>210</v>
      </c>
      <c r="C1" s="17"/>
      <c r="D1" s="17"/>
    </row>
    <row r="2" spans="2:10" ht="15.5" x14ac:dyDescent="0.35">
      <c r="B2" s="16"/>
      <c r="C2" s="17"/>
      <c r="D2" s="17"/>
    </row>
    <row r="3" spans="2:10" x14ac:dyDescent="0.35">
      <c r="B3" s="40" t="s">
        <v>211</v>
      </c>
      <c r="C3" s="27"/>
      <c r="D3" s="27"/>
    </row>
    <row r="4" spans="2:10" x14ac:dyDescent="0.35">
      <c r="B4" s="27"/>
      <c r="C4" s="27"/>
      <c r="D4" s="27"/>
    </row>
    <row r="5" spans="2:10" x14ac:dyDescent="0.35">
      <c r="B5" s="27"/>
      <c r="C5" s="27"/>
      <c r="D5" s="27"/>
    </row>
    <row r="6" spans="2:10" ht="28.5" x14ac:dyDescent="0.35">
      <c r="B6" s="28" t="s">
        <v>66</v>
      </c>
      <c r="C6" s="42" t="s">
        <v>111</v>
      </c>
      <c r="D6" s="42" t="s">
        <v>112</v>
      </c>
      <c r="J6" s="118"/>
    </row>
    <row r="7" spans="2:10" x14ac:dyDescent="0.35">
      <c r="B7" s="27" t="s">
        <v>113</v>
      </c>
      <c r="C7" s="120">
        <f>9840000/171842000</f>
        <v>5.7261903376357351E-2</v>
      </c>
      <c r="D7" s="104">
        <f>C7</f>
        <v>5.7261903376357351E-2</v>
      </c>
    </row>
    <row r="8" spans="2:10" x14ac:dyDescent="0.35">
      <c r="B8" s="27" t="s">
        <v>114</v>
      </c>
      <c r="C8" s="104">
        <f>10702/176191</f>
        <v>6.0740900500025542E-2</v>
      </c>
      <c r="D8" s="104">
        <f>C8</f>
        <v>6.0740900500025542E-2</v>
      </c>
    </row>
    <row r="9" spans="2:10" x14ac:dyDescent="0.35">
      <c r="B9" s="27" t="s">
        <v>115</v>
      </c>
      <c r="C9" s="104">
        <v>9.3051845415807813E-2</v>
      </c>
      <c r="D9" s="104">
        <f>C9</f>
        <v>9.3051845415807813E-2</v>
      </c>
    </row>
    <row r="10" spans="2:10" x14ac:dyDescent="0.35">
      <c r="B10" s="27" t="s">
        <v>116</v>
      </c>
      <c r="C10" s="104">
        <f>(9233+1055)/111239</f>
        <v>9.2485549132947972E-2</v>
      </c>
      <c r="D10" s="104">
        <f>C10</f>
        <v>9.2485549132947972E-2</v>
      </c>
    </row>
    <row r="11" spans="2:10" x14ac:dyDescent="0.35">
      <c r="B11" s="27" t="s">
        <v>117</v>
      </c>
      <c r="C11" s="35">
        <f>34007/279232</f>
        <v>0.12178761746504699</v>
      </c>
      <c r="D11" s="104">
        <f>C11</f>
        <v>0.12178761746504699</v>
      </c>
    </row>
    <row r="12" spans="2:10" x14ac:dyDescent="0.35">
      <c r="B12" s="44" t="s">
        <v>118</v>
      </c>
      <c r="C12" s="121">
        <v>0.32009294576702002</v>
      </c>
      <c r="D12" s="121"/>
    </row>
    <row r="13" spans="2:10" x14ac:dyDescent="0.35">
      <c r="B13" s="27" t="s">
        <v>119</v>
      </c>
      <c r="C13" s="35">
        <v>0.30660065131342956</v>
      </c>
      <c r="D13" s="104"/>
    </row>
    <row r="14" spans="2:10" x14ac:dyDescent="0.35">
      <c r="B14" s="44" t="s">
        <v>120</v>
      </c>
      <c r="C14" s="121">
        <v>0.22830882192830795</v>
      </c>
      <c r="D14" s="121"/>
    </row>
    <row r="15" spans="2:10" x14ac:dyDescent="0.35">
      <c r="B15" s="27" t="s">
        <v>121</v>
      </c>
      <c r="C15" s="104">
        <v>0.1416</v>
      </c>
      <c r="D15" s="104">
        <f>C15</f>
        <v>0.1416</v>
      </c>
    </row>
    <row r="16" spans="2:10" x14ac:dyDescent="0.35">
      <c r="B16" s="27" t="s">
        <v>122</v>
      </c>
      <c r="C16" s="104">
        <v>6.1800000000000001E-2</v>
      </c>
      <c r="D16" s="104">
        <f>C16</f>
        <v>6.1800000000000001E-2</v>
      </c>
    </row>
    <row r="17" spans="2:4" x14ac:dyDescent="0.35">
      <c r="B17" s="44" t="s">
        <v>123</v>
      </c>
      <c r="C17" s="121">
        <v>4.7942600000000002E-2</v>
      </c>
      <c r="D17" s="121">
        <f>C17</f>
        <v>4.7942600000000002E-2</v>
      </c>
    </row>
    <row r="18" spans="2:4" x14ac:dyDescent="0.35">
      <c r="B18" s="46" t="s">
        <v>111</v>
      </c>
      <c r="C18" s="122">
        <f>AVERAGE(C7:C17)</f>
        <v>0.13924298499081303</v>
      </c>
      <c r="D18" s="122">
        <f>AVERAGE(D7:D17)</f>
        <v>8.4583801986273188E-2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1DF7-F548-40E8-AEDE-485D9DF78650}">
  <dimension ref="B1:Q25"/>
  <sheetViews>
    <sheetView showGridLines="0" workbookViewId="0">
      <selection activeCell="G23" sqref="G23"/>
    </sheetView>
  </sheetViews>
  <sheetFormatPr defaultRowHeight="14.5" x14ac:dyDescent="0.35"/>
  <cols>
    <col min="1" max="1" width="2.90625" customWidth="1"/>
    <col min="2" max="2" width="28.26953125" customWidth="1"/>
    <col min="4" max="7" width="9.6328125" customWidth="1"/>
    <col min="8" max="17" width="11.08984375" customWidth="1"/>
  </cols>
  <sheetData>
    <row r="1" spans="2:17" ht="18" x14ac:dyDescent="0.35">
      <c r="B1" s="49" t="s">
        <v>212</v>
      </c>
      <c r="C1" s="17"/>
      <c r="D1" s="17"/>
      <c r="E1" s="17"/>
      <c r="F1" s="76"/>
      <c r="G1" s="76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2:17" ht="15.5" x14ac:dyDescent="0.35">
      <c r="B2" s="16"/>
      <c r="C2" s="77"/>
      <c r="D2" s="77"/>
      <c r="E2" s="77"/>
      <c r="F2" s="77"/>
      <c r="G2" s="7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x14ac:dyDescent="0.35">
      <c r="B3" s="27"/>
      <c r="C3" s="230" t="s">
        <v>205</v>
      </c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</row>
    <row r="4" spans="2:17" ht="28" x14ac:dyDescent="0.35">
      <c r="B4" s="28" t="s">
        <v>201</v>
      </c>
      <c r="C4" s="29" t="s">
        <v>83</v>
      </c>
      <c r="D4" s="29" t="s">
        <v>102</v>
      </c>
      <c r="E4" s="29" t="s">
        <v>103</v>
      </c>
      <c r="F4" s="29" t="s">
        <v>104</v>
      </c>
      <c r="G4" s="29" t="s">
        <v>105</v>
      </c>
      <c r="H4" s="30" t="s">
        <v>84</v>
      </c>
      <c r="I4" s="30" t="s">
        <v>85</v>
      </c>
      <c r="J4" s="30" t="s">
        <v>86</v>
      </c>
      <c r="K4" s="30" t="s">
        <v>87</v>
      </c>
      <c r="L4" s="30" t="s">
        <v>88</v>
      </c>
      <c r="M4" s="30" t="s">
        <v>89</v>
      </c>
      <c r="N4" s="30" t="s">
        <v>106</v>
      </c>
      <c r="O4" s="30" t="s">
        <v>107</v>
      </c>
      <c r="P4" s="30" t="s">
        <v>108</v>
      </c>
      <c r="Q4" s="30" t="s">
        <v>109</v>
      </c>
    </row>
    <row r="5" spans="2:17" x14ac:dyDescent="0.35">
      <c r="B5" s="27" t="s">
        <v>213</v>
      </c>
      <c r="C5" s="31">
        <f>'P&amp;L Input'!C8</f>
        <v>24578</v>
      </c>
      <c r="D5" s="31">
        <f>'P&amp;L Input'!D8</f>
        <v>31536</v>
      </c>
      <c r="E5" s="31">
        <f>'P&amp;L Input'!E8</f>
        <v>53823</v>
      </c>
      <c r="F5" s="31">
        <f>'P&amp;L Input'!F8</f>
        <v>81462</v>
      </c>
      <c r="G5" s="31">
        <f>'P&amp;L Input'!G8</f>
        <v>96773</v>
      </c>
      <c r="H5" s="32">
        <f>SUM('Revenue automotive'!H11,'Revenue Energy &amp; Other'!H7)</f>
        <v>125193.1580993956</v>
      </c>
      <c r="I5" s="32">
        <f>SUM('Revenue automotive'!I11,'Revenue Energy &amp; Other'!I7)</f>
        <v>139200.78868179786</v>
      </c>
      <c r="J5" s="32">
        <f>SUM('Revenue automotive'!J11,'Revenue Energy &amp; Other'!J7)</f>
        <v>155330.2540320163</v>
      </c>
      <c r="K5" s="32">
        <f>SUM('Revenue automotive'!K11,'Revenue Energy &amp; Other'!K7)</f>
        <v>167668.54797602305</v>
      </c>
      <c r="L5" s="32">
        <f>SUM('Revenue automotive'!L11,'Revenue Energy &amp; Other'!L7)</f>
        <v>180385.37165509097</v>
      </c>
      <c r="M5" s="32">
        <f>SUM('Revenue automotive'!M11,'Revenue Energy &amp; Other'!M7)</f>
        <v>188412.18293659406</v>
      </c>
      <c r="N5" s="32">
        <f>SUM('Revenue automotive'!N11,'Revenue Energy &amp; Other'!N7)</f>
        <v>196799.99881117296</v>
      </c>
      <c r="O5" s="32">
        <f>SUM('Revenue automotive'!O11,'Revenue Energy &amp; Other'!O7)</f>
        <v>205261.1691130852</v>
      </c>
      <c r="P5" s="32">
        <f>SUM('Revenue automotive'!P11,'Revenue Energy &amp; Other'!P7)</f>
        <v>214059.55264344826</v>
      </c>
      <c r="Q5" s="32">
        <f>SUM('Revenue automotive'!Q11,'Revenue Energy &amp; Other'!Q7)</f>
        <v>223245.14772097627</v>
      </c>
    </row>
    <row r="6" spans="2:17" x14ac:dyDescent="0.35">
      <c r="B6" s="27" t="s">
        <v>214</v>
      </c>
      <c r="C6" s="123">
        <f>C7/C5</f>
        <v>-0.16836194971112378</v>
      </c>
      <c r="D6" s="123">
        <f t="shared" ref="D6:G6" si="0">D7/D5</f>
        <v>-0.14700659563673263</v>
      </c>
      <c r="E6" s="123">
        <f t="shared" si="0"/>
        <v>-0.13209965999665571</v>
      </c>
      <c r="F6" s="123">
        <f t="shared" si="0"/>
        <v>-8.6187424811568589E-2</v>
      </c>
      <c r="G6" s="123">
        <f t="shared" si="0"/>
        <v>-9.0614117574116748E-2</v>
      </c>
      <c r="H6" s="124">
        <f>H9</f>
        <v>-8.4583801986273188E-2</v>
      </c>
      <c r="I6" s="124">
        <f t="shared" ref="I6:Q6" si="1">I9</f>
        <v>-8.4583801986273188E-2</v>
      </c>
      <c r="J6" s="124">
        <f t="shared" si="1"/>
        <v>-8.4583801986273188E-2</v>
      </c>
      <c r="K6" s="124">
        <f t="shared" si="1"/>
        <v>-8.4583801986273188E-2</v>
      </c>
      <c r="L6" s="124">
        <f t="shared" si="1"/>
        <v>-8.4583801986273188E-2</v>
      </c>
      <c r="M6" s="124">
        <f t="shared" si="1"/>
        <v>-8.4583801986273188E-2</v>
      </c>
      <c r="N6" s="124">
        <f t="shared" si="1"/>
        <v>-8.4583801986273188E-2</v>
      </c>
      <c r="O6" s="124">
        <f t="shared" si="1"/>
        <v>-8.4583801986273188E-2</v>
      </c>
      <c r="P6" s="124">
        <f t="shared" si="1"/>
        <v>-8.4583801986273188E-2</v>
      </c>
      <c r="Q6" s="124">
        <f t="shared" si="1"/>
        <v>-8.4583801986273188E-2</v>
      </c>
    </row>
    <row r="7" spans="2:17" ht="15" thickBot="1" x14ac:dyDescent="0.4">
      <c r="B7" s="33" t="s">
        <v>212</v>
      </c>
      <c r="C7" s="107">
        <f>SUM('P&amp;L Input'!C14:C16)</f>
        <v>-4138</v>
      </c>
      <c r="D7" s="107">
        <f>SUM('P&amp;L Input'!D14:D16)</f>
        <v>-4636</v>
      </c>
      <c r="E7" s="107">
        <f>SUM('P&amp;L Input'!E14:E16)</f>
        <v>-7110</v>
      </c>
      <c r="F7" s="107">
        <f>SUM('P&amp;L Input'!F14:F16)</f>
        <v>-7021</v>
      </c>
      <c r="G7" s="107">
        <f>SUM('P&amp;L Input'!G14:G16)</f>
        <v>-8769</v>
      </c>
      <c r="H7" s="107">
        <f>H5*H6</f>
        <v>-10589.313294715472</v>
      </c>
      <c r="I7" s="107">
        <f t="shared" ref="I7:Q7" si="2">I5*I6</f>
        <v>-11774.131946194248</v>
      </c>
      <c r="J7" s="107">
        <f t="shared" si="2"/>
        <v>-13138.423449521579</v>
      </c>
      <c r="K7" s="107">
        <f t="shared" si="2"/>
        <v>-14182.04326132988</v>
      </c>
      <c r="L7" s="107">
        <f t="shared" si="2"/>
        <v>-15257.68055729451</v>
      </c>
      <c r="M7" s="107">
        <f t="shared" si="2"/>
        <v>-15936.618773310352</v>
      </c>
      <c r="N7" s="107">
        <f t="shared" si="2"/>
        <v>-16646.092130343051</v>
      </c>
      <c r="O7" s="107">
        <f t="shared" si="2"/>
        <v>-17361.770083732132</v>
      </c>
      <c r="P7" s="107">
        <f t="shared" si="2"/>
        <v>-18105.97081406365</v>
      </c>
      <c r="Q7" s="107">
        <f t="shared" si="2"/>
        <v>-18882.923369227363</v>
      </c>
    </row>
    <row r="8" spans="2:17" x14ac:dyDescent="0.35">
      <c r="B8" s="84" t="s">
        <v>65</v>
      </c>
      <c r="C8" s="106"/>
      <c r="D8" s="106"/>
      <c r="E8" s="106"/>
      <c r="F8" s="106"/>
      <c r="G8" s="106"/>
      <c r="H8" s="108">
        <f>CHOOSE(Drivers!$C$3,H13,H16,H19)</f>
        <v>-8.4583801986273188E-2</v>
      </c>
      <c r="I8" s="106"/>
      <c r="J8" s="106"/>
      <c r="K8" s="106"/>
      <c r="L8" s="106"/>
      <c r="M8" s="106"/>
      <c r="N8" s="106"/>
      <c r="O8" s="106"/>
      <c r="P8" s="106"/>
      <c r="Q8" s="106"/>
    </row>
    <row r="9" spans="2:17" x14ac:dyDescent="0.35">
      <c r="B9" s="44" t="s">
        <v>197</v>
      </c>
      <c r="C9" s="115"/>
      <c r="D9" s="115"/>
      <c r="E9" s="115"/>
      <c r="F9" s="115"/>
      <c r="G9" s="106"/>
      <c r="H9" s="109">
        <f>CHOOSE(Drivers!$C$3,H13,H16,H19)</f>
        <v>-8.4583801986273188E-2</v>
      </c>
      <c r="I9" s="109">
        <f>CHOOSE(Drivers!$C$3,I13,I16,I19)</f>
        <v>-8.4583801986273188E-2</v>
      </c>
      <c r="J9" s="109">
        <f>CHOOSE(Drivers!$C$3,J13,J16,J19)</f>
        <v>-8.4583801986273188E-2</v>
      </c>
      <c r="K9" s="109">
        <f>CHOOSE(Drivers!$C$3,K13,K16,K19)</f>
        <v>-8.4583801986273188E-2</v>
      </c>
      <c r="L9" s="109">
        <f>CHOOSE(Drivers!$C$3,L13,L16,L19)</f>
        <v>-8.4583801986273188E-2</v>
      </c>
      <c r="M9" s="109">
        <f>CHOOSE(Drivers!$C$3,M13,M16,M19)</f>
        <v>-8.4583801986273188E-2</v>
      </c>
      <c r="N9" s="109">
        <f>CHOOSE(Drivers!$C$3,N13,N16,N19)</f>
        <v>-8.4583801986273188E-2</v>
      </c>
      <c r="O9" s="109">
        <f>CHOOSE(Drivers!$C$3,O13,O16,O19)</f>
        <v>-8.4583801986273188E-2</v>
      </c>
      <c r="P9" s="109">
        <f>CHOOSE(Drivers!$C$3,P13,P16,P19)</f>
        <v>-8.4583801986273188E-2</v>
      </c>
      <c r="Q9" s="109">
        <f>CHOOSE(Drivers!$C$3,Q13,Q16,Q19)</f>
        <v>-8.4583801986273188E-2</v>
      </c>
    </row>
    <row r="10" spans="2:17" x14ac:dyDescent="0.35">
      <c r="B10" s="44"/>
      <c r="C10" s="115"/>
      <c r="D10" s="116"/>
      <c r="E10" s="116"/>
      <c r="F10" s="116"/>
      <c r="G10" s="106"/>
      <c r="H10" s="109"/>
      <c r="I10" s="109"/>
      <c r="J10" s="109"/>
      <c r="K10" s="109"/>
      <c r="L10" s="109"/>
      <c r="M10" s="109"/>
      <c r="N10" s="109"/>
      <c r="O10" s="109"/>
      <c r="P10" s="109"/>
      <c r="Q10" s="109"/>
    </row>
    <row r="11" spans="2:17" x14ac:dyDescent="0.35">
      <c r="B11" s="114" t="s">
        <v>198</v>
      </c>
      <c r="C11" s="115"/>
      <c r="D11" s="115"/>
      <c r="E11" s="115"/>
      <c r="F11" s="115"/>
      <c r="G11" s="106"/>
      <c r="H11" s="109"/>
      <c r="I11" s="109"/>
      <c r="J11" s="109"/>
      <c r="K11" s="109"/>
      <c r="L11" s="109"/>
      <c r="M11" s="109"/>
      <c r="N11" s="109"/>
      <c r="O11" s="109"/>
      <c r="P11" s="109"/>
      <c r="Q11" s="109"/>
    </row>
    <row r="12" spans="2:17" x14ac:dyDescent="0.35">
      <c r="B12" s="84" t="s">
        <v>162</v>
      </c>
      <c r="C12" s="115"/>
      <c r="D12" s="115"/>
      <c r="E12" s="115"/>
      <c r="F12" s="115"/>
      <c r="G12" s="106"/>
      <c r="H12" s="109"/>
      <c r="I12" s="109"/>
      <c r="J12" s="109"/>
      <c r="K12" s="109"/>
      <c r="L12" s="109"/>
      <c r="M12" s="109"/>
      <c r="N12" s="109"/>
      <c r="O12" s="109"/>
      <c r="P12" s="109"/>
      <c r="Q12" s="109"/>
    </row>
    <row r="13" spans="2:17" x14ac:dyDescent="0.35">
      <c r="B13" s="44" t="s">
        <v>197</v>
      </c>
      <c r="C13" s="115"/>
      <c r="D13" s="115"/>
      <c r="E13" s="115"/>
      <c r="F13" s="115"/>
      <c r="G13" s="106"/>
      <c r="H13" s="109">
        <f>H16+3.1%</f>
        <v>-5.3583801986273188E-2</v>
      </c>
      <c r="I13" s="109">
        <f t="shared" ref="I13:Q13" si="3">I16+3.1%</f>
        <v>-5.3583801986273188E-2</v>
      </c>
      <c r="J13" s="109">
        <f t="shared" si="3"/>
        <v>-5.3583801986273188E-2</v>
      </c>
      <c r="K13" s="109">
        <f t="shared" si="3"/>
        <v>-5.3583801986273188E-2</v>
      </c>
      <c r="L13" s="109">
        <f t="shared" si="3"/>
        <v>-5.3583801986273188E-2</v>
      </c>
      <c r="M13" s="109">
        <f t="shared" si="3"/>
        <v>-5.3583801986273188E-2</v>
      </c>
      <c r="N13" s="109">
        <f t="shared" si="3"/>
        <v>-5.3583801986273188E-2</v>
      </c>
      <c r="O13" s="109">
        <f t="shared" si="3"/>
        <v>-5.3583801986273188E-2</v>
      </c>
      <c r="P13" s="109">
        <f t="shared" si="3"/>
        <v>-5.3583801986273188E-2</v>
      </c>
      <c r="Q13" s="109">
        <f t="shared" si="3"/>
        <v>-5.3583801986273188E-2</v>
      </c>
    </row>
    <row r="14" spans="2:17" x14ac:dyDescent="0.35">
      <c r="B14" s="44"/>
      <c r="C14" s="115"/>
      <c r="D14" s="115"/>
      <c r="E14" s="115"/>
      <c r="F14" s="115"/>
      <c r="G14" s="106"/>
      <c r="H14" s="115"/>
      <c r="I14" s="106"/>
      <c r="J14" s="106"/>
      <c r="K14" s="106"/>
      <c r="L14" s="106"/>
      <c r="M14" s="106"/>
      <c r="N14" s="106"/>
      <c r="O14" s="106"/>
      <c r="P14" s="106"/>
      <c r="Q14" s="106"/>
    </row>
    <row r="15" spans="2:17" x14ac:dyDescent="0.35">
      <c r="B15" s="84" t="s">
        <v>163</v>
      </c>
      <c r="C15" s="106"/>
      <c r="D15" s="106"/>
      <c r="E15" s="106"/>
      <c r="F15" s="106"/>
      <c r="G15" s="106"/>
      <c r="H15" s="106"/>
      <c r="I15" s="106"/>
      <c r="J15" s="106"/>
      <c r="K15" s="106"/>
      <c r="L15" s="106"/>
      <c r="M15" s="106"/>
      <c r="N15" s="106"/>
      <c r="O15" s="106"/>
      <c r="P15" s="106"/>
      <c r="Q15" s="106"/>
    </row>
    <row r="16" spans="2:17" x14ac:dyDescent="0.35">
      <c r="B16" s="44" t="s">
        <v>197</v>
      </c>
      <c r="C16" s="115"/>
      <c r="D16" s="115"/>
      <c r="E16" s="115"/>
      <c r="F16" s="115"/>
      <c r="G16" s="115"/>
      <c r="H16" s="106">
        <f>-'Opex comparables'!$D$18</f>
        <v>-8.4583801986273188E-2</v>
      </c>
      <c r="I16" s="106">
        <f>-'Opex comparables'!$D$18</f>
        <v>-8.4583801986273188E-2</v>
      </c>
      <c r="J16" s="106">
        <f>-'Opex comparables'!$D$18</f>
        <v>-8.4583801986273188E-2</v>
      </c>
      <c r="K16" s="106">
        <f>-'Opex comparables'!$D$18</f>
        <v>-8.4583801986273188E-2</v>
      </c>
      <c r="L16" s="106">
        <f>-'Opex comparables'!$D$18</f>
        <v>-8.4583801986273188E-2</v>
      </c>
      <c r="M16" s="106">
        <f>-'Opex comparables'!$D$18</f>
        <v>-8.4583801986273188E-2</v>
      </c>
      <c r="N16" s="106">
        <f>-'Opex comparables'!$D$18</f>
        <v>-8.4583801986273188E-2</v>
      </c>
      <c r="O16" s="106">
        <f>-'Opex comparables'!$D$18</f>
        <v>-8.4583801986273188E-2</v>
      </c>
      <c r="P16" s="106">
        <f>-'Opex comparables'!$D$18</f>
        <v>-8.4583801986273188E-2</v>
      </c>
      <c r="Q16" s="106">
        <f>-'Opex comparables'!$D$18</f>
        <v>-8.4583801986273188E-2</v>
      </c>
    </row>
    <row r="17" spans="2:17" x14ac:dyDescent="0.35">
      <c r="B17" s="44"/>
      <c r="C17" s="115"/>
      <c r="D17" s="115"/>
      <c r="E17" s="115"/>
      <c r="F17" s="115"/>
      <c r="G17" s="106"/>
      <c r="H17" s="115"/>
      <c r="I17" s="106"/>
      <c r="J17" s="106"/>
      <c r="K17" s="106"/>
      <c r="L17" s="106"/>
      <c r="M17" s="106"/>
      <c r="N17" s="106"/>
      <c r="O17" s="106"/>
      <c r="P17" s="106"/>
      <c r="Q17" s="106"/>
    </row>
    <row r="18" spans="2:17" x14ac:dyDescent="0.35">
      <c r="B18" s="84" t="s">
        <v>164</v>
      </c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</row>
    <row r="19" spans="2:17" x14ac:dyDescent="0.35">
      <c r="B19" s="44" t="s">
        <v>197</v>
      </c>
      <c r="C19" s="115"/>
      <c r="D19" s="115"/>
      <c r="E19" s="115"/>
      <c r="F19" s="115"/>
      <c r="G19" s="106"/>
      <c r="H19" s="106">
        <f>H16-3.1%</f>
        <v>-0.11558380198627319</v>
      </c>
      <c r="I19" s="106">
        <f t="shared" ref="I19:Q19" si="4">I16-3.1%</f>
        <v>-0.11558380198627319</v>
      </c>
      <c r="J19" s="106">
        <f t="shared" si="4"/>
        <v>-0.11558380198627319</v>
      </c>
      <c r="K19" s="106">
        <f t="shared" si="4"/>
        <v>-0.11558380198627319</v>
      </c>
      <c r="L19" s="106">
        <f t="shared" si="4"/>
        <v>-0.11558380198627319</v>
      </c>
      <c r="M19" s="106">
        <f t="shared" si="4"/>
        <v>-0.11558380198627319</v>
      </c>
      <c r="N19" s="106">
        <f t="shared" si="4"/>
        <v>-0.11558380198627319</v>
      </c>
      <c r="O19" s="106">
        <f t="shared" si="4"/>
        <v>-0.11558380198627319</v>
      </c>
      <c r="P19" s="106">
        <f t="shared" si="4"/>
        <v>-0.11558380198627319</v>
      </c>
      <c r="Q19" s="106">
        <f t="shared" si="4"/>
        <v>-0.11558380198627319</v>
      </c>
    </row>
    <row r="25" spans="2:17" x14ac:dyDescent="0.35">
      <c r="J25" s="118"/>
    </row>
  </sheetData>
  <mergeCells count="1">
    <mergeCell ref="C3:Q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99E20-A806-45D7-A5A9-3D821347F807}">
  <sheetPr>
    <tabColor theme="5" tint="-0.249977111117893"/>
  </sheetPr>
  <dimension ref="C11:K22"/>
  <sheetViews>
    <sheetView showGridLines="0" topLeftCell="B1" workbookViewId="0">
      <selection activeCell="C23" sqref="C23"/>
    </sheetView>
  </sheetViews>
  <sheetFormatPr defaultRowHeight="14.5" x14ac:dyDescent="0.35"/>
  <cols>
    <col min="3" max="3" width="11.54296875" customWidth="1"/>
    <col min="5" max="5" width="13.08984375" customWidth="1"/>
    <col min="6" max="6" width="13.81640625" customWidth="1"/>
    <col min="7" max="7" width="15.81640625" customWidth="1"/>
    <col min="9" max="9" width="12.26953125" customWidth="1"/>
    <col min="10" max="10" width="9.81640625" customWidth="1"/>
  </cols>
  <sheetData>
    <row r="11" spans="3:11" x14ac:dyDescent="0.35">
      <c r="C11" s="229" t="s">
        <v>216</v>
      </c>
      <c r="D11" s="229"/>
      <c r="E11" s="229"/>
      <c r="F11" s="229"/>
      <c r="G11" s="229"/>
      <c r="H11" s="229"/>
      <c r="I11" s="229"/>
      <c r="J11" s="229"/>
      <c r="K11" s="229"/>
    </row>
    <row r="12" spans="3:11" x14ac:dyDescent="0.35">
      <c r="C12" s="229"/>
      <c r="D12" s="229"/>
      <c r="E12" s="229"/>
      <c r="F12" s="229"/>
      <c r="G12" s="229"/>
      <c r="H12" s="229"/>
      <c r="I12" s="229"/>
      <c r="J12" s="229"/>
      <c r="K12" s="229"/>
    </row>
    <row r="13" spans="3:11" x14ac:dyDescent="0.35">
      <c r="C13" s="229"/>
      <c r="D13" s="229"/>
      <c r="E13" s="229"/>
      <c r="F13" s="229"/>
      <c r="G13" s="229"/>
      <c r="H13" s="229"/>
      <c r="I13" s="229"/>
      <c r="J13" s="229"/>
      <c r="K13" s="229"/>
    </row>
    <row r="14" spans="3:11" x14ac:dyDescent="0.35">
      <c r="C14" s="229"/>
      <c r="D14" s="229"/>
      <c r="E14" s="229"/>
      <c r="F14" s="229"/>
      <c r="G14" s="229"/>
      <c r="H14" s="229"/>
      <c r="I14" s="229"/>
      <c r="J14" s="229"/>
      <c r="K14" s="229"/>
    </row>
    <row r="15" spans="3:11" x14ac:dyDescent="0.35">
      <c r="C15" s="229"/>
      <c r="D15" s="229"/>
      <c r="E15" s="229"/>
      <c r="F15" s="229"/>
      <c r="G15" s="229"/>
      <c r="H15" s="229"/>
      <c r="I15" s="229"/>
      <c r="J15" s="229"/>
      <c r="K15" s="229"/>
    </row>
    <row r="16" spans="3:11" x14ac:dyDescent="0.35">
      <c r="C16" s="229"/>
      <c r="D16" s="229"/>
      <c r="E16" s="229"/>
      <c r="F16" s="229"/>
      <c r="G16" s="229"/>
      <c r="H16" s="229"/>
      <c r="I16" s="229"/>
      <c r="J16" s="229"/>
      <c r="K16" s="229"/>
    </row>
    <row r="17" spans="3:11" x14ac:dyDescent="0.35">
      <c r="C17" s="229"/>
      <c r="D17" s="229"/>
      <c r="E17" s="229"/>
      <c r="F17" s="229"/>
      <c r="G17" s="229"/>
      <c r="H17" s="229"/>
      <c r="I17" s="229"/>
      <c r="J17" s="229"/>
      <c r="K17" s="229"/>
    </row>
    <row r="18" spans="3:11" x14ac:dyDescent="0.35">
      <c r="C18" s="229"/>
      <c r="D18" s="229"/>
      <c r="E18" s="229"/>
      <c r="F18" s="229"/>
      <c r="G18" s="229"/>
      <c r="H18" s="229"/>
      <c r="I18" s="229"/>
      <c r="J18" s="229"/>
      <c r="K18" s="229"/>
    </row>
    <row r="19" spans="3:11" x14ac:dyDescent="0.35">
      <c r="C19" s="229"/>
      <c r="D19" s="229"/>
      <c r="E19" s="229"/>
      <c r="F19" s="229"/>
      <c r="G19" s="229"/>
      <c r="H19" s="229"/>
      <c r="I19" s="229"/>
      <c r="J19" s="229"/>
      <c r="K19" s="229"/>
    </row>
    <row r="20" spans="3:11" x14ac:dyDescent="0.35">
      <c r="C20" s="229"/>
      <c r="D20" s="229"/>
      <c r="E20" s="229"/>
      <c r="F20" s="229"/>
      <c r="G20" s="229"/>
      <c r="H20" s="229"/>
      <c r="I20" s="229"/>
      <c r="J20" s="229"/>
      <c r="K20" s="229"/>
    </row>
    <row r="21" spans="3:11" x14ac:dyDescent="0.35">
      <c r="C21" s="229"/>
      <c r="D21" s="229"/>
      <c r="E21" s="229"/>
      <c r="F21" s="229"/>
      <c r="G21" s="229"/>
      <c r="H21" s="229"/>
      <c r="I21" s="229"/>
      <c r="J21" s="229"/>
      <c r="K21" s="229"/>
    </row>
    <row r="22" spans="3:11" x14ac:dyDescent="0.35">
      <c r="C22" s="229"/>
      <c r="D22" s="229"/>
      <c r="E22" s="229"/>
      <c r="F22" s="229"/>
      <c r="G22" s="229"/>
      <c r="H22" s="229"/>
      <c r="I22" s="229"/>
      <c r="J22" s="229"/>
      <c r="K22" s="229"/>
    </row>
  </sheetData>
  <mergeCells count="1">
    <mergeCell ref="C11:K2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C36F3-9C61-473E-A0F0-DD17073C9E7F}">
  <sheetPr>
    <tabColor theme="5" tint="0.39997558519241921"/>
  </sheetPr>
  <dimension ref="C11:K22"/>
  <sheetViews>
    <sheetView showGridLines="0" workbookViewId="0">
      <selection activeCell="C23" sqref="C23"/>
    </sheetView>
  </sheetViews>
  <sheetFormatPr defaultRowHeight="14.5" x14ac:dyDescent="0.35"/>
  <cols>
    <col min="3" max="3" width="11.54296875" customWidth="1"/>
    <col min="5" max="5" width="13.08984375" customWidth="1"/>
    <col min="6" max="6" width="9.08984375" customWidth="1"/>
    <col min="7" max="7" width="8.26953125" customWidth="1"/>
    <col min="9" max="9" width="9" customWidth="1"/>
    <col min="10" max="10" width="8.7265625" customWidth="1"/>
    <col min="11" max="11" width="6.81640625" customWidth="1"/>
  </cols>
  <sheetData>
    <row r="11" spans="3:11" x14ac:dyDescent="0.35">
      <c r="C11" s="229" t="s">
        <v>215</v>
      </c>
      <c r="D11" s="229"/>
      <c r="E11" s="229"/>
      <c r="F11" s="229"/>
      <c r="G11" s="229"/>
      <c r="H11" s="229"/>
      <c r="I11" s="229"/>
      <c r="J11" s="229"/>
      <c r="K11" s="229"/>
    </row>
    <row r="12" spans="3:11" x14ac:dyDescent="0.35">
      <c r="C12" s="229"/>
      <c r="D12" s="229"/>
      <c r="E12" s="229"/>
      <c r="F12" s="229"/>
      <c r="G12" s="229"/>
      <c r="H12" s="229"/>
      <c r="I12" s="229"/>
      <c r="J12" s="229"/>
      <c r="K12" s="229"/>
    </row>
    <row r="13" spans="3:11" x14ac:dyDescent="0.35">
      <c r="C13" s="229"/>
      <c r="D13" s="229"/>
      <c r="E13" s="229"/>
      <c r="F13" s="229"/>
      <c r="G13" s="229"/>
      <c r="H13" s="229"/>
      <c r="I13" s="229"/>
      <c r="J13" s="229"/>
      <c r="K13" s="229"/>
    </row>
    <row r="14" spans="3:11" x14ac:dyDescent="0.35">
      <c r="C14" s="229"/>
      <c r="D14" s="229"/>
      <c r="E14" s="229"/>
      <c r="F14" s="229"/>
      <c r="G14" s="229"/>
      <c r="H14" s="229"/>
      <c r="I14" s="229"/>
      <c r="J14" s="229"/>
      <c r="K14" s="229"/>
    </row>
    <row r="15" spans="3:11" x14ac:dyDescent="0.35">
      <c r="C15" s="229"/>
      <c r="D15" s="229"/>
      <c r="E15" s="229"/>
      <c r="F15" s="229"/>
      <c r="G15" s="229"/>
      <c r="H15" s="229"/>
      <c r="I15" s="229"/>
      <c r="J15" s="229"/>
      <c r="K15" s="229"/>
    </row>
    <row r="16" spans="3:11" x14ac:dyDescent="0.35">
      <c r="C16" s="229"/>
      <c r="D16" s="229"/>
      <c r="E16" s="229"/>
      <c r="F16" s="229"/>
      <c r="G16" s="229"/>
      <c r="H16" s="229"/>
      <c r="I16" s="229"/>
      <c r="J16" s="229"/>
      <c r="K16" s="229"/>
    </row>
    <row r="17" spans="3:11" x14ac:dyDescent="0.35">
      <c r="C17" s="229"/>
      <c r="D17" s="229"/>
      <c r="E17" s="229"/>
      <c r="F17" s="229"/>
      <c r="G17" s="229"/>
      <c r="H17" s="229"/>
      <c r="I17" s="229"/>
      <c r="J17" s="229"/>
      <c r="K17" s="229"/>
    </row>
    <row r="18" spans="3:11" x14ac:dyDescent="0.35">
      <c r="C18" s="229"/>
      <c r="D18" s="229"/>
      <c r="E18" s="229"/>
      <c r="F18" s="229"/>
      <c r="G18" s="229"/>
      <c r="H18" s="229"/>
      <c r="I18" s="229"/>
      <c r="J18" s="229"/>
      <c r="K18" s="229"/>
    </row>
    <row r="19" spans="3:11" x14ac:dyDescent="0.35">
      <c r="C19" s="229"/>
      <c r="D19" s="229"/>
      <c r="E19" s="229"/>
      <c r="F19" s="229"/>
      <c r="G19" s="229"/>
      <c r="H19" s="229"/>
      <c r="I19" s="229"/>
      <c r="J19" s="229"/>
      <c r="K19" s="229"/>
    </row>
    <row r="20" spans="3:11" x14ac:dyDescent="0.35">
      <c r="C20" s="229"/>
      <c r="D20" s="229"/>
      <c r="E20" s="229"/>
      <c r="F20" s="229"/>
      <c r="G20" s="229"/>
      <c r="H20" s="229"/>
      <c r="I20" s="229"/>
      <c r="J20" s="229"/>
      <c r="K20" s="229"/>
    </row>
    <row r="21" spans="3:11" x14ac:dyDescent="0.35">
      <c r="C21" s="229"/>
      <c r="D21" s="229"/>
      <c r="E21" s="229"/>
      <c r="F21" s="229"/>
      <c r="G21" s="229"/>
      <c r="H21" s="229"/>
      <c r="I21" s="229"/>
      <c r="J21" s="229"/>
      <c r="K21" s="229"/>
    </row>
    <row r="22" spans="3:11" x14ac:dyDescent="0.35">
      <c r="C22" s="229"/>
      <c r="D22" s="229"/>
      <c r="E22" s="229"/>
      <c r="F22" s="229"/>
      <c r="G22" s="229"/>
      <c r="H22" s="229"/>
      <c r="I22" s="229"/>
      <c r="J22" s="229"/>
      <c r="K22" s="229"/>
    </row>
  </sheetData>
  <mergeCells count="1">
    <mergeCell ref="C11:K2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B442-9FDE-4A2D-80A5-7C3B08A18E43}">
  <dimension ref="B1:Q47"/>
  <sheetViews>
    <sheetView showGridLines="0" workbookViewId="0">
      <selection activeCell="C7" sqref="C7"/>
    </sheetView>
  </sheetViews>
  <sheetFormatPr defaultRowHeight="14.5" x14ac:dyDescent="0.35"/>
  <cols>
    <col min="1" max="1" width="2.90625" customWidth="1"/>
    <col min="2" max="2" width="35.26953125" customWidth="1"/>
    <col min="3" max="3" width="10.36328125" bestFit="1" customWidth="1"/>
    <col min="4" max="7" width="9.6328125" customWidth="1"/>
    <col min="8" max="17" width="11.08984375" customWidth="1"/>
  </cols>
  <sheetData>
    <row r="1" spans="2:17" ht="18" x14ac:dyDescent="0.35">
      <c r="B1" s="49" t="s">
        <v>217</v>
      </c>
      <c r="C1" s="17"/>
      <c r="D1" s="17"/>
      <c r="E1" s="17"/>
      <c r="F1" s="76"/>
      <c r="G1" s="76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2:17" ht="15.5" x14ac:dyDescent="0.35">
      <c r="B2" s="16"/>
      <c r="C2" s="77"/>
      <c r="D2" s="77"/>
      <c r="E2" s="77"/>
      <c r="F2" s="77"/>
      <c r="G2" s="7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ht="15.5" x14ac:dyDescent="0.35">
      <c r="B3" s="128" t="str">
        <f>"Selected case: " &amp; CHOOSE($C$3,"as a % of PPE","as a % of revenue")</f>
        <v>Selected case: as a % of PPE</v>
      </c>
      <c r="C3" s="129">
        <v>1</v>
      </c>
      <c r="D3" s="77"/>
      <c r="E3" s="77"/>
      <c r="F3" s="77"/>
      <c r="G3" s="7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7" ht="4" customHeight="1" x14ac:dyDescent="0.35">
      <c r="B4" s="16"/>
      <c r="C4" s="77"/>
      <c r="D4" s="77"/>
      <c r="E4" s="77"/>
      <c r="F4" s="77"/>
      <c r="G4" s="7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2:17" x14ac:dyDescent="0.35">
      <c r="B5" s="27"/>
      <c r="C5" s="230" t="s">
        <v>232</v>
      </c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</row>
    <row r="6" spans="2:17" ht="28" x14ac:dyDescent="0.35">
      <c r="B6" s="28" t="s">
        <v>201</v>
      </c>
      <c r="C6" s="29" t="s">
        <v>83</v>
      </c>
      <c r="D6" s="29" t="s">
        <v>102</v>
      </c>
      <c r="E6" s="29" t="s">
        <v>103</v>
      </c>
      <c r="F6" s="29" t="s">
        <v>104</v>
      </c>
      <c r="G6" s="29" t="s">
        <v>105</v>
      </c>
      <c r="H6" s="30" t="s">
        <v>84</v>
      </c>
      <c r="I6" s="30" t="s">
        <v>85</v>
      </c>
      <c r="J6" s="30" t="s">
        <v>86</v>
      </c>
      <c r="K6" s="30" t="s">
        <v>87</v>
      </c>
      <c r="L6" s="30" t="s">
        <v>88</v>
      </c>
      <c r="M6" s="30" t="s">
        <v>89</v>
      </c>
      <c r="N6" s="30" t="s">
        <v>106</v>
      </c>
      <c r="O6" s="30" t="s">
        <v>107</v>
      </c>
      <c r="P6" s="30" t="s">
        <v>108</v>
      </c>
      <c r="Q6" s="30" t="s">
        <v>109</v>
      </c>
    </row>
    <row r="7" spans="2:17" x14ac:dyDescent="0.35">
      <c r="B7" s="27" t="s">
        <v>220</v>
      </c>
      <c r="C7" s="31">
        <v>11330</v>
      </c>
      <c r="D7" s="31">
        <f>C10</f>
        <v>10396</v>
      </c>
      <c r="E7" s="31">
        <f t="shared" ref="E7:Q7" si="0">D10</f>
        <v>12747.000000000002</v>
      </c>
      <c r="F7" s="31">
        <f t="shared" si="0"/>
        <v>18884</v>
      </c>
      <c r="G7" s="31">
        <f t="shared" si="0"/>
        <v>23547.999999999996</v>
      </c>
      <c r="H7" s="32">
        <f t="shared" si="0"/>
        <v>29725</v>
      </c>
      <c r="I7" s="32">
        <f t="shared" si="0"/>
        <v>33295.464123473575</v>
      </c>
      <c r="J7" s="32">
        <f t="shared" si="0"/>
        <v>37843.166559059326</v>
      </c>
      <c r="K7" s="32">
        <f t="shared" si="0"/>
        <v>42430.132490305805</v>
      </c>
      <c r="L7" s="32">
        <f t="shared" si="0"/>
        <v>46725.567344990202</v>
      </c>
      <c r="M7" s="32">
        <f t="shared" si="0"/>
        <v>50670.675104000271</v>
      </c>
      <c r="N7" s="32">
        <f t="shared" si="0"/>
        <v>53903.873097544478</v>
      </c>
      <c r="O7" s="32">
        <f t="shared" si="0"/>
        <v>56393.709383076814</v>
      </c>
      <c r="P7" s="32">
        <f t="shared" si="0"/>
        <v>58089.313187678999</v>
      </c>
      <c r="Q7" s="32">
        <f t="shared" si="0"/>
        <v>58954.963632273211</v>
      </c>
    </row>
    <row r="8" spans="2:17" x14ac:dyDescent="0.35">
      <c r="B8" s="27" t="s">
        <v>219</v>
      </c>
      <c r="C8" s="31">
        <v>1220</v>
      </c>
      <c r="D8" s="31">
        <v>4673.0000000000018</v>
      </c>
      <c r="E8" s="31">
        <v>9048</v>
      </c>
      <c r="F8" s="31">
        <v>8410.9999999999964</v>
      </c>
      <c r="G8" s="31">
        <v>10844</v>
      </c>
      <c r="H8" s="32">
        <f>IF(C3=1,H7*H31,('Revenue automotive'!H11+'Revenue Energy &amp; Other'!H7)*'PP&amp;E'!H32)</f>
        <v>7269.9601371928566</v>
      </c>
      <c r="I8" s="32">
        <f>IF(D3=1,I7*I31,('Revenue automotive'!I11+'Revenue Energy &amp; Other'!I7)*'PP&amp;E'!I32)</f>
        <v>9163.5538325611487</v>
      </c>
      <c r="J8" s="32">
        <f>IF(E3=1,J7*J31,('Revenue automotive'!J11+'Revenue Energy &amp; Other'!J7)*'PP&amp;E'!J32)</f>
        <v>10225.352586913201</v>
      </c>
      <c r="K8" s="32">
        <f>IF(F3=1,K7*K31,('Revenue automotive'!K11+'Revenue Energy &amp; Other'!K7)*'PP&amp;E'!K32)</f>
        <v>11037.579455945686</v>
      </c>
      <c r="L8" s="32">
        <f>IF(G3=1,L7*L31,('Revenue automotive'!L11+'Revenue Energy &amp; Other'!L7)*'PP&amp;E'!L32)</f>
        <v>11874.724844745951</v>
      </c>
      <c r="M8" s="32">
        <f>IF(H3=1,M7*M31,('Revenue automotive'!M11+'Revenue Energy &amp; Other'!M7)*'PP&amp;E'!M32)</f>
        <v>12403.127865866769</v>
      </c>
      <c r="N8" s="32">
        <f>IF(I3=1,N7*N31,('Revenue automotive'!N11+'Revenue Energy &amp; Other'!N7)*'PP&amp;E'!N32)</f>
        <v>12955.295730949889</v>
      </c>
      <c r="O8" s="32">
        <f>IF(J3=1,O7*O31,('Revenue automotive'!O11+'Revenue Energy &amp; Other'!O7)*'PP&amp;E'!O32)</f>
        <v>13512.292500021924</v>
      </c>
      <c r="P8" s="32">
        <f>IF(K3=1,P7*P31,('Revenue automotive'!P11+'Revenue Energy &amp; Other'!P7)*'PP&amp;E'!P32)</f>
        <v>14091.487933348832</v>
      </c>
      <c r="Q8" s="32">
        <f>IF(L3=1,Q7*Q31,('Revenue automotive'!Q11+'Revenue Energy &amp; Other'!Q7)*'PP&amp;E'!Q32)</f>
        <v>14696.173408008381</v>
      </c>
    </row>
    <row r="9" spans="2:17" x14ac:dyDescent="0.35">
      <c r="B9" s="27" t="s">
        <v>218</v>
      </c>
      <c r="C9" s="127">
        <v>-2154</v>
      </c>
      <c r="D9" s="127">
        <v>-2322</v>
      </c>
      <c r="E9" s="127">
        <v>-2911</v>
      </c>
      <c r="F9" s="127">
        <v>-3747</v>
      </c>
      <c r="G9" s="127">
        <v>-4667</v>
      </c>
      <c r="H9" s="32">
        <f>H28</f>
        <v>-3699.4960137192857</v>
      </c>
      <c r="I9" s="32">
        <f t="shared" ref="I9:Q9" si="1">I28</f>
        <v>-4615.8513969754003</v>
      </c>
      <c r="J9" s="32">
        <f t="shared" si="1"/>
        <v>-5638.3866556667208</v>
      </c>
      <c r="K9" s="32">
        <f t="shared" si="1"/>
        <v>-6742.1446012612896</v>
      </c>
      <c r="L9" s="32">
        <f t="shared" si="1"/>
        <v>-7929.6170857358848</v>
      </c>
      <c r="M9" s="32">
        <f t="shared" si="1"/>
        <v>-9169.929872322562</v>
      </c>
      <c r="N9" s="32">
        <f t="shared" si="1"/>
        <v>-10465.459445417551</v>
      </c>
      <c r="O9" s="32">
        <f t="shared" si="1"/>
        <v>-11816.688695419743</v>
      </c>
      <c r="P9" s="32">
        <f t="shared" si="1"/>
        <v>-13225.837488754627</v>
      </c>
      <c r="Q9" s="32">
        <f t="shared" si="1"/>
        <v>-14695.454829555465</v>
      </c>
    </row>
    <row r="10" spans="2:17" ht="15" thickBot="1" x14ac:dyDescent="0.4">
      <c r="B10" s="33" t="s">
        <v>221</v>
      </c>
      <c r="C10" s="125">
        <f>SUM(C7:C9)</f>
        <v>10396</v>
      </c>
      <c r="D10" s="125">
        <f t="shared" ref="D10:G10" si="2">SUM(D7:D9)</f>
        <v>12747.000000000002</v>
      </c>
      <c r="E10" s="125">
        <f t="shared" si="2"/>
        <v>18884</v>
      </c>
      <c r="F10" s="125">
        <f t="shared" si="2"/>
        <v>23547.999999999996</v>
      </c>
      <c r="G10" s="125">
        <f t="shared" si="2"/>
        <v>29725</v>
      </c>
      <c r="H10" s="107">
        <f>SUM(H7:H9)</f>
        <v>33295.464123473575</v>
      </c>
      <c r="I10" s="107">
        <f t="shared" ref="I10:Q10" si="3">SUM(I7:I9)</f>
        <v>37843.166559059326</v>
      </c>
      <c r="J10" s="107">
        <f t="shared" si="3"/>
        <v>42430.132490305805</v>
      </c>
      <c r="K10" s="107">
        <f t="shared" si="3"/>
        <v>46725.567344990202</v>
      </c>
      <c r="L10" s="107">
        <f t="shared" si="3"/>
        <v>50670.675104000271</v>
      </c>
      <c r="M10" s="107">
        <f t="shared" si="3"/>
        <v>53903.873097544478</v>
      </c>
      <c r="N10" s="107">
        <f t="shared" si="3"/>
        <v>56393.709383076814</v>
      </c>
      <c r="O10" s="107">
        <f t="shared" si="3"/>
        <v>58089.313187678999</v>
      </c>
      <c r="P10" s="107">
        <f t="shared" si="3"/>
        <v>58954.963632273211</v>
      </c>
      <c r="Q10" s="107">
        <f t="shared" si="3"/>
        <v>58955.682210726132</v>
      </c>
    </row>
    <row r="11" spans="2:17" x14ac:dyDescent="0.35">
      <c r="B11" s="130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6"/>
    </row>
    <row r="12" spans="2:17" s="27" customFormat="1" ht="14" x14ac:dyDescent="0.35">
      <c r="B12" s="27" t="s">
        <v>223</v>
      </c>
      <c r="C12" s="27">
        <v>10</v>
      </c>
    </row>
    <row r="13" spans="2:17" s="27" customFormat="1" ht="14" x14ac:dyDescent="0.35">
      <c r="B13" s="27" t="s">
        <v>222</v>
      </c>
      <c r="C13" s="27">
        <v>10</v>
      </c>
    </row>
    <row r="14" spans="2:17" x14ac:dyDescent="0.35">
      <c r="B14" s="130"/>
      <c r="C14" s="126"/>
      <c r="D14" s="126"/>
      <c r="E14" s="126"/>
      <c r="F14" s="126"/>
      <c r="G14" s="126"/>
      <c r="H14" s="126"/>
      <c r="I14" s="126"/>
      <c r="J14" s="126"/>
      <c r="K14" s="126"/>
      <c r="L14" s="126"/>
      <c r="M14" s="126"/>
      <c r="N14" s="126"/>
      <c r="O14" s="126"/>
      <c r="P14" s="126"/>
      <c r="Q14" s="126"/>
    </row>
    <row r="15" spans="2:17" x14ac:dyDescent="0.35">
      <c r="B15" s="27"/>
      <c r="C15" s="230" t="s">
        <v>233</v>
      </c>
      <c r="D15" s="230"/>
      <c r="E15" s="230"/>
      <c r="F15" s="230"/>
      <c r="G15" s="230"/>
      <c r="H15" s="230"/>
      <c r="I15" s="230"/>
      <c r="J15" s="230"/>
      <c r="K15" s="230"/>
      <c r="L15" s="230"/>
      <c r="M15" s="230"/>
      <c r="N15" s="230"/>
      <c r="O15" s="230"/>
      <c r="P15" s="230"/>
      <c r="Q15" s="230"/>
    </row>
    <row r="16" spans="2:17" ht="28" x14ac:dyDescent="0.35">
      <c r="B16" s="28" t="s">
        <v>201</v>
      </c>
      <c r="C16" s="29" t="s">
        <v>83</v>
      </c>
      <c r="D16" s="29" t="s">
        <v>102</v>
      </c>
      <c r="E16" s="29" t="s">
        <v>103</v>
      </c>
      <c r="F16" s="29" t="s">
        <v>104</v>
      </c>
      <c r="G16" s="29" t="s">
        <v>105</v>
      </c>
      <c r="H16" s="30" t="s">
        <v>84</v>
      </c>
      <c r="I16" s="30" t="s">
        <v>85</v>
      </c>
      <c r="J16" s="30" t="s">
        <v>86</v>
      </c>
      <c r="K16" s="30" t="s">
        <v>87</v>
      </c>
      <c r="L16" s="30" t="s">
        <v>88</v>
      </c>
      <c r="M16" s="30" t="s">
        <v>89</v>
      </c>
      <c r="N16" s="30" t="s">
        <v>106</v>
      </c>
      <c r="O16" s="30" t="s">
        <v>107</v>
      </c>
      <c r="P16" s="30" t="s">
        <v>108</v>
      </c>
      <c r="Q16" s="30" t="s">
        <v>109</v>
      </c>
    </row>
    <row r="17" spans="2:17" x14ac:dyDescent="0.35">
      <c r="B17" s="64"/>
      <c r="C17" s="131"/>
      <c r="D17" s="131"/>
      <c r="E17" s="131"/>
      <c r="F17" s="131"/>
      <c r="G17" s="131"/>
      <c r="H17" s="131">
        <f>-$H$7/$C$12</f>
        <v>-2972.5</v>
      </c>
      <c r="I17" s="131">
        <f t="shared" ref="I17:Q17" si="4">-$H$7/$C$12</f>
        <v>-2972.5</v>
      </c>
      <c r="J17" s="131">
        <f t="shared" si="4"/>
        <v>-2972.5</v>
      </c>
      <c r="K17" s="131">
        <f t="shared" si="4"/>
        <v>-2972.5</v>
      </c>
      <c r="L17" s="131">
        <f t="shared" si="4"/>
        <v>-2972.5</v>
      </c>
      <c r="M17" s="131">
        <f t="shared" si="4"/>
        <v>-2972.5</v>
      </c>
      <c r="N17" s="131">
        <f t="shared" si="4"/>
        <v>-2972.5</v>
      </c>
      <c r="O17" s="131">
        <f t="shared" si="4"/>
        <v>-2972.5</v>
      </c>
      <c r="P17" s="131">
        <f t="shared" si="4"/>
        <v>-2972.5</v>
      </c>
      <c r="Q17" s="131">
        <f t="shared" si="4"/>
        <v>-2972.5</v>
      </c>
    </row>
    <row r="18" spans="2:17" x14ac:dyDescent="0.35">
      <c r="B18" s="64"/>
      <c r="C18" s="131"/>
      <c r="D18" s="131"/>
      <c r="E18" s="131"/>
      <c r="F18" s="131"/>
      <c r="G18" s="131"/>
      <c r="H18" s="131">
        <f>-$H$8/$C$12</f>
        <v>-726.99601371928566</v>
      </c>
      <c r="I18" s="131">
        <f t="shared" ref="I18:Q18" si="5">-$H$8/$C$12</f>
        <v>-726.99601371928566</v>
      </c>
      <c r="J18" s="131">
        <f t="shared" si="5"/>
        <v>-726.99601371928566</v>
      </c>
      <c r="K18" s="131">
        <f t="shared" si="5"/>
        <v>-726.99601371928566</v>
      </c>
      <c r="L18" s="131">
        <f t="shared" si="5"/>
        <v>-726.99601371928566</v>
      </c>
      <c r="M18" s="131">
        <f t="shared" si="5"/>
        <v>-726.99601371928566</v>
      </c>
      <c r="N18" s="131">
        <f t="shared" si="5"/>
        <v>-726.99601371928566</v>
      </c>
      <c r="O18" s="131">
        <f t="shared" si="5"/>
        <v>-726.99601371928566</v>
      </c>
      <c r="P18" s="131">
        <f t="shared" si="5"/>
        <v>-726.99601371928566</v>
      </c>
      <c r="Q18" s="131">
        <f t="shared" si="5"/>
        <v>-726.99601371928566</v>
      </c>
    </row>
    <row r="19" spans="2:17" x14ac:dyDescent="0.35">
      <c r="B19" s="64"/>
      <c r="C19" s="131"/>
      <c r="D19" s="131"/>
      <c r="E19" s="131"/>
      <c r="F19" s="131"/>
      <c r="G19" s="131"/>
      <c r="H19" s="131"/>
      <c r="I19" s="131">
        <f>-$I$8/$C$12</f>
        <v>-916.35538325611492</v>
      </c>
      <c r="J19" s="131">
        <f t="shared" ref="J19:Q19" si="6">-$I$8/$C$12</f>
        <v>-916.35538325611492</v>
      </c>
      <c r="K19" s="131">
        <f t="shared" si="6"/>
        <v>-916.35538325611492</v>
      </c>
      <c r="L19" s="131">
        <f t="shared" si="6"/>
        <v>-916.35538325611492</v>
      </c>
      <c r="M19" s="131">
        <f t="shared" si="6"/>
        <v>-916.35538325611492</v>
      </c>
      <c r="N19" s="131">
        <f t="shared" si="6"/>
        <v>-916.35538325611492</v>
      </c>
      <c r="O19" s="131">
        <f t="shared" si="6"/>
        <v>-916.35538325611492</v>
      </c>
      <c r="P19" s="131">
        <f t="shared" si="6"/>
        <v>-916.35538325611492</v>
      </c>
      <c r="Q19" s="131">
        <f t="shared" si="6"/>
        <v>-916.35538325611492</v>
      </c>
    </row>
    <row r="20" spans="2:17" x14ac:dyDescent="0.35">
      <c r="B20" s="64"/>
      <c r="C20" s="131"/>
      <c r="D20" s="131"/>
      <c r="E20" s="131"/>
      <c r="F20" s="131"/>
      <c r="G20" s="131"/>
      <c r="H20" s="131"/>
      <c r="I20" s="131"/>
      <c r="J20" s="131">
        <f>-$J$8/$C$12</f>
        <v>-1022.5352586913201</v>
      </c>
      <c r="K20" s="131">
        <f t="shared" ref="K20:Q20" si="7">-$J$8/$C$12</f>
        <v>-1022.5352586913201</v>
      </c>
      <c r="L20" s="131">
        <f t="shared" si="7"/>
        <v>-1022.5352586913201</v>
      </c>
      <c r="M20" s="131">
        <f t="shared" si="7"/>
        <v>-1022.5352586913201</v>
      </c>
      <c r="N20" s="131">
        <f t="shared" si="7"/>
        <v>-1022.5352586913201</v>
      </c>
      <c r="O20" s="131">
        <f t="shared" si="7"/>
        <v>-1022.5352586913201</v>
      </c>
      <c r="P20" s="131">
        <f t="shared" si="7"/>
        <v>-1022.5352586913201</v>
      </c>
      <c r="Q20" s="131">
        <f t="shared" si="7"/>
        <v>-1022.5352586913201</v>
      </c>
    </row>
    <row r="21" spans="2:17" x14ac:dyDescent="0.35">
      <c r="B21" s="64"/>
      <c r="C21" s="131"/>
      <c r="D21" s="131"/>
      <c r="E21" s="131"/>
      <c r="F21" s="131"/>
      <c r="G21" s="131"/>
      <c r="H21" s="131"/>
      <c r="I21" s="131"/>
      <c r="J21" s="131"/>
      <c r="K21" s="131">
        <f>-$K$8/$C$12</f>
        <v>-1103.7579455945686</v>
      </c>
      <c r="L21" s="131">
        <f t="shared" ref="L21:Q21" si="8">-$K$8/$C$12</f>
        <v>-1103.7579455945686</v>
      </c>
      <c r="M21" s="131">
        <f t="shared" si="8"/>
        <v>-1103.7579455945686</v>
      </c>
      <c r="N21" s="131">
        <f t="shared" si="8"/>
        <v>-1103.7579455945686</v>
      </c>
      <c r="O21" s="131">
        <f t="shared" si="8"/>
        <v>-1103.7579455945686</v>
      </c>
      <c r="P21" s="131">
        <f t="shared" si="8"/>
        <v>-1103.7579455945686</v>
      </c>
      <c r="Q21" s="131">
        <f t="shared" si="8"/>
        <v>-1103.7579455945686</v>
      </c>
    </row>
    <row r="22" spans="2:17" x14ac:dyDescent="0.35">
      <c r="B22" s="64"/>
      <c r="C22" s="131"/>
      <c r="D22" s="131"/>
      <c r="E22" s="131"/>
      <c r="F22" s="131"/>
      <c r="G22" s="131"/>
      <c r="H22" s="131"/>
      <c r="I22" s="131"/>
      <c r="J22" s="131"/>
      <c r="K22" s="131"/>
      <c r="L22" s="131">
        <f>-$L$8/$C$12</f>
        <v>-1187.4724844745951</v>
      </c>
      <c r="M22" s="131">
        <f t="shared" ref="M22:Q22" si="9">-$L$8/$C$12</f>
        <v>-1187.4724844745951</v>
      </c>
      <c r="N22" s="131">
        <f t="shared" si="9"/>
        <v>-1187.4724844745951</v>
      </c>
      <c r="O22" s="131">
        <f t="shared" si="9"/>
        <v>-1187.4724844745951</v>
      </c>
      <c r="P22" s="131">
        <f t="shared" si="9"/>
        <v>-1187.4724844745951</v>
      </c>
      <c r="Q22" s="131">
        <f t="shared" si="9"/>
        <v>-1187.4724844745951</v>
      </c>
    </row>
    <row r="23" spans="2:17" x14ac:dyDescent="0.35">
      <c r="B23" s="64"/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>
        <f>-$M$8/$C$12</f>
        <v>-1240.3127865866768</v>
      </c>
      <c r="N23" s="131">
        <f t="shared" ref="N23:Q23" si="10">-$M$8/$C$12</f>
        <v>-1240.3127865866768</v>
      </c>
      <c r="O23" s="131">
        <f t="shared" si="10"/>
        <v>-1240.3127865866768</v>
      </c>
      <c r="P23" s="131">
        <f t="shared" si="10"/>
        <v>-1240.3127865866768</v>
      </c>
      <c r="Q23" s="131">
        <f t="shared" si="10"/>
        <v>-1240.3127865866768</v>
      </c>
    </row>
    <row r="24" spans="2:17" x14ac:dyDescent="0.35">
      <c r="B24" s="64"/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>
        <f>-$N$8/$C$12</f>
        <v>-1295.5295730949888</v>
      </c>
      <c r="O24" s="131">
        <f t="shared" ref="O24:Q24" si="11">-$N$8/$C$12</f>
        <v>-1295.5295730949888</v>
      </c>
      <c r="P24" s="131">
        <f t="shared" si="11"/>
        <v>-1295.5295730949888</v>
      </c>
      <c r="Q24" s="131">
        <f t="shared" si="11"/>
        <v>-1295.5295730949888</v>
      </c>
    </row>
    <row r="25" spans="2:17" x14ac:dyDescent="0.35">
      <c r="B25" s="64"/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>
        <f>-$O$8/$C$12</f>
        <v>-1351.2292500021924</v>
      </c>
      <c r="P25" s="131">
        <f t="shared" ref="P25:Q25" si="12">-$O$8/$C$12</f>
        <v>-1351.2292500021924</v>
      </c>
      <c r="Q25" s="131">
        <f t="shared" si="12"/>
        <v>-1351.2292500021924</v>
      </c>
    </row>
    <row r="26" spans="2:17" x14ac:dyDescent="0.35">
      <c r="B26" s="64"/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>
        <f>-$P$8/$C$12</f>
        <v>-1409.1487933348831</v>
      </c>
      <c r="Q26" s="131">
        <f>-$P$8/$C$12</f>
        <v>-1409.1487933348831</v>
      </c>
    </row>
    <row r="27" spans="2:17" x14ac:dyDescent="0.35">
      <c r="B27" s="64"/>
      <c r="C27" s="127"/>
      <c r="D27" s="127"/>
      <c r="E27" s="127"/>
      <c r="F27" s="127"/>
      <c r="G27" s="127"/>
      <c r="H27" s="131"/>
      <c r="I27" s="131"/>
      <c r="J27" s="131"/>
      <c r="K27" s="131"/>
      <c r="L27" s="131"/>
      <c r="M27" s="131"/>
      <c r="N27" s="131"/>
      <c r="O27" s="131"/>
      <c r="P27" s="131"/>
      <c r="Q27" s="131">
        <f>-$Q$8/$C$12</f>
        <v>-1469.6173408008381</v>
      </c>
    </row>
    <row r="28" spans="2:17" ht="15" thickBot="1" x14ac:dyDescent="0.4">
      <c r="B28" s="33" t="s">
        <v>224</v>
      </c>
      <c r="C28" s="125">
        <f>SUM(C17:C27)</f>
        <v>0</v>
      </c>
      <c r="D28" s="125">
        <f t="shared" ref="D28:Q28" si="13">SUM(D17:D27)</f>
        <v>0</v>
      </c>
      <c r="E28" s="125">
        <f t="shared" si="13"/>
        <v>0</v>
      </c>
      <c r="F28" s="125">
        <f t="shared" si="13"/>
        <v>0</v>
      </c>
      <c r="G28" s="125">
        <f t="shared" si="13"/>
        <v>0</v>
      </c>
      <c r="H28" s="107">
        <f t="shared" si="13"/>
        <v>-3699.4960137192857</v>
      </c>
      <c r="I28" s="107">
        <f t="shared" si="13"/>
        <v>-4615.8513969754003</v>
      </c>
      <c r="J28" s="107">
        <f t="shared" si="13"/>
        <v>-5638.3866556667208</v>
      </c>
      <c r="K28" s="107">
        <f t="shared" si="13"/>
        <v>-6742.1446012612896</v>
      </c>
      <c r="L28" s="107">
        <f t="shared" si="13"/>
        <v>-7929.6170857358848</v>
      </c>
      <c r="M28" s="107">
        <f t="shared" si="13"/>
        <v>-9169.929872322562</v>
      </c>
      <c r="N28" s="107">
        <f t="shared" si="13"/>
        <v>-10465.459445417551</v>
      </c>
      <c r="O28" s="107">
        <f t="shared" si="13"/>
        <v>-11816.688695419743</v>
      </c>
      <c r="P28" s="107">
        <f t="shared" si="13"/>
        <v>-13225.837488754627</v>
      </c>
      <c r="Q28" s="107">
        <f t="shared" si="13"/>
        <v>-14695.454829555465</v>
      </c>
    </row>
    <row r="29" spans="2:17" x14ac:dyDescent="0.35">
      <c r="B29" s="130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</row>
    <row r="30" spans="2:17" x14ac:dyDescent="0.35">
      <c r="B30" s="84" t="s">
        <v>65</v>
      </c>
      <c r="C30" s="106"/>
      <c r="D30" s="106"/>
      <c r="E30" s="106"/>
      <c r="F30" s="106"/>
      <c r="G30" s="106"/>
      <c r="H30" s="133"/>
      <c r="I30" s="106"/>
      <c r="J30" s="106"/>
      <c r="K30" s="106"/>
      <c r="L30" s="106"/>
      <c r="M30" s="106"/>
      <c r="N30" s="106"/>
      <c r="O30" s="106"/>
      <c r="P30" s="106"/>
      <c r="Q30" s="106"/>
    </row>
    <row r="31" spans="2:17" s="136" customFormat="1" ht="12" x14ac:dyDescent="0.3">
      <c r="B31" s="132" t="s">
        <v>225</v>
      </c>
      <c r="C31" s="133"/>
      <c r="D31" s="133"/>
      <c r="E31" s="133"/>
      <c r="F31" s="133"/>
      <c r="G31" s="134"/>
      <c r="H31" s="135">
        <f>CHOOSE(Drivers!$C$3,H$35,H$38,H$41)</f>
        <v>0.24457393228571428</v>
      </c>
      <c r="I31" s="135">
        <f>CHOOSE(Drivers!$C$3,I$35,I$38,I$41)</f>
        <v>0.24457393228571428</v>
      </c>
      <c r="J31" s="135">
        <f>CHOOSE(Drivers!$C$3,J$35,J$38,J$41)</f>
        <v>0.24457393228571428</v>
      </c>
      <c r="K31" s="135">
        <f>CHOOSE(Drivers!$C$3,K$35,K$38,K$41)</f>
        <v>0.24457393228571428</v>
      </c>
      <c r="L31" s="135">
        <f>CHOOSE(Drivers!$C$3,L$35,L$38,L$41)</f>
        <v>0.24457393228571428</v>
      </c>
      <c r="M31" s="135">
        <f>CHOOSE(Drivers!$C$3,M$35,M$38,M$41)</f>
        <v>0.24457393228571428</v>
      </c>
      <c r="N31" s="135">
        <f>CHOOSE(Drivers!$C$3,N$35,N$38,N$41)</f>
        <v>0.24457393228571428</v>
      </c>
      <c r="O31" s="135">
        <f>CHOOSE(Drivers!$C$3,O$35,O$38,O$41)</f>
        <v>0.24457393228571428</v>
      </c>
      <c r="P31" s="135">
        <f>CHOOSE(Drivers!$C$3,P$35,P$38,P$41)</f>
        <v>0.24457393228571428</v>
      </c>
      <c r="Q31" s="135">
        <f>CHOOSE(Drivers!$C$3,Q$35,Q$38,Q$41)</f>
        <v>0.24457393228571428</v>
      </c>
    </row>
    <row r="32" spans="2:17" s="136" customFormat="1" ht="12" x14ac:dyDescent="0.3">
      <c r="B32" s="132" t="s">
        <v>226</v>
      </c>
      <c r="C32" s="133"/>
      <c r="D32" s="137"/>
      <c r="E32" s="137"/>
      <c r="F32" s="137"/>
      <c r="G32" s="134"/>
      <c r="H32" s="135">
        <f>CHOOSE(Drivers!$C$3,H$36,H$39,H$42)</f>
        <v>6.5829755128100007E-2</v>
      </c>
      <c r="I32" s="135">
        <f>CHOOSE(Drivers!$C$3,I$36,I$39,I$42)</f>
        <v>6.5829755128100007E-2</v>
      </c>
      <c r="J32" s="135">
        <f>CHOOSE(Drivers!$C$3,J$36,J$39,J$42)</f>
        <v>6.5829755128100007E-2</v>
      </c>
      <c r="K32" s="135">
        <f>CHOOSE(Drivers!$C$3,K$36,K$39,K$42)</f>
        <v>6.5829755128100007E-2</v>
      </c>
      <c r="L32" s="135">
        <f>CHOOSE(Drivers!$C$3,L$36,L$39,L$42)</f>
        <v>6.5829755128100007E-2</v>
      </c>
      <c r="M32" s="135">
        <f>CHOOSE(Drivers!$C$3,M$36,M$39,M$42)</f>
        <v>6.5829755128100007E-2</v>
      </c>
      <c r="N32" s="135">
        <f>CHOOSE(Drivers!$C$3,N$36,N$39,N$42)</f>
        <v>6.5829755128100007E-2</v>
      </c>
      <c r="O32" s="135">
        <f>CHOOSE(Drivers!$C$3,O$36,O$39,O$42)</f>
        <v>6.5829755128100007E-2</v>
      </c>
      <c r="P32" s="135">
        <f>CHOOSE(Drivers!$C$3,P$36,P$39,P$42)</f>
        <v>6.5829755128100007E-2</v>
      </c>
      <c r="Q32" s="135">
        <f>CHOOSE(Drivers!$C$3,Q$36,Q$39,Q$42)</f>
        <v>6.5829755128100007E-2</v>
      </c>
    </row>
    <row r="33" spans="2:17" x14ac:dyDescent="0.35">
      <c r="B33" s="114" t="s">
        <v>227</v>
      </c>
      <c r="C33" s="115"/>
      <c r="D33" s="115"/>
      <c r="E33" s="115"/>
      <c r="F33" s="115"/>
      <c r="G33" s="106"/>
      <c r="H33" s="109"/>
      <c r="I33" s="109"/>
      <c r="J33" s="109"/>
      <c r="K33" s="109"/>
      <c r="L33" s="109"/>
      <c r="M33" s="109"/>
      <c r="N33" s="109"/>
      <c r="O33" s="109"/>
      <c r="P33" s="109"/>
      <c r="Q33" s="109"/>
    </row>
    <row r="34" spans="2:17" x14ac:dyDescent="0.35">
      <c r="B34" s="84" t="s">
        <v>162</v>
      </c>
      <c r="C34" s="115"/>
      <c r="D34" s="115"/>
      <c r="E34" s="115"/>
      <c r="F34" s="115"/>
      <c r="G34" s="106"/>
      <c r="H34" s="109"/>
      <c r="I34" s="109"/>
      <c r="J34" s="109"/>
      <c r="K34" s="109"/>
      <c r="L34" s="109"/>
      <c r="M34" s="109"/>
      <c r="N34" s="109"/>
      <c r="O34" s="109"/>
      <c r="P34" s="109"/>
      <c r="Q34" s="109"/>
    </row>
    <row r="35" spans="2:17" s="136" customFormat="1" ht="12" x14ac:dyDescent="0.3">
      <c r="B35" s="132" t="s">
        <v>225</v>
      </c>
      <c r="C35" s="133"/>
      <c r="D35" s="133"/>
      <c r="E35" s="133"/>
      <c r="F35" s="133"/>
      <c r="G35" s="134"/>
      <c r="H35" s="135">
        <f>H38-0.05</f>
        <v>0.19457393228571429</v>
      </c>
      <c r="I35" s="135">
        <f t="shared" ref="I35:Q35" si="14">I38-0.05</f>
        <v>0.19457393228571429</v>
      </c>
      <c r="J35" s="135">
        <f t="shared" si="14"/>
        <v>0.19457393228571429</v>
      </c>
      <c r="K35" s="135">
        <f t="shared" si="14"/>
        <v>0.19457393228571429</v>
      </c>
      <c r="L35" s="135">
        <f t="shared" si="14"/>
        <v>0.19457393228571429</v>
      </c>
      <c r="M35" s="135">
        <f t="shared" si="14"/>
        <v>0.19457393228571429</v>
      </c>
      <c r="N35" s="135">
        <f t="shared" si="14"/>
        <v>0.19457393228571429</v>
      </c>
      <c r="O35" s="135">
        <f t="shared" si="14"/>
        <v>0.19457393228571429</v>
      </c>
      <c r="P35" s="135">
        <f t="shared" si="14"/>
        <v>0.19457393228571429</v>
      </c>
      <c r="Q35" s="135">
        <f t="shared" si="14"/>
        <v>0.19457393228571429</v>
      </c>
    </row>
    <row r="36" spans="2:17" s="136" customFormat="1" ht="12" x14ac:dyDescent="0.3">
      <c r="B36" s="132" t="s">
        <v>226</v>
      </c>
      <c r="C36" s="133"/>
      <c r="D36" s="133"/>
      <c r="E36" s="133"/>
      <c r="F36" s="133"/>
      <c r="G36" s="134"/>
      <c r="H36" s="133">
        <f>H39-0.03</f>
        <v>3.5829755128100008E-2</v>
      </c>
      <c r="I36" s="133">
        <f t="shared" ref="I36:Q36" si="15">I39-0.03</f>
        <v>3.5829755128100008E-2</v>
      </c>
      <c r="J36" s="133">
        <f t="shared" si="15"/>
        <v>3.5829755128100008E-2</v>
      </c>
      <c r="K36" s="133">
        <f t="shared" si="15"/>
        <v>3.5829755128100008E-2</v>
      </c>
      <c r="L36" s="133">
        <f t="shared" si="15"/>
        <v>3.5829755128100008E-2</v>
      </c>
      <c r="M36" s="133">
        <f t="shared" si="15"/>
        <v>3.5829755128100008E-2</v>
      </c>
      <c r="N36" s="133">
        <f t="shared" si="15"/>
        <v>3.5829755128100008E-2</v>
      </c>
      <c r="O36" s="133">
        <f t="shared" si="15"/>
        <v>3.5829755128100008E-2</v>
      </c>
      <c r="P36" s="133">
        <f t="shared" si="15"/>
        <v>3.5829755128100008E-2</v>
      </c>
      <c r="Q36" s="133">
        <f t="shared" si="15"/>
        <v>3.5829755128100008E-2</v>
      </c>
    </row>
    <row r="37" spans="2:17" x14ac:dyDescent="0.35">
      <c r="B37" s="84" t="s">
        <v>163</v>
      </c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</row>
    <row r="38" spans="2:17" s="136" customFormat="1" ht="12" x14ac:dyDescent="0.3">
      <c r="B38" s="132" t="s">
        <v>225</v>
      </c>
      <c r="C38" s="133"/>
      <c r="D38" s="133"/>
      <c r="E38" s="133"/>
      <c r="F38" s="133"/>
      <c r="G38" s="133"/>
      <c r="H38" s="134">
        <f>-'PP&amp;E Comparables'!$D$16</f>
        <v>0.24457393228571428</v>
      </c>
      <c r="I38" s="134">
        <f>-'PP&amp;E Comparables'!$D$16</f>
        <v>0.24457393228571428</v>
      </c>
      <c r="J38" s="134">
        <f>-'PP&amp;E Comparables'!$D$16</f>
        <v>0.24457393228571428</v>
      </c>
      <c r="K38" s="134">
        <f>-'PP&amp;E Comparables'!$D$16</f>
        <v>0.24457393228571428</v>
      </c>
      <c r="L38" s="134">
        <f>-'PP&amp;E Comparables'!$D$16</f>
        <v>0.24457393228571428</v>
      </c>
      <c r="M38" s="134">
        <f>-'PP&amp;E Comparables'!$D$16</f>
        <v>0.24457393228571428</v>
      </c>
      <c r="N38" s="134">
        <f>-'PP&amp;E Comparables'!$D$16</f>
        <v>0.24457393228571428</v>
      </c>
      <c r="O38" s="134">
        <f>-'PP&amp;E Comparables'!$D$16</f>
        <v>0.24457393228571428</v>
      </c>
      <c r="P38" s="134">
        <f>-'PP&amp;E Comparables'!$D$16</f>
        <v>0.24457393228571428</v>
      </c>
      <c r="Q38" s="134">
        <f>-'PP&amp;E Comparables'!$D$16</f>
        <v>0.24457393228571428</v>
      </c>
    </row>
    <row r="39" spans="2:17" s="136" customFormat="1" ht="12" x14ac:dyDescent="0.3">
      <c r="B39" s="132" t="s">
        <v>226</v>
      </c>
      <c r="C39" s="133"/>
      <c r="D39" s="133"/>
      <c r="E39" s="133"/>
      <c r="F39" s="133"/>
      <c r="G39" s="134"/>
      <c r="H39" s="133">
        <f>-'PP&amp;E Comparables'!$G$16</f>
        <v>6.5829755128100007E-2</v>
      </c>
      <c r="I39" s="133">
        <f>-'PP&amp;E Comparables'!$G$16</f>
        <v>6.5829755128100007E-2</v>
      </c>
      <c r="J39" s="133">
        <f>-'PP&amp;E Comparables'!$G$16</f>
        <v>6.5829755128100007E-2</v>
      </c>
      <c r="K39" s="133">
        <f>-'PP&amp;E Comparables'!$G$16</f>
        <v>6.5829755128100007E-2</v>
      </c>
      <c r="L39" s="133">
        <f>-'PP&amp;E Comparables'!$G$16</f>
        <v>6.5829755128100007E-2</v>
      </c>
      <c r="M39" s="133">
        <f>-'PP&amp;E Comparables'!$G$16</f>
        <v>6.5829755128100007E-2</v>
      </c>
      <c r="N39" s="133">
        <f>-'PP&amp;E Comparables'!$G$16</f>
        <v>6.5829755128100007E-2</v>
      </c>
      <c r="O39" s="133">
        <f>-'PP&amp;E Comparables'!$G$16</f>
        <v>6.5829755128100007E-2</v>
      </c>
      <c r="P39" s="133">
        <f>-'PP&amp;E Comparables'!$G$16</f>
        <v>6.5829755128100007E-2</v>
      </c>
      <c r="Q39" s="133">
        <f>-'PP&amp;E Comparables'!$G$16</f>
        <v>6.5829755128100007E-2</v>
      </c>
    </row>
    <row r="40" spans="2:17" x14ac:dyDescent="0.35">
      <c r="B40" s="84" t="s">
        <v>164</v>
      </c>
      <c r="C40" s="106"/>
      <c r="D40" s="106"/>
      <c r="E40" s="106"/>
      <c r="F40" s="106"/>
      <c r="G40" s="106"/>
      <c r="H40" s="106"/>
      <c r="I40" s="106"/>
      <c r="J40" s="106"/>
      <c r="K40" s="106"/>
      <c r="L40" s="106"/>
      <c r="M40" s="106"/>
      <c r="N40" s="106"/>
      <c r="O40" s="106"/>
      <c r="P40" s="106"/>
      <c r="Q40" s="106"/>
    </row>
    <row r="41" spans="2:17" s="136" customFormat="1" ht="12" x14ac:dyDescent="0.3">
      <c r="B41" s="132" t="s">
        <v>225</v>
      </c>
      <c r="C41" s="133"/>
      <c r="D41" s="133"/>
      <c r="E41" s="133"/>
      <c r="F41" s="133"/>
      <c r="G41" s="134"/>
      <c r="H41" s="134">
        <f>H38+0.05</f>
        <v>0.29457393228571427</v>
      </c>
      <c r="I41" s="134">
        <f t="shared" ref="I41:Q41" si="16">I38+0.05</f>
        <v>0.29457393228571427</v>
      </c>
      <c r="J41" s="134">
        <f t="shared" si="16"/>
        <v>0.29457393228571427</v>
      </c>
      <c r="K41" s="134">
        <f t="shared" si="16"/>
        <v>0.29457393228571427</v>
      </c>
      <c r="L41" s="134">
        <f t="shared" si="16"/>
        <v>0.29457393228571427</v>
      </c>
      <c r="M41" s="134">
        <f t="shared" si="16"/>
        <v>0.29457393228571427</v>
      </c>
      <c r="N41" s="134">
        <f t="shared" si="16"/>
        <v>0.29457393228571427</v>
      </c>
      <c r="O41" s="134">
        <f t="shared" si="16"/>
        <v>0.29457393228571427</v>
      </c>
      <c r="P41" s="134">
        <f t="shared" si="16"/>
        <v>0.29457393228571427</v>
      </c>
      <c r="Q41" s="134">
        <f t="shared" si="16"/>
        <v>0.29457393228571427</v>
      </c>
    </row>
    <row r="42" spans="2:17" s="136" customFormat="1" ht="12" x14ac:dyDescent="0.3">
      <c r="B42" s="132" t="s">
        <v>226</v>
      </c>
      <c r="C42" s="133"/>
      <c r="D42" s="133"/>
      <c r="E42" s="133"/>
      <c r="F42" s="133"/>
      <c r="G42" s="134"/>
      <c r="H42" s="134">
        <f>H39+0.03</f>
        <v>9.5829755128100005E-2</v>
      </c>
      <c r="I42" s="134">
        <f t="shared" ref="I42:Q42" si="17">I39+0.03</f>
        <v>9.5829755128100005E-2</v>
      </c>
      <c r="J42" s="134">
        <f t="shared" si="17"/>
        <v>9.5829755128100005E-2</v>
      </c>
      <c r="K42" s="134">
        <f t="shared" si="17"/>
        <v>9.5829755128100005E-2</v>
      </c>
      <c r="L42" s="134">
        <f t="shared" si="17"/>
        <v>9.5829755128100005E-2</v>
      </c>
      <c r="M42" s="134">
        <f t="shared" si="17"/>
        <v>9.5829755128100005E-2</v>
      </c>
      <c r="N42" s="134">
        <f t="shared" si="17"/>
        <v>9.5829755128100005E-2</v>
      </c>
      <c r="O42" s="134">
        <f t="shared" si="17"/>
        <v>9.5829755128100005E-2</v>
      </c>
      <c r="P42" s="134">
        <f t="shared" si="17"/>
        <v>9.5829755128100005E-2</v>
      </c>
      <c r="Q42" s="134">
        <f t="shared" si="17"/>
        <v>9.5829755128100005E-2</v>
      </c>
    </row>
    <row r="47" spans="2:17" x14ac:dyDescent="0.35">
      <c r="J47" s="118"/>
    </row>
  </sheetData>
  <mergeCells count="2">
    <mergeCell ref="C5:Q5"/>
    <mergeCell ref="C15:Q15"/>
  </mergeCells>
  <dataValidations count="1">
    <dataValidation type="list" allowBlank="1" showInputMessage="1" showErrorMessage="1" sqref="C3" xr:uid="{AECD80D8-DFC2-4FB5-97F4-E27D56760013}">
      <formula1>"1,2"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9EDF-2025-4D29-BA29-A5AC49D8A7AF}">
  <dimension ref="B1:L32"/>
  <sheetViews>
    <sheetView showGridLines="0" workbookViewId="0">
      <selection activeCell="I25" sqref="I25"/>
    </sheetView>
  </sheetViews>
  <sheetFormatPr defaultRowHeight="14.5" x14ac:dyDescent="0.35"/>
  <cols>
    <col min="1" max="1" width="2.90625" customWidth="1"/>
    <col min="2" max="2" width="26.6328125" customWidth="1"/>
    <col min="3" max="4" width="14.08984375" customWidth="1"/>
    <col min="5" max="5" width="2.90625" customWidth="1"/>
    <col min="6" max="7" width="14.08984375" customWidth="1"/>
  </cols>
  <sheetData>
    <row r="1" spans="2:7" ht="18" x14ac:dyDescent="0.35">
      <c r="B1" s="49" t="s">
        <v>231</v>
      </c>
      <c r="C1" s="17"/>
      <c r="D1" s="17"/>
      <c r="F1" s="17"/>
      <c r="G1" s="17"/>
    </row>
    <row r="2" spans="2:7" ht="15.5" x14ac:dyDescent="0.35">
      <c r="B2" s="16"/>
      <c r="C2" s="17"/>
      <c r="D2" s="17"/>
      <c r="F2" s="17"/>
      <c r="G2" s="17"/>
    </row>
    <row r="3" spans="2:7" s="27" customFormat="1" ht="14" x14ac:dyDescent="0.35">
      <c r="B3" s="40" t="s">
        <v>211</v>
      </c>
    </row>
    <row r="4" spans="2:7" s="27" customFormat="1" ht="14" x14ac:dyDescent="0.35"/>
    <row r="5" spans="2:7" x14ac:dyDescent="0.35">
      <c r="B5" s="27"/>
      <c r="C5" s="231" t="s">
        <v>228</v>
      </c>
      <c r="D5" s="232"/>
      <c r="F5" s="231" t="s">
        <v>229</v>
      </c>
      <c r="G5" s="232"/>
    </row>
    <row r="6" spans="2:7" x14ac:dyDescent="0.35">
      <c r="B6" s="28" t="s">
        <v>66</v>
      </c>
      <c r="C6" s="138" t="s">
        <v>111</v>
      </c>
      <c r="D6" s="138" t="s">
        <v>112</v>
      </c>
      <c r="F6" s="138" t="s">
        <v>111</v>
      </c>
      <c r="G6" s="138" t="s">
        <v>112</v>
      </c>
    </row>
    <row r="7" spans="2:7" x14ac:dyDescent="0.35">
      <c r="B7" s="27" t="s">
        <v>113</v>
      </c>
      <c r="C7" s="120">
        <v>-0.1431</v>
      </c>
      <c r="D7" s="104"/>
      <c r="F7" s="120">
        <v>-0.143212951</v>
      </c>
      <c r="G7" s="104"/>
    </row>
    <row r="8" spans="2:7" x14ac:dyDescent="0.35">
      <c r="B8" s="27" t="s">
        <v>114</v>
      </c>
      <c r="C8" s="120">
        <v>-0.20175889</v>
      </c>
      <c r="D8" s="104">
        <f>C8</f>
        <v>-0.20175889</v>
      </c>
      <c r="F8" s="104">
        <v>-4.6744725894E-2</v>
      </c>
      <c r="G8" s="104">
        <f>F8</f>
        <v>-4.6744725894E-2</v>
      </c>
    </row>
    <row r="9" spans="2:7" x14ac:dyDescent="0.35">
      <c r="B9" s="27" t="s">
        <v>115</v>
      </c>
      <c r="C9" s="104">
        <v>-0.2704646</v>
      </c>
      <c r="D9" s="104">
        <f>C9</f>
        <v>-0.2704646</v>
      </c>
      <c r="F9" s="104">
        <v>-6.3020970430800002E-2</v>
      </c>
      <c r="G9" s="104">
        <f>F9</f>
        <v>-6.3020970430800002E-2</v>
      </c>
    </row>
    <row r="10" spans="2:7" x14ac:dyDescent="0.35">
      <c r="B10" s="27" t="s">
        <v>116</v>
      </c>
      <c r="C10" s="104">
        <v>-0.29562304</v>
      </c>
      <c r="D10" s="104">
        <f>C10</f>
        <v>-0.29562304</v>
      </c>
      <c r="F10" s="104">
        <v>-0.113739019</v>
      </c>
      <c r="G10" s="104">
        <f>F10</f>
        <v>-0.113739019</v>
      </c>
    </row>
    <row r="11" spans="2:7" x14ac:dyDescent="0.35">
      <c r="B11" s="27" t="s">
        <v>117</v>
      </c>
      <c r="C11" s="104">
        <v>-0.25580000000000003</v>
      </c>
      <c r="D11" s="104">
        <f>C11</f>
        <v>-0.25580000000000003</v>
      </c>
      <c r="F11" s="35">
        <v>-8.0054610900000003E-2</v>
      </c>
      <c r="G11" s="104">
        <f>F11</f>
        <v>-8.0054610900000003E-2</v>
      </c>
    </row>
    <row r="12" spans="2:7" x14ac:dyDescent="0.35">
      <c r="B12" s="27" t="s">
        <v>118</v>
      </c>
      <c r="C12" s="104">
        <v>-0.24</v>
      </c>
      <c r="D12" s="104">
        <f t="shared" ref="D12:D13" si="0">C12</f>
        <v>-0.24</v>
      </c>
      <c r="F12" s="35">
        <v>-7.0000000000000007E-2</v>
      </c>
      <c r="G12" s="104">
        <f t="shared" ref="G12:G15" si="1">F12</f>
        <v>-7.0000000000000007E-2</v>
      </c>
    </row>
    <row r="13" spans="2:7" x14ac:dyDescent="0.35">
      <c r="B13" s="27" t="s">
        <v>120</v>
      </c>
      <c r="C13" s="104">
        <v>-0.240825396</v>
      </c>
      <c r="D13" s="104">
        <f t="shared" si="0"/>
        <v>-0.240825396</v>
      </c>
      <c r="F13" s="35">
        <v>-6.3534338300000007E-2</v>
      </c>
      <c r="G13" s="104">
        <f t="shared" si="1"/>
        <v>-6.3534338300000007E-2</v>
      </c>
    </row>
    <row r="14" spans="2:7" x14ac:dyDescent="0.35">
      <c r="B14" s="27" t="s">
        <v>230</v>
      </c>
      <c r="C14" s="104">
        <v>-0.1211321199964</v>
      </c>
      <c r="D14" s="104"/>
      <c r="F14" s="104">
        <v>-5.3603362500000001E-2</v>
      </c>
      <c r="G14" s="104">
        <f t="shared" si="1"/>
        <v>-5.3603362500000001E-2</v>
      </c>
    </row>
    <row r="15" spans="2:7" x14ac:dyDescent="0.35">
      <c r="B15" s="27" t="s">
        <v>123</v>
      </c>
      <c r="C15" s="104">
        <v>-0.2075456</v>
      </c>
      <c r="D15" s="104">
        <f>C15</f>
        <v>-0.2075456</v>
      </c>
      <c r="F15" s="35">
        <v>-3.5941014E-2</v>
      </c>
      <c r="G15" s="104">
        <f t="shared" si="1"/>
        <v>-3.5941014E-2</v>
      </c>
    </row>
    <row r="16" spans="2:7" x14ac:dyDescent="0.35">
      <c r="B16" s="46" t="s">
        <v>111</v>
      </c>
      <c r="C16" s="122">
        <f>AVERAGE(C7:C15)</f>
        <v>-0.21958329399959997</v>
      </c>
      <c r="D16" s="122">
        <f>AVERAGE(D7:D15)</f>
        <v>-0.24457393228571428</v>
      </c>
      <c r="F16" s="122">
        <f>AVERAGE(F7:F15)</f>
        <v>-7.4427888002755557E-2</v>
      </c>
      <c r="G16" s="122">
        <f>AVERAGE(G7:G15)</f>
        <v>-6.5829755128100007E-2</v>
      </c>
    </row>
    <row r="21" spans="7:12" s="136" customFormat="1" ht="12" x14ac:dyDescent="0.3"/>
    <row r="22" spans="7:12" s="136" customFormat="1" ht="12" x14ac:dyDescent="0.3"/>
    <row r="25" spans="7:12" s="136" customFormat="1" x14ac:dyDescent="0.35">
      <c r="G25"/>
      <c r="H25"/>
      <c r="I25"/>
      <c r="J25"/>
      <c r="K25"/>
      <c r="L25"/>
    </row>
    <row r="26" spans="7:12" s="136" customFormat="1" ht="12" x14ac:dyDescent="0.3"/>
    <row r="28" spans="7:12" s="136" customFormat="1" ht="12" x14ac:dyDescent="0.3"/>
    <row r="29" spans="7:12" s="136" customFormat="1" ht="12" x14ac:dyDescent="0.3"/>
    <row r="31" spans="7:12" s="136" customFormat="1" ht="12" x14ac:dyDescent="0.3"/>
    <row r="32" spans="7:12" s="136" customFormat="1" ht="12" x14ac:dyDescent="0.3"/>
  </sheetData>
  <mergeCells count="2">
    <mergeCell ref="C5:D5"/>
    <mergeCell ref="F5:G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165AD-2B66-4949-AC36-4FF4227FC3CE}">
  <sheetPr>
    <tabColor theme="5" tint="0.39997558519241921"/>
  </sheetPr>
  <dimension ref="C11:K22"/>
  <sheetViews>
    <sheetView showGridLines="0" workbookViewId="0">
      <selection activeCell="F7" sqref="F7"/>
    </sheetView>
  </sheetViews>
  <sheetFormatPr defaultRowHeight="14.5" x14ac:dyDescent="0.35"/>
  <cols>
    <col min="3" max="3" width="12.1796875" customWidth="1"/>
    <col min="4" max="4" width="14.1796875" customWidth="1"/>
    <col min="5" max="5" width="14.6328125" customWidth="1"/>
    <col min="6" max="6" width="13.6328125" customWidth="1"/>
    <col min="7" max="7" width="10.36328125" customWidth="1"/>
    <col min="8" max="8" width="15.36328125" customWidth="1"/>
    <col min="9" max="9" width="12.6328125" customWidth="1"/>
    <col min="10" max="10" width="11.453125" customWidth="1"/>
    <col min="11" max="11" width="6.81640625" customWidth="1"/>
  </cols>
  <sheetData>
    <row r="11" spans="3:11" x14ac:dyDescent="0.35">
      <c r="C11" s="229" t="s">
        <v>234</v>
      </c>
      <c r="D11" s="229"/>
      <c r="E11" s="229"/>
      <c r="F11" s="229"/>
      <c r="G11" s="229"/>
      <c r="H11" s="229"/>
      <c r="I11" s="229"/>
      <c r="J11" s="229"/>
      <c r="K11" s="229"/>
    </row>
    <row r="12" spans="3:11" x14ac:dyDescent="0.35">
      <c r="C12" s="229"/>
      <c r="D12" s="229"/>
      <c r="E12" s="229"/>
      <c r="F12" s="229"/>
      <c r="G12" s="229"/>
      <c r="H12" s="229"/>
      <c r="I12" s="229"/>
      <c r="J12" s="229"/>
      <c r="K12" s="229"/>
    </row>
    <row r="13" spans="3:11" x14ac:dyDescent="0.35">
      <c r="C13" s="229"/>
      <c r="D13" s="229"/>
      <c r="E13" s="229"/>
      <c r="F13" s="229"/>
      <c r="G13" s="229"/>
      <c r="H13" s="229"/>
      <c r="I13" s="229"/>
      <c r="J13" s="229"/>
      <c r="K13" s="229"/>
    </row>
    <row r="14" spans="3:11" x14ac:dyDescent="0.35">
      <c r="C14" s="229"/>
      <c r="D14" s="229"/>
      <c r="E14" s="229"/>
      <c r="F14" s="229"/>
      <c r="G14" s="229"/>
      <c r="H14" s="229"/>
      <c r="I14" s="229"/>
      <c r="J14" s="229"/>
      <c r="K14" s="229"/>
    </row>
    <row r="15" spans="3:11" x14ac:dyDescent="0.35">
      <c r="C15" s="229"/>
      <c r="D15" s="229"/>
      <c r="E15" s="229"/>
      <c r="F15" s="229"/>
      <c r="G15" s="229"/>
      <c r="H15" s="229"/>
      <c r="I15" s="229"/>
      <c r="J15" s="229"/>
      <c r="K15" s="229"/>
    </row>
    <row r="16" spans="3:11" x14ac:dyDescent="0.35">
      <c r="C16" s="229"/>
      <c r="D16" s="229"/>
      <c r="E16" s="229"/>
      <c r="F16" s="229"/>
      <c r="G16" s="229"/>
      <c r="H16" s="229"/>
      <c r="I16" s="229"/>
      <c r="J16" s="229"/>
      <c r="K16" s="229"/>
    </row>
    <row r="17" spans="3:11" x14ac:dyDescent="0.35">
      <c r="C17" s="229"/>
      <c r="D17" s="229"/>
      <c r="E17" s="229"/>
      <c r="F17" s="229"/>
      <c r="G17" s="229"/>
      <c r="H17" s="229"/>
      <c r="I17" s="229"/>
      <c r="J17" s="229"/>
      <c r="K17" s="229"/>
    </row>
    <row r="18" spans="3:11" x14ac:dyDescent="0.35">
      <c r="C18" s="229"/>
      <c r="D18" s="229"/>
      <c r="E18" s="229"/>
      <c r="F18" s="229"/>
      <c r="G18" s="229"/>
      <c r="H18" s="229"/>
      <c r="I18" s="229"/>
      <c r="J18" s="229"/>
      <c r="K18" s="229"/>
    </row>
    <row r="19" spans="3:11" x14ac:dyDescent="0.35">
      <c r="C19" s="229"/>
      <c r="D19" s="229"/>
      <c r="E19" s="229"/>
      <c r="F19" s="229"/>
      <c r="G19" s="229"/>
      <c r="H19" s="229"/>
      <c r="I19" s="229"/>
      <c r="J19" s="229"/>
      <c r="K19" s="229"/>
    </row>
    <row r="20" spans="3:11" x14ac:dyDescent="0.35">
      <c r="C20" s="229"/>
      <c r="D20" s="229"/>
      <c r="E20" s="229"/>
      <c r="F20" s="229"/>
      <c r="G20" s="229"/>
      <c r="H20" s="229"/>
      <c r="I20" s="229"/>
      <c r="J20" s="229"/>
      <c r="K20" s="229"/>
    </row>
    <row r="21" spans="3:11" x14ac:dyDescent="0.35">
      <c r="C21" s="229"/>
      <c r="D21" s="229"/>
      <c r="E21" s="229"/>
      <c r="F21" s="229"/>
      <c r="G21" s="229"/>
      <c r="H21" s="229"/>
      <c r="I21" s="229"/>
      <c r="J21" s="229"/>
      <c r="K21" s="229"/>
    </row>
    <row r="22" spans="3:11" x14ac:dyDescent="0.35">
      <c r="C22" s="229"/>
      <c r="D22" s="229"/>
      <c r="E22" s="229"/>
      <c r="F22" s="229"/>
      <c r="G22" s="229"/>
      <c r="H22" s="229"/>
      <c r="I22" s="229"/>
      <c r="J22" s="229"/>
      <c r="K22" s="229"/>
    </row>
  </sheetData>
  <mergeCells count="1">
    <mergeCell ref="C11:K2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1765-C9EF-41A6-870E-8F898641D285}">
  <dimension ref="B1:Q19"/>
  <sheetViews>
    <sheetView showGridLines="0" workbookViewId="0">
      <selection activeCell="H6" sqref="H6"/>
    </sheetView>
  </sheetViews>
  <sheetFormatPr defaultRowHeight="14.5" x14ac:dyDescent="0.35"/>
  <cols>
    <col min="1" max="1" width="2.90625" customWidth="1"/>
    <col min="2" max="2" width="35.26953125" customWidth="1"/>
    <col min="3" max="3" width="10.36328125" bestFit="1" customWidth="1"/>
    <col min="4" max="7" width="9.6328125" customWidth="1"/>
    <col min="8" max="17" width="11.08984375" customWidth="1"/>
  </cols>
  <sheetData>
    <row r="1" spans="2:17" ht="18" x14ac:dyDescent="0.35">
      <c r="B1" s="49" t="s">
        <v>235</v>
      </c>
      <c r="C1" s="17"/>
      <c r="D1" s="17"/>
      <c r="E1" s="17"/>
      <c r="F1" s="76"/>
      <c r="G1" s="76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2:17" ht="15.5" x14ac:dyDescent="0.35">
      <c r="B2" s="16"/>
      <c r="C2" s="77"/>
      <c r="D2" s="77"/>
      <c r="E2" s="77"/>
      <c r="F2" s="77"/>
      <c r="G2" s="7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x14ac:dyDescent="0.35">
      <c r="B3" s="27"/>
      <c r="C3" s="230" t="s">
        <v>250</v>
      </c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</row>
    <row r="4" spans="2:17" ht="28" x14ac:dyDescent="0.35">
      <c r="B4" s="28" t="s">
        <v>201</v>
      </c>
      <c r="C4" s="29" t="s">
        <v>83</v>
      </c>
      <c r="D4" s="29" t="s">
        <v>102</v>
      </c>
      <c r="E4" s="29" t="s">
        <v>103</v>
      </c>
      <c r="F4" s="29" t="s">
        <v>104</v>
      </c>
      <c r="G4" s="29" t="s">
        <v>105</v>
      </c>
      <c r="H4" s="30" t="s">
        <v>84</v>
      </c>
      <c r="I4" s="30" t="s">
        <v>85</v>
      </c>
      <c r="J4" s="30" t="s">
        <v>86</v>
      </c>
      <c r="K4" s="30" t="s">
        <v>87</v>
      </c>
      <c r="L4" s="30" t="s">
        <v>88</v>
      </c>
      <c r="M4" s="30" t="s">
        <v>89</v>
      </c>
      <c r="N4" s="30" t="s">
        <v>106</v>
      </c>
      <c r="O4" s="30" t="s">
        <v>107</v>
      </c>
      <c r="P4" s="30" t="s">
        <v>108</v>
      </c>
      <c r="Q4" s="30" t="s">
        <v>109</v>
      </c>
    </row>
    <row r="5" spans="2:17" x14ac:dyDescent="0.35">
      <c r="B5" s="27" t="s">
        <v>27</v>
      </c>
      <c r="C5" s="31">
        <f>_xlfn.XLOOKUP($B5,'Balance Sheet Input'!$B$6:$B$35,'Balance Sheet Input'!C$6:C$35)</f>
        <v>1324</v>
      </c>
      <c r="D5" s="31">
        <f>_xlfn.XLOOKUP($B5,'Balance Sheet Input'!$B$6:$B$35,'Balance Sheet Input'!D$6:D$35)</f>
        <v>1886</v>
      </c>
      <c r="E5" s="31">
        <f>_xlfn.XLOOKUP($B5,'Balance Sheet Input'!$B$6:$B$35,'Balance Sheet Input'!E$6:E$35)</f>
        <v>1913</v>
      </c>
      <c r="F5" s="31">
        <f>_xlfn.XLOOKUP($B5,'Balance Sheet Input'!$B$6:$B$35,'Balance Sheet Input'!F$6:F$35)</f>
        <v>2952</v>
      </c>
      <c r="G5" s="31">
        <f>_xlfn.XLOOKUP($B5,'Balance Sheet Input'!$B$6:$B$35,'Balance Sheet Input'!G$6:G$35)</f>
        <v>3508</v>
      </c>
      <c r="H5" s="32">
        <f>(H11/360)*'P&amp;L'!H5</f>
        <v>5551.1633635425014</v>
      </c>
      <c r="I5" s="32">
        <f>(I11/360)*'P&amp;L'!I5</f>
        <v>6172.2727506651863</v>
      </c>
      <c r="J5" s="32">
        <f>(J11/360)*'P&amp;L'!J5</f>
        <v>6887.4659647749677</v>
      </c>
      <c r="K5" s="32">
        <f>(K11/360)*'P&amp;L'!K5</f>
        <v>7434.5556488311067</v>
      </c>
      <c r="L5" s="32">
        <f>(L11/360)*'P&amp;L'!L5</f>
        <v>7998.4296398668239</v>
      </c>
      <c r="M5" s="32">
        <f>(M11/360)*'P&amp;L'!M5</f>
        <v>8354.3447824225623</v>
      </c>
      <c r="N5" s="32">
        <f>(N11/360)*'P&amp;L'!N5</f>
        <v>8726.2671533410685</v>
      </c>
      <c r="O5" s="32">
        <f>(O11/360)*'P&amp;L'!O5</f>
        <v>9101.4421174184063</v>
      </c>
      <c r="P5" s="32">
        <f>(P11/360)*'P&amp;L'!P5</f>
        <v>9491.5693819880089</v>
      </c>
      <c r="Q5" s="32">
        <f>(Q11/360)*'P&amp;L'!Q5</f>
        <v>9898.8659119327713</v>
      </c>
    </row>
    <row r="6" spans="2:17" x14ac:dyDescent="0.35">
      <c r="B6" s="27" t="s">
        <v>48</v>
      </c>
      <c r="C6" s="31">
        <f>_xlfn.XLOOKUP($B6,'Balance Sheet Input'!$B$6:$B$35,'Balance Sheet Input'!C$6:C$35)</f>
        <v>3552</v>
      </c>
      <c r="D6" s="31">
        <f>_xlfn.XLOOKUP($B6,'Balance Sheet Input'!$B$6:$B$35,'Balance Sheet Input'!D$6:D$35)</f>
        <v>4101</v>
      </c>
      <c r="E6" s="31">
        <f>_xlfn.XLOOKUP($B6,'Balance Sheet Input'!$B$6:$B$35,'Balance Sheet Input'!E$6:E$35)</f>
        <v>5757</v>
      </c>
      <c r="F6" s="31">
        <f>_xlfn.XLOOKUP($B6,'Balance Sheet Input'!$B$6:$B$35,'Balance Sheet Input'!F$6:F$35)</f>
        <v>12839</v>
      </c>
      <c r="G6" s="31">
        <f>_xlfn.XLOOKUP($B6,'Balance Sheet Input'!$B$6:$B$35,'Balance Sheet Input'!G$6:G$35)</f>
        <v>13626</v>
      </c>
      <c r="H6" s="32">
        <f>-(H12/360)*'P&amp;L'!H$6</f>
        <v>17006.734687007891</v>
      </c>
      <c r="I6" s="32">
        <f>-(I12/360)*'P&amp;L'!I$6</f>
        <v>18940.879693453979</v>
      </c>
      <c r="J6" s="32">
        <f>-(J12/360)*'P&amp;L'!J$6</f>
        <v>21159.415258505898</v>
      </c>
      <c r="K6" s="32">
        <f>-(K12/360)*'P&amp;L'!K$6</f>
        <v>22839.407686582523</v>
      </c>
      <c r="L6" s="32">
        <f>-(L12/360)*'P&amp;L'!L$6</f>
        <v>24561.718651312782</v>
      </c>
      <c r="M6" s="32">
        <f>-(M12/360)*'P&amp;L'!M$6</f>
        <v>25670.045629929413</v>
      </c>
      <c r="N6" s="32">
        <f>-(N12/360)*'P&amp;L'!N$6</f>
        <v>26829.393164066885</v>
      </c>
      <c r="O6" s="32">
        <f>-(O12/360)*'P&amp;L'!O$6</f>
        <v>27997.331218421015</v>
      </c>
      <c r="P6" s="32">
        <f>-(P12/360)*'P&amp;L'!P$6</f>
        <v>29213.395231058821</v>
      </c>
      <c r="Q6" s="32">
        <f>-(Q12/360)*'P&amp;L'!Q$6</f>
        <v>30483.872050036211</v>
      </c>
    </row>
    <row r="7" spans="2:17" x14ac:dyDescent="0.35">
      <c r="B7" s="27" t="s">
        <v>38</v>
      </c>
      <c r="C7" s="140">
        <f>_xlfn.XLOOKUP($B7,'Balance Sheet Input'!$B$6:$B$35,'Balance Sheet Input'!C$6:C$35)</f>
        <v>3771</v>
      </c>
      <c r="D7" s="140">
        <f>_xlfn.XLOOKUP($B7,'Balance Sheet Input'!$B$6:$B$35,'Balance Sheet Input'!D$6:D$35)</f>
        <v>6051</v>
      </c>
      <c r="E7" s="140">
        <f>_xlfn.XLOOKUP($B7,'Balance Sheet Input'!$B$6:$B$35,'Balance Sheet Input'!E$6:E$35)</f>
        <v>10025</v>
      </c>
      <c r="F7" s="140">
        <f>_xlfn.XLOOKUP($B7,'Balance Sheet Input'!$B$6:$B$35,'Balance Sheet Input'!F$6:F$35)</f>
        <v>15255</v>
      </c>
      <c r="G7" s="140">
        <f>_xlfn.XLOOKUP($B7,'Balance Sheet Input'!$B$6:$B$35,'Balance Sheet Input'!G$6:G$35)</f>
        <v>14431</v>
      </c>
      <c r="H7" s="32">
        <f>-(H13/360)*'P&amp;L'!H$6</f>
        <v>21825.934286093474</v>
      </c>
      <c r="I7" s="32">
        <f>-(I13/360)*'P&amp;L'!I$6</f>
        <v>24308.158098446911</v>
      </c>
      <c r="J7" s="32">
        <f>-(J13/360)*'P&amp;L'!J$6</f>
        <v>27155.360241911621</v>
      </c>
      <c r="K7" s="32">
        <f>-(K13/360)*'P&amp;L'!K$6</f>
        <v>29311.412241967028</v>
      </c>
      <c r="L7" s="32">
        <f>-(L13/360)*'P&amp;L'!L$6</f>
        <v>31521.774585370793</v>
      </c>
      <c r="M7" s="32">
        <f>-(M13/360)*'P&amp;L'!M$6</f>
        <v>32944.168257524158</v>
      </c>
      <c r="N7" s="32">
        <f>-(N13/360)*'P&amp;L'!N$6</f>
        <v>34432.040183588811</v>
      </c>
      <c r="O7" s="32">
        <f>-(O13/360)*'P&amp;L'!O$6</f>
        <v>35930.93692618543</v>
      </c>
      <c r="P7" s="32">
        <f>-(P13/360)*'P&amp;L'!P$6</f>
        <v>37491.597083234403</v>
      </c>
      <c r="Q7" s="32">
        <f>-(Q13/360)*'P&amp;L'!Q$6</f>
        <v>39122.089007365437</v>
      </c>
    </row>
    <row r="8" spans="2:17" ht="15" thickBot="1" x14ac:dyDescent="0.4">
      <c r="B8" s="33" t="s">
        <v>236</v>
      </c>
      <c r="C8" s="125">
        <f>C5+C6-C7</f>
        <v>1105</v>
      </c>
      <c r="D8" s="125">
        <f t="shared" ref="D8:G8" si="0">D5+D6-D7</f>
        <v>-64</v>
      </c>
      <c r="E8" s="125">
        <f t="shared" si="0"/>
        <v>-2355</v>
      </c>
      <c r="F8" s="125">
        <f t="shared" si="0"/>
        <v>536</v>
      </c>
      <c r="G8" s="125">
        <f t="shared" si="0"/>
        <v>2703</v>
      </c>
      <c r="H8" s="107">
        <f>H5+H6-H7</f>
        <v>731.96376445691931</v>
      </c>
      <c r="I8" s="107">
        <f t="shared" ref="I8:Q8" si="1">I5+I6-I7</f>
        <v>804.99434567225398</v>
      </c>
      <c r="J8" s="107">
        <f t="shared" si="1"/>
        <v>891.52098136924542</v>
      </c>
      <c r="K8" s="107">
        <f t="shared" si="1"/>
        <v>962.55109344660377</v>
      </c>
      <c r="L8" s="107">
        <f t="shared" si="1"/>
        <v>1038.3737058088118</v>
      </c>
      <c r="M8" s="107">
        <f t="shared" si="1"/>
        <v>1080.2221548278176</v>
      </c>
      <c r="N8" s="107">
        <f t="shared" si="1"/>
        <v>1123.6201338191386</v>
      </c>
      <c r="O8" s="107">
        <f t="shared" si="1"/>
        <v>1167.8364096539881</v>
      </c>
      <c r="P8" s="107">
        <f t="shared" si="1"/>
        <v>1213.367529812429</v>
      </c>
      <c r="Q8" s="107">
        <f t="shared" si="1"/>
        <v>1260.6489546035446</v>
      </c>
    </row>
    <row r="9" spans="2:17" x14ac:dyDescent="0.35">
      <c r="B9" s="130"/>
      <c r="C9" s="126"/>
      <c r="D9" s="126"/>
      <c r="E9" s="126"/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</row>
    <row r="10" spans="2:17" x14ac:dyDescent="0.35">
      <c r="B10" s="84" t="s">
        <v>65</v>
      </c>
      <c r="C10" s="106"/>
      <c r="D10" s="106"/>
      <c r="E10" s="106"/>
      <c r="F10" s="106"/>
      <c r="G10" s="106"/>
      <c r="H10" s="133"/>
      <c r="I10" s="106"/>
      <c r="J10" s="106"/>
      <c r="K10" s="106"/>
      <c r="L10" s="106"/>
      <c r="M10" s="106"/>
      <c r="N10" s="106"/>
      <c r="O10" s="106"/>
      <c r="P10" s="106"/>
      <c r="Q10" s="106"/>
    </row>
    <row r="11" spans="2:17" x14ac:dyDescent="0.35">
      <c r="B11" s="139" t="s">
        <v>54</v>
      </c>
      <c r="C11" s="141">
        <f>_xlfn.XLOOKUP($B11,'Balance Sheet Input'!$B$38:$B$48,'Balance Sheet Input'!C$38:C$48)</f>
        <v>19.392953047440802</v>
      </c>
      <c r="D11" s="141">
        <f>_xlfn.XLOOKUP($B11,'Balance Sheet Input'!$B$38:$B$48,'Balance Sheet Input'!D$38:D$48)</f>
        <v>21.529680365296802</v>
      </c>
      <c r="E11" s="141">
        <f>_xlfn.XLOOKUP($B11,'Balance Sheet Input'!$B$38:$B$48,'Balance Sheet Input'!E$38:E$48)</f>
        <v>12.795273396131766</v>
      </c>
      <c r="F11" s="141">
        <f>_xlfn.XLOOKUP($B11,'Balance Sheet Input'!$B$38:$B$48,'Balance Sheet Input'!F$38:F$48)</f>
        <v>13.045591809678132</v>
      </c>
      <c r="G11" s="141">
        <f>_xlfn.XLOOKUP($B11,'Balance Sheet Input'!$B$38:$B$48,'Balance Sheet Input'!G$38:G$48)</f>
        <v>13.049920949025038</v>
      </c>
      <c r="H11" s="141">
        <f>AVERAGE($C11:$G11)</f>
        <v>15.962683913514507</v>
      </c>
      <c r="I11" s="141">
        <f t="shared" ref="I11:Q11" si="2">AVERAGE($C11:$G11)</f>
        <v>15.962683913514507</v>
      </c>
      <c r="J11" s="141">
        <f t="shared" si="2"/>
        <v>15.962683913514507</v>
      </c>
      <c r="K11" s="141">
        <f t="shared" si="2"/>
        <v>15.962683913514507</v>
      </c>
      <c r="L11" s="141">
        <f t="shared" si="2"/>
        <v>15.962683913514507</v>
      </c>
      <c r="M11" s="141">
        <f t="shared" si="2"/>
        <v>15.962683913514507</v>
      </c>
      <c r="N11" s="141">
        <f t="shared" si="2"/>
        <v>15.962683913514507</v>
      </c>
      <c r="O11" s="141">
        <f t="shared" si="2"/>
        <v>15.962683913514507</v>
      </c>
      <c r="P11" s="141">
        <f t="shared" si="2"/>
        <v>15.962683913514507</v>
      </c>
      <c r="Q11" s="141">
        <f t="shared" si="2"/>
        <v>15.962683913514507</v>
      </c>
    </row>
    <row r="12" spans="2:17" x14ac:dyDescent="0.35">
      <c r="B12" s="139" t="s">
        <v>55</v>
      </c>
      <c r="C12" s="141">
        <f>_xlfn.XLOOKUP($B12,'Balance Sheet Input'!$B$38:$B$48,'Balance Sheet Input'!C$38:C$48)</f>
        <v>62.34921254083573</v>
      </c>
      <c r="D12" s="141">
        <f>_xlfn.XLOOKUP($B12,'Balance Sheet Input'!$B$38:$B$48,'Balance Sheet Input'!D$38:D$48)</f>
        <v>59.277282582510239</v>
      </c>
      <c r="E12" s="141">
        <f>_xlfn.XLOOKUP($B12,'Balance Sheet Input'!$B$38:$B$48,'Balance Sheet Input'!E$38:E$48)</f>
        <v>51.533431136086726</v>
      </c>
      <c r="F12" s="141">
        <f>_xlfn.XLOOKUP($B12,'Balance Sheet Input'!$B$38:$B$48,'Balance Sheet Input'!F$38:F$48)</f>
        <v>76.259961391872494</v>
      </c>
      <c r="G12" s="141">
        <f>_xlfn.XLOOKUP($B12,'Balance Sheet Input'!$B$38:$B$48,'Balance Sheet Input'!G$38:G$48)</f>
        <v>62.004474612263479</v>
      </c>
      <c r="H12" s="141">
        <f t="shared" ref="H12:Q13" si="3">AVERAGE($C12:$G12)</f>
        <v>62.284872452713742</v>
      </c>
      <c r="I12" s="141">
        <f t="shared" si="3"/>
        <v>62.284872452713742</v>
      </c>
      <c r="J12" s="141">
        <f t="shared" si="3"/>
        <v>62.284872452713742</v>
      </c>
      <c r="K12" s="141">
        <f t="shared" si="3"/>
        <v>62.284872452713742</v>
      </c>
      <c r="L12" s="141">
        <f t="shared" si="3"/>
        <v>62.284872452713742</v>
      </c>
      <c r="M12" s="141">
        <f t="shared" si="3"/>
        <v>62.284872452713742</v>
      </c>
      <c r="N12" s="141">
        <f t="shared" si="3"/>
        <v>62.284872452713742</v>
      </c>
      <c r="O12" s="141">
        <f t="shared" si="3"/>
        <v>62.284872452713742</v>
      </c>
      <c r="P12" s="141">
        <f t="shared" si="3"/>
        <v>62.284872452713742</v>
      </c>
      <c r="Q12" s="141">
        <f t="shared" si="3"/>
        <v>62.284872452713742</v>
      </c>
    </row>
    <row r="13" spans="2:17" x14ac:dyDescent="0.35">
      <c r="B13" s="139" t="s">
        <v>56</v>
      </c>
      <c r="C13" s="141">
        <f>_xlfn.XLOOKUP($B13,'Balance Sheet Input'!$B$38:$B$48,'Balance Sheet Input'!C$38:C$48)</f>
        <v>66.193378516748751</v>
      </c>
      <c r="D13" s="141">
        <f>_xlfn.XLOOKUP($B13,'Balance Sheet Input'!$B$38:$B$48,'Balance Sheet Input'!D$38:D$48)</f>
        <v>87.463261864610942</v>
      </c>
      <c r="E13" s="141">
        <f>_xlfn.XLOOKUP($B13,'Balance Sheet Input'!$B$38:$B$48,'Balance Sheet Input'!E$38:E$48)</f>
        <v>89.738170425441979</v>
      </c>
      <c r="F13" s="141">
        <f>_xlfn.XLOOKUP($B13,'Balance Sheet Input'!$B$38:$B$48,'Balance Sheet Input'!F$38:F$48)</f>
        <v>90.610305400188096</v>
      </c>
      <c r="G13" s="141">
        <f>_xlfn.XLOOKUP($B13,'Balance Sheet Input'!$B$38:$B$48,'Balance Sheet Input'!G$38:G$48)</f>
        <v>65.667589397444161</v>
      </c>
      <c r="H13" s="141">
        <f t="shared" si="3"/>
        <v>79.934541120886792</v>
      </c>
      <c r="I13" s="141">
        <f t="shared" si="3"/>
        <v>79.934541120886792</v>
      </c>
      <c r="J13" s="141">
        <f t="shared" si="3"/>
        <v>79.934541120886792</v>
      </c>
      <c r="K13" s="141">
        <f t="shared" si="3"/>
        <v>79.934541120886792</v>
      </c>
      <c r="L13" s="141">
        <f t="shared" si="3"/>
        <v>79.934541120886792</v>
      </c>
      <c r="M13" s="141">
        <f t="shared" si="3"/>
        <v>79.934541120886792</v>
      </c>
      <c r="N13" s="141">
        <f t="shared" si="3"/>
        <v>79.934541120886792</v>
      </c>
      <c r="O13" s="141">
        <f t="shared" si="3"/>
        <v>79.934541120886792</v>
      </c>
      <c r="P13" s="141">
        <f t="shared" si="3"/>
        <v>79.934541120886792</v>
      </c>
      <c r="Q13" s="141">
        <f t="shared" si="3"/>
        <v>79.934541120886792</v>
      </c>
    </row>
    <row r="14" spans="2:17" x14ac:dyDescent="0.35">
      <c r="B14" s="139" t="s">
        <v>236</v>
      </c>
      <c r="C14" s="141">
        <f>C11+C12-C13</f>
        <v>15.548787071527784</v>
      </c>
      <c r="D14" s="141">
        <f t="shared" ref="D14:F14" si="4">D11+D12-D13</f>
        <v>-6.6562989168039053</v>
      </c>
      <c r="E14" s="141">
        <f t="shared" si="4"/>
        <v>-25.409465893223484</v>
      </c>
      <c r="F14" s="141">
        <f t="shared" si="4"/>
        <v>-1.3047521986374733</v>
      </c>
      <c r="G14" s="141">
        <f>G11+G12-G13</f>
        <v>9.386806163844355</v>
      </c>
      <c r="H14" s="141">
        <f t="shared" ref="H14:Q14" si="5">H11+H12-H13</f>
        <v>-1.686984754658539</v>
      </c>
      <c r="I14" s="141">
        <f t="shared" si="5"/>
        <v>-1.686984754658539</v>
      </c>
      <c r="J14" s="141">
        <f t="shared" si="5"/>
        <v>-1.686984754658539</v>
      </c>
      <c r="K14" s="141">
        <f t="shared" si="5"/>
        <v>-1.686984754658539</v>
      </c>
      <c r="L14" s="141">
        <f t="shared" si="5"/>
        <v>-1.686984754658539</v>
      </c>
      <c r="M14" s="141">
        <f t="shared" si="5"/>
        <v>-1.686984754658539</v>
      </c>
      <c r="N14" s="141">
        <f t="shared" si="5"/>
        <v>-1.686984754658539</v>
      </c>
      <c r="O14" s="141">
        <f t="shared" si="5"/>
        <v>-1.686984754658539</v>
      </c>
      <c r="P14" s="141">
        <f t="shared" si="5"/>
        <v>-1.686984754658539</v>
      </c>
      <c r="Q14" s="141">
        <f t="shared" si="5"/>
        <v>-1.686984754658539</v>
      </c>
    </row>
    <row r="16" spans="2:17" x14ac:dyDescent="0.35">
      <c r="B16" t="s">
        <v>237</v>
      </c>
    </row>
    <row r="17" spans="2:10" x14ac:dyDescent="0.35">
      <c r="B17" t="s">
        <v>238</v>
      </c>
    </row>
    <row r="18" spans="2:10" x14ac:dyDescent="0.35">
      <c r="B18" t="s">
        <v>239</v>
      </c>
    </row>
    <row r="19" spans="2:10" x14ac:dyDescent="0.35">
      <c r="J19" s="118"/>
    </row>
  </sheetData>
  <mergeCells count="1">
    <mergeCell ref="C3:Q3"/>
  </mergeCells>
  <phoneticPr fontId="3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38"/>
  <sheetViews>
    <sheetView showGridLines="0" tabSelected="1" workbookViewId="0">
      <selection activeCell="D19" sqref="D19"/>
    </sheetView>
  </sheetViews>
  <sheetFormatPr defaultRowHeight="14.5" x14ac:dyDescent="0.35"/>
  <cols>
    <col min="1" max="1" width="2.90625" customWidth="1"/>
    <col min="2" max="2" width="49.08984375" customWidth="1"/>
    <col min="6" max="7" width="8.7265625" customWidth="1"/>
  </cols>
  <sheetData>
    <row r="1" spans="2:13" ht="21" x14ac:dyDescent="0.5">
      <c r="B1" s="4" t="s">
        <v>25</v>
      </c>
      <c r="D1" s="93"/>
      <c r="E1" s="93"/>
      <c r="F1" s="93"/>
      <c r="G1" s="93"/>
      <c r="H1" s="93"/>
    </row>
    <row r="4" spans="2:13" x14ac:dyDescent="0.35">
      <c r="B4" s="11" t="s">
        <v>0</v>
      </c>
      <c r="C4" s="15">
        <v>2019</v>
      </c>
      <c r="D4" s="15">
        <v>2020</v>
      </c>
      <c r="E4" s="15">
        <v>2021</v>
      </c>
      <c r="F4" s="15">
        <v>2022</v>
      </c>
      <c r="G4" s="15">
        <v>2023</v>
      </c>
      <c r="I4" s="119"/>
      <c r="J4" s="119"/>
      <c r="K4" s="119"/>
      <c r="L4" s="119"/>
      <c r="M4" s="119"/>
    </row>
    <row r="5" spans="2:13" x14ac:dyDescent="0.35">
      <c r="B5" s="91" t="s">
        <v>167</v>
      </c>
      <c r="C5" s="92">
        <v>20817.565999999999</v>
      </c>
      <c r="D5" s="92">
        <v>27120.959999999999</v>
      </c>
      <c r="E5" s="92">
        <v>47364.240000000005</v>
      </c>
      <c r="F5" s="92">
        <v>71686.559999999998</v>
      </c>
      <c r="G5" s="92">
        <v>82450.596000000005</v>
      </c>
    </row>
    <row r="6" spans="2:13" x14ac:dyDescent="0.35">
      <c r="B6" s="91" t="s">
        <v>166</v>
      </c>
      <c r="C6" s="92">
        <v>1523.836</v>
      </c>
      <c r="D6" s="92">
        <v>1892.1599999999999</v>
      </c>
      <c r="E6" s="92">
        <v>2691.15</v>
      </c>
      <c r="F6" s="92">
        <v>4073.1000000000004</v>
      </c>
      <c r="G6" s="92">
        <v>5999.9260000000004</v>
      </c>
    </row>
    <row r="7" spans="2:13" x14ac:dyDescent="0.35">
      <c r="B7" s="91" t="s">
        <v>165</v>
      </c>
      <c r="C7" s="92">
        <v>2236.5980000000018</v>
      </c>
      <c r="D7" s="92">
        <v>2522.880000000001</v>
      </c>
      <c r="E7" s="92">
        <v>3767.6099999999933</v>
      </c>
      <c r="F7" s="92">
        <v>5702.3399999999965</v>
      </c>
      <c r="G7" s="92">
        <v>8322.4779999999882</v>
      </c>
    </row>
    <row r="8" spans="2:13" x14ac:dyDescent="0.35">
      <c r="B8" s="96" t="s">
        <v>1</v>
      </c>
      <c r="C8" s="96">
        <f>SUM(C5:C7)</f>
        <v>24578</v>
      </c>
      <c r="D8" s="96">
        <f>SUM(D5:D7)</f>
        <v>31536</v>
      </c>
      <c r="E8" s="96">
        <f>SUM(E5:E7)</f>
        <v>53823</v>
      </c>
      <c r="F8" s="96">
        <f t="shared" ref="F8" si="0">SUM(F5:F7)</f>
        <v>81462</v>
      </c>
      <c r="G8" s="96">
        <f>SUM(G5:G7)</f>
        <v>96773</v>
      </c>
    </row>
    <row r="9" spans="2:13" x14ac:dyDescent="0.35">
      <c r="B9" t="s">
        <v>168</v>
      </c>
      <c r="C9" s="93">
        <v>-16938.565999999999</v>
      </c>
      <c r="D9" s="93">
        <v>-20508.96</v>
      </c>
      <c r="E9" s="93">
        <v>-33629.24</v>
      </c>
      <c r="F9" s="93">
        <v>-51121.56</v>
      </c>
      <c r="G9" s="93">
        <v>-65931.596000000005</v>
      </c>
      <c r="H9" s="93"/>
    </row>
    <row r="10" spans="2:13" x14ac:dyDescent="0.35">
      <c r="B10" t="s">
        <v>169</v>
      </c>
      <c r="C10" s="93">
        <v>-1333.836</v>
      </c>
      <c r="D10" s="93">
        <v>-1874.16</v>
      </c>
      <c r="E10" s="93">
        <v>-2820.15</v>
      </c>
      <c r="F10" s="93">
        <v>-3785.1</v>
      </c>
      <c r="G10" s="93">
        <v>-4858.9260000000004</v>
      </c>
    </row>
    <row r="11" spans="2:13" x14ac:dyDescent="0.35">
      <c r="B11" t="s">
        <v>170</v>
      </c>
      <c r="C11" s="93">
        <v>-2236.598</v>
      </c>
      <c r="D11" s="93">
        <v>-2522.88</v>
      </c>
      <c r="E11" s="93">
        <v>-3767.61</v>
      </c>
      <c r="F11" s="93">
        <v>-5702.34</v>
      </c>
      <c r="G11" s="93">
        <v>-8322.4779999999901</v>
      </c>
    </row>
    <row r="12" spans="2:13" x14ac:dyDescent="0.35">
      <c r="B12" s="96" t="s">
        <v>3</v>
      </c>
      <c r="C12" s="97">
        <f>SUM(C9:C11)</f>
        <v>-20509</v>
      </c>
      <c r="D12" s="97">
        <f>SUM(D9:D11)</f>
        <v>-24906</v>
      </c>
      <c r="E12" s="97">
        <f>SUM(E9:E11)</f>
        <v>-40217</v>
      </c>
      <c r="F12" s="97">
        <f t="shared" ref="F12" si="1">SUM(F9:F11)</f>
        <v>-60609</v>
      </c>
      <c r="G12" s="97">
        <f>SUM(G9:G11)</f>
        <v>-79113</v>
      </c>
    </row>
    <row r="13" spans="2:13" x14ac:dyDescent="0.35">
      <c r="B13" s="11" t="s">
        <v>15</v>
      </c>
      <c r="C13" s="94">
        <f>C8+C12</f>
        <v>4069</v>
      </c>
      <c r="D13" s="94">
        <f>D8+D12</f>
        <v>6630</v>
      </c>
      <c r="E13" s="94">
        <f>E8+E12</f>
        <v>13606</v>
      </c>
      <c r="F13" s="94">
        <f t="shared" ref="F13" si="2">F8+F12</f>
        <v>20853</v>
      </c>
      <c r="G13" s="94">
        <f>G8+G12</f>
        <v>17660</v>
      </c>
    </row>
    <row r="14" spans="2:13" x14ac:dyDescent="0.35">
      <c r="B14" t="s">
        <v>4</v>
      </c>
      <c r="C14" s="95">
        <v>-1343</v>
      </c>
      <c r="D14" s="95">
        <v>-1491</v>
      </c>
      <c r="E14" s="95">
        <v>-2593</v>
      </c>
      <c r="F14" s="95">
        <v>-3075</v>
      </c>
      <c r="G14" s="95">
        <v>-3969</v>
      </c>
    </row>
    <row r="15" spans="2:13" x14ac:dyDescent="0.35">
      <c r="B15" t="s">
        <v>5</v>
      </c>
      <c r="C15" s="95">
        <v>-2646</v>
      </c>
      <c r="D15" s="95">
        <v>-3145</v>
      </c>
      <c r="E15" s="95">
        <v>-4517</v>
      </c>
      <c r="F15" s="95">
        <v>-3946</v>
      </c>
      <c r="G15" s="95">
        <v>-4800</v>
      </c>
    </row>
    <row r="16" spans="2:13" x14ac:dyDescent="0.35">
      <c r="B16" t="s">
        <v>10</v>
      </c>
      <c r="C16" s="95">
        <v>-149</v>
      </c>
      <c r="D16" s="95" t="s">
        <v>2</v>
      </c>
      <c r="E16" s="95" t="s">
        <v>2</v>
      </c>
      <c r="F16" s="95" t="s">
        <v>2</v>
      </c>
      <c r="G16" s="95" t="s">
        <v>2</v>
      </c>
    </row>
    <row r="17" spans="2:7" x14ac:dyDescent="0.35">
      <c r="B17" s="11" t="s">
        <v>6</v>
      </c>
      <c r="C17" s="94">
        <f>SUM(C13:C16)</f>
        <v>-69</v>
      </c>
      <c r="D17" s="94">
        <f>SUM(D13:D16)</f>
        <v>1994</v>
      </c>
      <c r="E17" s="94">
        <f>SUM(E13:E16)</f>
        <v>6496</v>
      </c>
      <c r="F17" s="94">
        <f>SUM(F13:F16)</f>
        <v>13832</v>
      </c>
      <c r="G17" s="94">
        <f>SUM(G13:G16)</f>
        <v>8891</v>
      </c>
    </row>
    <row r="18" spans="2:7" x14ac:dyDescent="0.35">
      <c r="B18" t="s">
        <v>12</v>
      </c>
      <c r="C18" s="95">
        <v>44</v>
      </c>
      <c r="D18" s="95">
        <v>30</v>
      </c>
      <c r="E18" s="95">
        <v>56</v>
      </c>
      <c r="F18" s="95">
        <v>297</v>
      </c>
      <c r="G18" s="95">
        <v>1066</v>
      </c>
    </row>
    <row r="19" spans="2:7" x14ac:dyDescent="0.35">
      <c r="B19" t="s">
        <v>7</v>
      </c>
      <c r="C19" s="95">
        <v>-685</v>
      </c>
      <c r="D19" s="95">
        <v>-122</v>
      </c>
      <c r="E19" s="95">
        <v>-371</v>
      </c>
      <c r="F19" s="95">
        <v>-191</v>
      </c>
      <c r="G19" s="95">
        <v>-156</v>
      </c>
    </row>
    <row r="20" spans="2:7" x14ac:dyDescent="0.35">
      <c r="B20" t="s">
        <v>11</v>
      </c>
      <c r="C20" s="95">
        <v>45</v>
      </c>
      <c r="D20" s="95">
        <v>-748</v>
      </c>
      <c r="E20" s="95">
        <v>162</v>
      </c>
      <c r="F20" s="95">
        <v>-219</v>
      </c>
      <c r="G20" s="95">
        <v>172</v>
      </c>
    </row>
    <row r="21" spans="2:7" x14ac:dyDescent="0.35">
      <c r="B21" s="11" t="s">
        <v>9</v>
      </c>
      <c r="C21" s="94">
        <f>SUM(C17:C20)</f>
        <v>-665</v>
      </c>
      <c r="D21" s="94">
        <f>SUM(D17:D20)</f>
        <v>1154</v>
      </c>
      <c r="E21" s="94">
        <f>SUM(E17:E20)</f>
        <v>6343</v>
      </c>
      <c r="F21" s="94">
        <f t="shared" ref="F21" si="3">SUM(F17:F20)</f>
        <v>13719</v>
      </c>
      <c r="G21" s="94">
        <f>SUM(G17:G20)</f>
        <v>9973</v>
      </c>
    </row>
    <row r="22" spans="2:7" x14ac:dyDescent="0.35">
      <c r="B22" t="s">
        <v>13</v>
      </c>
      <c r="C22" s="95">
        <v>-110</v>
      </c>
      <c r="D22" s="95">
        <v>-292</v>
      </c>
      <c r="E22" s="95">
        <v>-699</v>
      </c>
      <c r="F22" s="95">
        <v>-1132</v>
      </c>
      <c r="G22" s="95">
        <v>-5001</v>
      </c>
    </row>
    <row r="23" spans="2:7" x14ac:dyDescent="0.35">
      <c r="B23" s="11" t="s">
        <v>14</v>
      </c>
      <c r="C23" s="94">
        <f>SUM(C21:C22)</f>
        <v>-775</v>
      </c>
      <c r="D23" s="94">
        <f>SUM(D21:D22)</f>
        <v>862</v>
      </c>
      <c r="E23" s="94">
        <f>SUM(E21:E22)</f>
        <v>5644</v>
      </c>
      <c r="F23" s="94">
        <f t="shared" ref="F23" si="4">SUM(F21:F22)</f>
        <v>12587</v>
      </c>
      <c r="G23" s="94">
        <f>SUM(G21:G22)</f>
        <v>4972</v>
      </c>
    </row>
    <row r="24" spans="2:7" x14ac:dyDescent="0.35">
      <c r="B24" t="s">
        <v>8</v>
      </c>
      <c r="C24" s="95">
        <v>-87</v>
      </c>
      <c r="D24" s="95">
        <v>-141</v>
      </c>
      <c r="E24" s="95">
        <v>-125</v>
      </c>
      <c r="F24" s="95">
        <v>-31</v>
      </c>
      <c r="G24" s="95">
        <v>-23</v>
      </c>
    </row>
    <row r="25" spans="2:7" x14ac:dyDescent="0.35">
      <c r="B25" s="11" t="s">
        <v>172</v>
      </c>
      <c r="C25" s="94">
        <f>SUM(C23:C24)</f>
        <v>-862</v>
      </c>
      <c r="D25" s="94">
        <f>SUM(D23:D24)</f>
        <v>721</v>
      </c>
      <c r="E25" s="94">
        <f>SUM(E23:E24)</f>
        <v>5519</v>
      </c>
      <c r="F25" s="94">
        <f t="shared" ref="F25" si="5">SUM(F23:F24)</f>
        <v>12556</v>
      </c>
      <c r="G25" s="94">
        <f>SUM(G23:G24)</f>
        <v>4949</v>
      </c>
    </row>
    <row r="27" spans="2:7" x14ac:dyDescent="0.35">
      <c r="B27" s="1" t="s">
        <v>16</v>
      </c>
      <c r="C27" s="2"/>
      <c r="D27" s="2"/>
      <c r="E27" s="2"/>
      <c r="F27" s="2"/>
      <c r="G27" s="2"/>
    </row>
    <row r="28" spans="2:7" x14ac:dyDescent="0.35">
      <c r="B28" s="2" t="s">
        <v>17</v>
      </c>
      <c r="C28" s="113"/>
      <c r="D28" s="113">
        <f t="shared" ref="D28:G30" si="6">D5/C5-1</f>
        <v>0.30279207473150316</v>
      </c>
      <c r="E28" s="113">
        <f t="shared" si="6"/>
        <v>0.74640720682453754</v>
      </c>
      <c r="F28" s="113">
        <f t="shared" si="6"/>
        <v>0.51351652639206269</v>
      </c>
      <c r="G28" s="113">
        <f t="shared" si="6"/>
        <v>0.15015417115844309</v>
      </c>
    </row>
    <row r="29" spans="2:7" x14ac:dyDescent="0.35">
      <c r="B29" s="2" t="s">
        <v>18</v>
      </c>
      <c r="C29" s="113"/>
      <c r="D29" s="113">
        <f t="shared" si="6"/>
        <v>0.24170842531610992</v>
      </c>
      <c r="E29" s="113">
        <f t="shared" si="6"/>
        <v>0.42226344495180124</v>
      </c>
      <c r="F29" s="113">
        <f t="shared" si="6"/>
        <v>0.51351652639206291</v>
      </c>
      <c r="G29" s="113">
        <f t="shared" si="6"/>
        <v>0.47306130465738616</v>
      </c>
    </row>
    <row r="30" spans="2:7" x14ac:dyDescent="0.35">
      <c r="B30" s="2" t="s">
        <v>19</v>
      </c>
      <c r="C30" s="113"/>
      <c r="D30" s="113">
        <f t="shared" si="6"/>
        <v>0.12799886255822424</v>
      </c>
      <c r="E30" s="113">
        <f t="shared" si="6"/>
        <v>0.49337661719938786</v>
      </c>
      <c r="F30" s="113">
        <f t="shared" si="6"/>
        <v>0.51351652639206469</v>
      </c>
      <c r="G30" s="113">
        <f t="shared" si="6"/>
        <v>0.45948470277114195</v>
      </c>
    </row>
    <row r="31" spans="2:7" x14ac:dyDescent="0.35">
      <c r="B31" s="2" t="s">
        <v>20</v>
      </c>
      <c r="C31" s="113">
        <f t="shared" ref="C31:E33" si="7">(C9+C5)/C5</f>
        <v>0.18633302279430747</v>
      </c>
      <c r="D31" s="113">
        <f t="shared" si="7"/>
        <v>0.24379667976354821</v>
      </c>
      <c r="E31" s="113">
        <f t="shared" si="7"/>
        <v>0.28998670727113968</v>
      </c>
      <c r="F31" s="113">
        <f t="shared" ref="F31" si="8">(F9+F5)/F5</f>
        <v>0.28687385752643174</v>
      </c>
      <c r="G31" s="113">
        <f>(G9+G5)/G5</f>
        <v>0.20035028006346975</v>
      </c>
    </row>
    <row r="32" spans="2:7" x14ac:dyDescent="0.35">
      <c r="B32" s="2" t="s">
        <v>21</v>
      </c>
      <c r="C32" s="113">
        <f t="shared" si="7"/>
        <v>0.12468533359232883</v>
      </c>
      <c r="D32" s="113">
        <f t="shared" si="7"/>
        <v>9.5129375951292557E-3</v>
      </c>
      <c r="E32" s="113">
        <f t="shared" si="7"/>
        <v>-4.7934897720305444E-2</v>
      </c>
      <c r="F32" s="113">
        <f>(F10+F6)/F6</f>
        <v>7.0707814686602449E-2</v>
      </c>
      <c r="G32" s="113">
        <f t="shared" ref="G32" si="9">(G10+G6)/G6</f>
        <v>0.19016901208448236</v>
      </c>
    </row>
    <row r="33" spans="2:7" x14ac:dyDescent="0.35">
      <c r="B33" s="2" t="s">
        <v>22</v>
      </c>
      <c r="C33" s="113">
        <f t="shared" si="7"/>
        <v>8.1328401596793661E-16</v>
      </c>
      <c r="D33" s="113">
        <f t="shared" si="7"/>
        <v>3.6049859754444437E-16</v>
      </c>
      <c r="E33" s="113">
        <f t="shared" si="7"/>
        <v>-1.8104873549271219E-15</v>
      </c>
      <c r="F33" s="113">
        <f>(F11+F7)/F7</f>
        <v>-6.3797998840681461E-16</v>
      </c>
      <c r="G33" s="113">
        <f t="shared" ref="G33" si="10">(G11+G7)/G7</f>
        <v>-2.1856343790225208E-16</v>
      </c>
    </row>
    <row r="34" spans="2:7" x14ac:dyDescent="0.35">
      <c r="B34" s="2" t="s">
        <v>23</v>
      </c>
      <c r="C34" s="113">
        <f>1-(-C12/C8)</f>
        <v>0.16555456098950283</v>
      </c>
      <c r="D34" s="113">
        <f>1-(-D12/D8)</f>
        <v>0.2102359208523592</v>
      </c>
      <c r="E34" s="113">
        <f>1-(-E12/E8)</f>
        <v>0.25279155751258753</v>
      </c>
      <c r="F34" s="113">
        <f t="shared" ref="F34" si="11">1-(-F12/F8)</f>
        <v>0.25598438535759005</v>
      </c>
      <c r="G34" s="113">
        <f>1-(-G12/G8)</f>
        <v>0.18248891736331418</v>
      </c>
    </row>
    <row r="35" spans="2:7" x14ac:dyDescent="0.35">
      <c r="B35" s="2" t="s">
        <v>24</v>
      </c>
      <c r="C35" s="113">
        <f>C17/C8</f>
        <v>-2.8073887216209618E-3</v>
      </c>
      <c r="D35" s="113">
        <f>D17/D8</f>
        <v>6.3229325215626589E-2</v>
      </c>
      <c r="E35" s="113">
        <f>E17/E8</f>
        <v>0.12069189751593185</v>
      </c>
      <c r="F35" s="113">
        <f t="shared" ref="F35" si="12">F17/F8</f>
        <v>0.16979696054602145</v>
      </c>
      <c r="G35" s="113">
        <f>G17/G8</f>
        <v>9.1874799789197395E-2</v>
      </c>
    </row>
    <row r="36" spans="2:7" x14ac:dyDescent="0.35">
      <c r="B36" s="2" t="s">
        <v>171</v>
      </c>
      <c r="C36" s="113">
        <f>C25/C8</f>
        <v>-3.5072015623728539E-2</v>
      </c>
      <c r="D36" s="113">
        <f>D25/D8</f>
        <v>2.2862760020294266E-2</v>
      </c>
      <c r="E36" s="113">
        <f>E25/E8</f>
        <v>0.10253980640246735</v>
      </c>
      <c r="F36" s="113">
        <f t="shared" ref="F36" si="13">F25/F8</f>
        <v>0.15413321548697553</v>
      </c>
      <c r="G36" s="113">
        <f>G25/G8</f>
        <v>5.1140297397001232E-2</v>
      </c>
    </row>
    <row r="37" spans="2:7" x14ac:dyDescent="0.35">
      <c r="B37" s="2" t="s">
        <v>173</v>
      </c>
      <c r="C37" s="113">
        <f>C25/'Balance Sheet Input'!C19</f>
        <v>-2.5124602873881487E-2</v>
      </c>
      <c r="D37" s="113">
        <f>D25/'Balance Sheet Input'!D19</f>
        <v>1.3826033596686355E-2</v>
      </c>
      <c r="E37" s="113">
        <f>E25/'Balance Sheet Input'!E19</f>
        <v>8.8828443128229059E-2</v>
      </c>
      <c r="F37" s="113">
        <f>F25/'Balance Sheet Input'!F19</f>
        <v>0.1524933809419709</v>
      </c>
      <c r="G37" s="113">
        <f>G25/'Balance Sheet Input'!G19</f>
        <v>4.6418053236789283E-2</v>
      </c>
    </row>
    <row r="38" spans="2:7" x14ac:dyDescent="0.35">
      <c r="B38" s="2" t="s">
        <v>174</v>
      </c>
      <c r="C38" s="113">
        <f>C25/'Balance Sheet Input'!C34</f>
        <v>-0.13025083106678756</v>
      </c>
      <c r="D38" s="113">
        <f>D25/'Balance Sheet Input'!D34</f>
        <v>3.2440944881889762E-2</v>
      </c>
      <c r="E38" s="113">
        <f>E25/'Balance Sheet Input'!E34</f>
        <v>0.18281493259134121</v>
      </c>
      <c r="F38" s="113">
        <f>F25/'Balance Sheet Input'!F34</f>
        <v>0.28086972083035078</v>
      </c>
      <c r="G38" s="113">
        <f>G25/'Balance Sheet Input'!G34</f>
        <v>7.901459271322285E-2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91DA-459A-4B9B-9A68-4C2BFE267EA7}">
  <dimension ref="B1:Q19"/>
  <sheetViews>
    <sheetView showGridLines="0" workbookViewId="0">
      <selection sqref="A1:A1048576"/>
    </sheetView>
  </sheetViews>
  <sheetFormatPr defaultRowHeight="14.5" x14ac:dyDescent="0.35"/>
  <cols>
    <col min="1" max="1" width="2.90625" customWidth="1"/>
    <col min="2" max="2" width="35.26953125" customWidth="1"/>
    <col min="3" max="3" width="10.36328125" bestFit="1" customWidth="1"/>
    <col min="4" max="7" width="9.6328125" customWidth="1"/>
    <col min="8" max="17" width="11.08984375" customWidth="1"/>
  </cols>
  <sheetData>
    <row r="1" spans="2:17" ht="18" x14ac:dyDescent="0.35">
      <c r="B1" s="49" t="s">
        <v>297</v>
      </c>
      <c r="C1" s="17"/>
      <c r="D1" s="17"/>
      <c r="E1" s="17"/>
      <c r="F1" s="76"/>
      <c r="G1" s="76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2:17" ht="15.5" x14ac:dyDescent="0.35">
      <c r="B2" s="16"/>
      <c r="C2" s="77"/>
      <c r="D2" s="77"/>
      <c r="E2" s="77"/>
      <c r="F2" s="77"/>
      <c r="G2" s="77"/>
      <c r="H2" s="17"/>
      <c r="I2" s="17"/>
      <c r="J2" s="17"/>
      <c r="K2" s="17"/>
      <c r="L2" s="17"/>
      <c r="M2" s="17"/>
      <c r="N2" s="17"/>
      <c r="O2" s="17"/>
      <c r="P2" s="17"/>
      <c r="Q2" s="17"/>
    </row>
    <row r="19" spans="10:10" x14ac:dyDescent="0.35">
      <c r="J19" s="118"/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3810-2903-4E2F-A916-09AB9A26C833}">
  <sheetPr>
    <tabColor theme="5" tint="-0.499984740745262"/>
  </sheetPr>
  <dimension ref="C11:K22"/>
  <sheetViews>
    <sheetView showGridLines="0" workbookViewId="0">
      <selection activeCell="C23" sqref="C23"/>
    </sheetView>
  </sheetViews>
  <sheetFormatPr defaultRowHeight="14.5" x14ac:dyDescent="0.35"/>
  <sheetData>
    <row r="11" spans="3:11" x14ac:dyDescent="0.35">
      <c r="C11" s="229" t="s">
        <v>298</v>
      </c>
      <c r="D11" s="229"/>
      <c r="E11" s="229"/>
      <c r="F11" s="229"/>
      <c r="G11" s="229"/>
      <c r="H11" s="229"/>
      <c r="I11" s="229"/>
      <c r="J11" s="229"/>
      <c r="K11" s="229"/>
    </row>
    <row r="12" spans="3:11" x14ac:dyDescent="0.35">
      <c r="C12" s="229"/>
      <c r="D12" s="229"/>
      <c r="E12" s="229"/>
      <c r="F12" s="229"/>
      <c r="G12" s="229"/>
      <c r="H12" s="229"/>
      <c r="I12" s="229"/>
      <c r="J12" s="229"/>
      <c r="K12" s="229"/>
    </row>
    <row r="13" spans="3:11" x14ac:dyDescent="0.35">
      <c r="C13" s="229"/>
      <c r="D13" s="229"/>
      <c r="E13" s="229"/>
      <c r="F13" s="229"/>
      <c r="G13" s="229"/>
      <c r="H13" s="229"/>
      <c r="I13" s="229"/>
      <c r="J13" s="229"/>
      <c r="K13" s="229"/>
    </row>
    <row r="14" spans="3:11" x14ac:dyDescent="0.35">
      <c r="C14" s="229"/>
      <c r="D14" s="229"/>
      <c r="E14" s="229"/>
      <c r="F14" s="229"/>
      <c r="G14" s="229"/>
      <c r="H14" s="229"/>
      <c r="I14" s="229"/>
      <c r="J14" s="229"/>
      <c r="K14" s="229"/>
    </row>
    <row r="15" spans="3:11" x14ac:dyDescent="0.35">
      <c r="C15" s="229"/>
      <c r="D15" s="229"/>
      <c r="E15" s="229"/>
      <c r="F15" s="229"/>
      <c r="G15" s="229"/>
      <c r="H15" s="229"/>
      <c r="I15" s="229"/>
      <c r="J15" s="229"/>
      <c r="K15" s="229"/>
    </row>
    <row r="16" spans="3:11" x14ac:dyDescent="0.35">
      <c r="C16" s="229"/>
      <c r="D16" s="229"/>
      <c r="E16" s="229"/>
      <c r="F16" s="229"/>
      <c r="G16" s="229"/>
      <c r="H16" s="229"/>
      <c r="I16" s="229"/>
      <c r="J16" s="229"/>
      <c r="K16" s="229"/>
    </row>
    <row r="17" spans="3:11" x14ac:dyDescent="0.35">
      <c r="C17" s="229"/>
      <c r="D17" s="229"/>
      <c r="E17" s="229"/>
      <c r="F17" s="229"/>
      <c r="G17" s="229"/>
      <c r="H17" s="229"/>
      <c r="I17" s="229"/>
      <c r="J17" s="229"/>
      <c r="K17" s="229"/>
    </row>
    <row r="18" spans="3:11" x14ac:dyDescent="0.35">
      <c r="C18" s="229"/>
      <c r="D18" s="229"/>
      <c r="E18" s="229"/>
      <c r="F18" s="229"/>
      <c r="G18" s="229"/>
      <c r="H18" s="229"/>
      <c r="I18" s="229"/>
      <c r="J18" s="229"/>
      <c r="K18" s="229"/>
    </row>
    <row r="19" spans="3:11" x14ac:dyDescent="0.35">
      <c r="C19" s="229"/>
      <c r="D19" s="229"/>
      <c r="E19" s="229"/>
      <c r="F19" s="229"/>
      <c r="G19" s="229"/>
      <c r="H19" s="229"/>
      <c r="I19" s="229"/>
      <c r="J19" s="229"/>
      <c r="K19" s="229"/>
    </row>
    <row r="20" spans="3:11" x14ac:dyDescent="0.35">
      <c r="C20" s="229"/>
      <c r="D20" s="229"/>
      <c r="E20" s="229"/>
      <c r="F20" s="229"/>
      <c r="G20" s="229"/>
      <c r="H20" s="229"/>
      <c r="I20" s="229"/>
      <c r="J20" s="229"/>
      <c r="K20" s="229"/>
    </row>
    <row r="21" spans="3:11" x14ac:dyDescent="0.35">
      <c r="C21" s="229"/>
      <c r="D21" s="229"/>
      <c r="E21" s="229"/>
      <c r="F21" s="229"/>
      <c r="G21" s="229"/>
      <c r="H21" s="229"/>
      <c r="I21" s="229"/>
      <c r="J21" s="229"/>
      <c r="K21" s="229"/>
    </row>
    <row r="22" spans="3:11" x14ac:dyDescent="0.35">
      <c r="C22" s="229"/>
      <c r="D22" s="229"/>
      <c r="E22" s="229"/>
      <c r="F22" s="229"/>
      <c r="G22" s="229"/>
      <c r="H22" s="229"/>
      <c r="I22" s="229"/>
      <c r="J22" s="229"/>
      <c r="K22" s="229"/>
    </row>
  </sheetData>
  <mergeCells count="1">
    <mergeCell ref="C11:K2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5749-8233-4B65-8D45-DC4B92AB274D}">
  <dimension ref="B1:Q20"/>
  <sheetViews>
    <sheetView showGridLines="0" workbookViewId="0">
      <selection activeCell="H23" sqref="H23"/>
    </sheetView>
  </sheetViews>
  <sheetFormatPr defaultRowHeight="14.5" x14ac:dyDescent="0.35"/>
  <cols>
    <col min="1" max="1" width="2.90625" customWidth="1"/>
    <col min="2" max="2" width="19.453125" customWidth="1"/>
    <col min="3" max="17" width="10.6328125" customWidth="1"/>
  </cols>
  <sheetData>
    <row r="1" spans="2:17" ht="18" x14ac:dyDescent="0.4">
      <c r="B1" s="166" t="s">
        <v>303</v>
      </c>
      <c r="C1" s="170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</row>
    <row r="2" spans="2:17" x14ac:dyDescent="0.35"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</row>
    <row r="3" spans="2:17" x14ac:dyDescent="0.35">
      <c r="B3" s="172" t="s">
        <v>304</v>
      </c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</row>
    <row r="4" spans="2:17" x14ac:dyDescent="0.35">
      <c r="B4" s="172" t="s">
        <v>305</v>
      </c>
      <c r="C4" s="173">
        <v>0.5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</row>
    <row r="5" spans="2:17" x14ac:dyDescent="0.35">
      <c r="B5" s="172" t="s">
        <v>287</v>
      </c>
      <c r="C5" s="173">
        <v>0.5</v>
      </c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</row>
    <row r="6" spans="2:17" x14ac:dyDescent="0.35">
      <c r="B6" s="172"/>
      <c r="C6" s="174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</row>
    <row r="7" spans="2:17" x14ac:dyDescent="0.35">
      <c r="B7" s="172" t="s">
        <v>306</v>
      </c>
      <c r="C7" s="175">
        <f>Drivers!C11</f>
        <v>4.5339999999999998E-2</v>
      </c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</row>
    <row r="8" spans="2:17" x14ac:dyDescent="0.35">
      <c r="B8" s="172"/>
      <c r="C8" s="174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</row>
    <row r="9" spans="2:17" x14ac:dyDescent="0.35">
      <c r="B9" s="172"/>
      <c r="C9" s="230" t="s">
        <v>307</v>
      </c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  <c r="P9" s="230"/>
      <c r="Q9" s="230"/>
    </row>
    <row r="10" spans="2:17" ht="28" x14ac:dyDescent="0.35">
      <c r="B10" s="167" t="s">
        <v>201</v>
      </c>
      <c r="C10" s="29" t="s">
        <v>83</v>
      </c>
      <c r="D10" s="29" t="s">
        <v>102</v>
      </c>
      <c r="E10" s="29" t="s">
        <v>103</v>
      </c>
      <c r="F10" s="29" t="s">
        <v>104</v>
      </c>
      <c r="G10" s="29" t="s">
        <v>105</v>
      </c>
      <c r="H10" s="30" t="s">
        <v>84</v>
      </c>
      <c r="I10" s="30" t="s">
        <v>85</v>
      </c>
      <c r="J10" s="30" t="s">
        <v>86</v>
      </c>
      <c r="K10" s="30" t="s">
        <v>87</v>
      </c>
      <c r="L10" s="30" t="s">
        <v>88</v>
      </c>
      <c r="M10" s="30" t="s">
        <v>89</v>
      </c>
      <c r="N10" s="30" t="s">
        <v>106</v>
      </c>
      <c r="O10" s="30" t="s">
        <v>107</v>
      </c>
      <c r="P10" s="30" t="s">
        <v>108</v>
      </c>
      <c r="Q10" s="30" t="s">
        <v>109</v>
      </c>
    </row>
    <row r="11" spans="2:17" ht="42" x14ac:dyDescent="0.35">
      <c r="B11" s="185" t="s">
        <v>308</v>
      </c>
      <c r="C11" s="186">
        <f>'Balance Sheet'!C28</f>
        <v>12627</v>
      </c>
      <c r="D11" s="186">
        <f>'Balance Sheet'!D28</f>
        <v>10888</v>
      </c>
      <c r="E11" s="186">
        <f>'Balance Sheet'!E28</f>
        <v>6916</v>
      </c>
      <c r="F11" s="186">
        <f>'Balance Sheet'!F28</f>
        <v>3761</v>
      </c>
      <c r="G11" s="186">
        <f>'Balance Sheet'!G28</f>
        <v>6528</v>
      </c>
      <c r="H11" s="177">
        <f>G11+H19</f>
        <v>6528</v>
      </c>
      <c r="I11" s="177">
        <f t="shared" ref="I11:Q11" si="0">H11+I19</f>
        <v>6528</v>
      </c>
      <c r="J11" s="177">
        <f t="shared" si="0"/>
        <v>6528</v>
      </c>
      <c r="K11" s="177">
        <f t="shared" si="0"/>
        <v>6528</v>
      </c>
      <c r="L11" s="177">
        <f t="shared" si="0"/>
        <v>6528</v>
      </c>
      <c r="M11" s="177">
        <f t="shared" si="0"/>
        <v>6528</v>
      </c>
      <c r="N11" s="177">
        <f t="shared" si="0"/>
        <v>6528</v>
      </c>
      <c r="O11" s="177">
        <f t="shared" si="0"/>
        <v>6528</v>
      </c>
      <c r="P11" s="177">
        <f t="shared" si="0"/>
        <v>6528</v>
      </c>
      <c r="Q11" s="177">
        <f t="shared" si="0"/>
        <v>6528</v>
      </c>
    </row>
    <row r="12" spans="2:17" x14ac:dyDescent="0.35">
      <c r="B12" s="172" t="str">
        <f>'[1]P&amp;L Input'!B17</f>
        <v>Interest expense</v>
      </c>
      <c r="C12" s="176">
        <f>'P&amp;L Input'!C19</f>
        <v>-685</v>
      </c>
      <c r="D12" s="176">
        <f>'P&amp;L Input'!D19</f>
        <v>-122</v>
      </c>
      <c r="E12" s="176">
        <f>'P&amp;L Input'!E19</f>
        <v>-371</v>
      </c>
      <c r="F12" s="176">
        <f>'P&amp;L Input'!F19</f>
        <v>-191</v>
      </c>
      <c r="G12" s="176">
        <f>'P&amp;L Input'!G19</f>
        <v>-156</v>
      </c>
      <c r="H12" s="178">
        <f>H11*H13</f>
        <v>-295.97951999999998</v>
      </c>
      <c r="I12" s="178">
        <f t="shared" ref="I12:Q12" si="1">I11*I13</f>
        <v>-295.97951999999998</v>
      </c>
      <c r="J12" s="178">
        <f t="shared" si="1"/>
        <v>-295.97951999999998</v>
      </c>
      <c r="K12" s="178">
        <f t="shared" si="1"/>
        <v>-295.97951999999998</v>
      </c>
      <c r="L12" s="178">
        <f t="shared" si="1"/>
        <v>-295.97951999999998</v>
      </c>
      <c r="M12" s="178">
        <f t="shared" si="1"/>
        <v>-295.97951999999998</v>
      </c>
      <c r="N12" s="178">
        <f t="shared" si="1"/>
        <v>-295.97951999999998</v>
      </c>
      <c r="O12" s="178">
        <f t="shared" si="1"/>
        <v>-295.97951999999998</v>
      </c>
      <c r="P12" s="178">
        <f t="shared" si="1"/>
        <v>-295.97951999999998</v>
      </c>
      <c r="Q12" s="178">
        <f t="shared" si="1"/>
        <v>-295.97951999999998</v>
      </c>
    </row>
    <row r="13" spans="2:17" x14ac:dyDescent="0.35">
      <c r="B13" s="172" t="s">
        <v>309</v>
      </c>
      <c r="C13" s="179">
        <f>C12/C11</f>
        <v>-5.4248831868218897E-2</v>
      </c>
      <c r="D13" s="179">
        <f>D12/D11</f>
        <v>-1.1204996326230713E-2</v>
      </c>
      <c r="E13" s="179">
        <f>E12/E11</f>
        <v>-5.3643724696356275E-2</v>
      </c>
      <c r="F13" s="179">
        <f>F12/F11</f>
        <v>-5.0784365860143579E-2</v>
      </c>
      <c r="G13" s="179">
        <f>G12/G11</f>
        <v>-2.389705882352941E-2</v>
      </c>
      <c r="H13" s="180">
        <f>-$C$7</f>
        <v>-4.5339999999999998E-2</v>
      </c>
      <c r="I13" s="180">
        <f t="shared" ref="I13:Q13" si="2">-$C$7</f>
        <v>-4.5339999999999998E-2</v>
      </c>
      <c r="J13" s="180">
        <f t="shared" si="2"/>
        <v>-4.5339999999999998E-2</v>
      </c>
      <c r="K13" s="180">
        <f t="shared" si="2"/>
        <v>-4.5339999999999998E-2</v>
      </c>
      <c r="L13" s="180">
        <f t="shared" si="2"/>
        <v>-4.5339999999999998E-2</v>
      </c>
      <c r="M13" s="180">
        <f t="shared" si="2"/>
        <v>-4.5339999999999998E-2</v>
      </c>
      <c r="N13" s="180">
        <f t="shared" si="2"/>
        <v>-4.5339999999999998E-2</v>
      </c>
      <c r="O13" s="180">
        <f t="shared" si="2"/>
        <v>-4.5339999999999998E-2</v>
      </c>
      <c r="P13" s="180">
        <f t="shared" si="2"/>
        <v>-4.5339999999999998E-2</v>
      </c>
      <c r="Q13" s="180">
        <f t="shared" si="2"/>
        <v>-4.5339999999999998E-2</v>
      </c>
    </row>
    <row r="14" spans="2:17" x14ac:dyDescent="0.35">
      <c r="B14" s="172"/>
      <c r="C14" s="179"/>
      <c r="D14" s="179"/>
      <c r="E14" s="179"/>
      <c r="F14" s="179"/>
      <c r="G14" s="179"/>
      <c r="H14" s="175"/>
      <c r="I14" s="175"/>
      <c r="J14" s="175"/>
      <c r="K14" s="175"/>
      <c r="L14" s="175"/>
      <c r="M14" s="172"/>
      <c r="N14" s="172"/>
      <c r="O14" s="172"/>
      <c r="P14" s="172"/>
      <c r="Q14" s="172"/>
    </row>
    <row r="15" spans="2:17" x14ac:dyDescent="0.35">
      <c r="B15" s="172"/>
      <c r="C15" s="179"/>
      <c r="D15" s="179"/>
      <c r="E15" s="179"/>
      <c r="F15" s="179"/>
      <c r="G15" s="179"/>
      <c r="H15" s="175"/>
      <c r="I15" s="175"/>
      <c r="J15" s="175"/>
      <c r="K15" s="175"/>
      <c r="L15" s="175"/>
      <c r="M15" s="172"/>
      <c r="N15" s="172"/>
      <c r="O15" s="172"/>
      <c r="P15" s="172"/>
      <c r="Q15" s="172"/>
    </row>
    <row r="16" spans="2:17" x14ac:dyDescent="0.35">
      <c r="B16" s="172"/>
      <c r="C16" s="230" t="s">
        <v>252</v>
      </c>
      <c r="D16" s="230"/>
      <c r="E16" s="230"/>
      <c r="F16" s="230"/>
      <c r="G16" s="230"/>
      <c r="H16" s="230"/>
      <c r="I16" s="230"/>
      <c r="J16" s="230"/>
      <c r="K16" s="230"/>
      <c r="L16" s="230"/>
      <c r="M16" s="230"/>
      <c r="N16" s="230"/>
      <c r="O16" s="230"/>
      <c r="P16" s="230"/>
      <c r="Q16" s="230"/>
    </row>
    <row r="17" spans="2:17" ht="28" x14ac:dyDescent="0.35">
      <c r="B17" s="172"/>
      <c r="C17" s="29" t="s">
        <v>83</v>
      </c>
      <c r="D17" s="29" t="s">
        <v>102</v>
      </c>
      <c r="E17" s="29" t="s">
        <v>103</v>
      </c>
      <c r="F17" s="29" t="s">
        <v>104</v>
      </c>
      <c r="G17" s="29" t="s">
        <v>105</v>
      </c>
      <c r="H17" s="30" t="s">
        <v>84</v>
      </c>
      <c r="I17" s="30" t="s">
        <v>85</v>
      </c>
      <c r="J17" s="30" t="s">
        <v>86</v>
      </c>
      <c r="K17" s="30" t="s">
        <v>87</v>
      </c>
      <c r="L17" s="30" t="s">
        <v>88</v>
      </c>
      <c r="M17" s="30" t="s">
        <v>89</v>
      </c>
      <c r="N17" s="30" t="s">
        <v>106</v>
      </c>
      <c r="O17" s="30" t="s">
        <v>107</v>
      </c>
      <c r="P17" s="30" t="s">
        <v>108</v>
      </c>
      <c r="Q17" s="30" t="s">
        <v>109</v>
      </c>
    </row>
    <row r="18" spans="2:17" ht="28.5" x14ac:dyDescent="0.35">
      <c r="B18" s="187" t="s">
        <v>310</v>
      </c>
      <c r="C18" s="181"/>
      <c r="D18" s="181">
        <f>'Cash Flow'!D20</f>
        <v>949.99999999999818</v>
      </c>
      <c r="E18" s="181">
        <f>'Cash Flow'!E20</f>
        <v>128</v>
      </c>
      <c r="F18" s="181">
        <f>'Cash Flow'!F20</f>
        <v>5818.0000000000036</v>
      </c>
      <c r="G18" s="182">
        <f>'Cash Flow'!G20</f>
        <v>-9898</v>
      </c>
      <c r="H18" s="183">
        <f>'Cash Flow'!H20</f>
        <v>17184.477925389496</v>
      </c>
      <c r="I18" s="183">
        <f>'Cash Flow'!I20</f>
        <v>11217.971933020246</v>
      </c>
      <c r="J18" s="183">
        <f>'Cash Flow'!J20</f>
        <v>12950.743294796675</v>
      </c>
      <c r="K18" s="183">
        <f>'Cash Flow'!K20</f>
        <v>14060.806626684429</v>
      </c>
      <c r="L18" s="183">
        <f>'Cash Flow'!L20</f>
        <v>15783.407503670884</v>
      </c>
      <c r="M18" s="183">
        <f>'Cash Flow'!M20</f>
        <v>16718.260540302057</v>
      </c>
      <c r="N18" s="183">
        <f>'Cash Flow'!N20</f>
        <v>18274.974862077113</v>
      </c>
      <c r="O18" s="183">
        <f>'Cash Flow'!O20</f>
        <v>19863.068556033042</v>
      </c>
      <c r="P18" s="183">
        <f>'Cash Flow'!P20</f>
        <v>21541.733078583849</v>
      </c>
      <c r="Q18" s="183">
        <f>'Cash Flow'!Q20</f>
        <v>23292.426298786784</v>
      </c>
    </row>
    <row r="19" spans="2:17" x14ac:dyDescent="0.35">
      <c r="B19" s="172" t="s">
        <v>305</v>
      </c>
      <c r="C19" s="172"/>
      <c r="D19" s="172"/>
      <c r="E19" s="172"/>
      <c r="F19" s="172"/>
      <c r="G19" s="184"/>
      <c r="H19" s="177">
        <f>IF(H$18&lt;=0,-H$18*C4,0)</f>
        <v>0</v>
      </c>
      <c r="I19" s="177">
        <f t="shared" ref="I19:Q19" si="3">IF(I$18&lt;=0,-I$18*D4,0)</f>
        <v>0</v>
      </c>
      <c r="J19" s="177">
        <f t="shared" si="3"/>
        <v>0</v>
      </c>
      <c r="K19" s="177">
        <f t="shared" si="3"/>
        <v>0</v>
      </c>
      <c r="L19" s="177">
        <f t="shared" si="3"/>
        <v>0</v>
      </c>
      <c r="M19" s="177">
        <f t="shared" si="3"/>
        <v>0</v>
      </c>
      <c r="N19" s="177">
        <f t="shared" si="3"/>
        <v>0</v>
      </c>
      <c r="O19" s="177">
        <f t="shared" si="3"/>
        <v>0</v>
      </c>
      <c r="P19" s="177">
        <f t="shared" si="3"/>
        <v>0</v>
      </c>
      <c r="Q19" s="177">
        <f t="shared" si="3"/>
        <v>0</v>
      </c>
    </row>
    <row r="20" spans="2:17" x14ac:dyDescent="0.35">
      <c r="B20" s="172" t="s">
        <v>287</v>
      </c>
      <c r="C20" s="172"/>
      <c r="D20" s="172"/>
      <c r="E20" s="172"/>
      <c r="F20" s="172"/>
      <c r="G20" s="184"/>
      <c r="H20" s="177">
        <f>IF(H$18&lt;=0,-H$18*C5,0)</f>
        <v>0</v>
      </c>
      <c r="I20" s="177">
        <f t="shared" ref="I20:Q20" si="4">IF(I$18&lt;=0,-I$18*D5,0)</f>
        <v>0</v>
      </c>
      <c r="J20" s="177">
        <f t="shared" si="4"/>
        <v>0</v>
      </c>
      <c r="K20" s="177">
        <f t="shared" si="4"/>
        <v>0</v>
      </c>
      <c r="L20" s="177">
        <f t="shared" si="4"/>
        <v>0</v>
      </c>
      <c r="M20" s="177">
        <f t="shared" si="4"/>
        <v>0</v>
      </c>
      <c r="N20" s="177">
        <f t="shared" si="4"/>
        <v>0</v>
      </c>
      <c r="O20" s="177">
        <f t="shared" si="4"/>
        <v>0</v>
      </c>
      <c r="P20" s="177">
        <f t="shared" si="4"/>
        <v>0</v>
      </c>
      <c r="Q20" s="177">
        <f t="shared" si="4"/>
        <v>0</v>
      </c>
    </row>
  </sheetData>
  <mergeCells count="2">
    <mergeCell ref="C9:Q9"/>
    <mergeCell ref="C16:Q1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588D8-C662-497B-9574-C64040BA7864}">
  <dimension ref="B1:Q24"/>
  <sheetViews>
    <sheetView showGridLines="0" workbookViewId="0">
      <selection activeCell="D10" sqref="D10"/>
    </sheetView>
  </sheetViews>
  <sheetFormatPr defaultRowHeight="14.5" x14ac:dyDescent="0.35"/>
  <cols>
    <col min="1" max="1" width="2.90625" customWidth="1"/>
    <col min="2" max="2" width="35.26953125" customWidth="1"/>
    <col min="3" max="3" width="10.36328125" bestFit="1" customWidth="1"/>
    <col min="4" max="7" width="9.6328125" customWidth="1"/>
    <col min="8" max="17" width="11.08984375" customWidth="1"/>
  </cols>
  <sheetData>
    <row r="1" spans="2:17" ht="18" x14ac:dyDescent="0.4">
      <c r="B1" s="166" t="s">
        <v>313</v>
      </c>
      <c r="C1" s="170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</row>
    <row r="2" spans="2:17" x14ac:dyDescent="0.35"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</row>
    <row r="3" spans="2:17" x14ac:dyDescent="0.35"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</row>
    <row r="4" spans="2:17" x14ac:dyDescent="0.35">
      <c r="B4" s="172" t="s">
        <v>314</v>
      </c>
      <c r="C4" s="198">
        <f>Drivers!C7</f>
        <v>4.206E-2</v>
      </c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  <c r="P4" s="172"/>
      <c r="Q4" s="172"/>
    </row>
    <row r="5" spans="2:17" x14ac:dyDescent="0.35">
      <c r="B5" s="172" t="s">
        <v>315</v>
      </c>
      <c r="C5" s="198">
        <f>Drivers!C8</f>
        <v>5.7000000000000002E-2</v>
      </c>
      <c r="D5" s="172"/>
      <c r="E5" s="172"/>
      <c r="F5" s="172"/>
      <c r="G5" s="172"/>
      <c r="H5" s="172"/>
      <c r="I5" s="172"/>
      <c r="J5" s="172"/>
      <c r="K5" s="172"/>
      <c r="L5" s="172"/>
      <c r="M5" s="172"/>
      <c r="N5" s="172"/>
      <c r="O5" s="172"/>
      <c r="P5" s="172"/>
      <c r="Q5" s="172"/>
    </row>
    <row r="6" spans="2:17" x14ac:dyDescent="0.35">
      <c r="B6" s="172" t="str">
        <f>Drivers!B9</f>
        <v>Company beta (Mar 29 2024)</v>
      </c>
      <c r="C6" s="172">
        <f>Drivers!C9</f>
        <v>2.41</v>
      </c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</row>
    <row r="7" spans="2:17" x14ac:dyDescent="0.35">
      <c r="B7" s="172" t="s">
        <v>316</v>
      </c>
      <c r="C7" s="174">
        <f>Drivers!C12</f>
        <v>0.21</v>
      </c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</row>
    <row r="8" spans="2:17" x14ac:dyDescent="0.35">
      <c r="B8" s="172"/>
      <c r="C8" s="172"/>
      <c r="D8" s="172"/>
      <c r="E8" s="172"/>
      <c r="F8" s="172"/>
      <c r="G8" s="172"/>
      <c r="H8" s="172"/>
      <c r="I8" s="172"/>
      <c r="J8" s="172"/>
      <c r="K8" s="172"/>
      <c r="L8" s="172"/>
      <c r="M8" s="172"/>
      <c r="N8" s="172"/>
      <c r="O8" s="172"/>
      <c r="P8" s="172"/>
      <c r="Q8" s="172"/>
    </row>
    <row r="9" spans="2:17" x14ac:dyDescent="0.35">
      <c r="B9" s="181" t="s">
        <v>317</v>
      </c>
      <c r="C9" s="199">
        <f>C4+C5*C6</f>
        <v>0.17943000000000003</v>
      </c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</row>
    <row r="10" spans="2:17" x14ac:dyDescent="0.35">
      <c r="B10" s="199" t="str">
        <f>Drivers!B11</f>
        <v>Bond Yield (Mar 29 2024)</v>
      </c>
      <c r="C10" s="199">
        <f>Drivers!C11</f>
        <v>4.5339999999999998E-2</v>
      </c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</row>
    <row r="11" spans="2:17" x14ac:dyDescent="0.35">
      <c r="B11" s="172"/>
      <c r="C11" s="172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2"/>
      <c r="O11" s="172"/>
      <c r="P11" s="172"/>
      <c r="Q11" s="172"/>
    </row>
    <row r="12" spans="2:17" x14ac:dyDescent="0.35">
      <c r="B12" s="172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2"/>
      <c r="O12" s="172"/>
      <c r="P12" s="172"/>
      <c r="Q12" s="172"/>
    </row>
    <row r="13" spans="2:17" x14ac:dyDescent="0.35">
      <c r="B13" s="172"/>
      <c r="C13" s="230" t="s">
        <v>318</v>
      </c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230"/>
    </row>
    <row r="14" spans="2:17" ht="28" x14ac:dyDescent="0.35">
      <c r="B14" s="167" t="s">
        <v>201</v>
      </c>
      <c r="C14" s="29" t="s">
        <v>83</v>
      </c>
      <c r="D14" s="29" t="s">
        <v>102</v>
      </c>
      <c r="E14" s="29" t="s">
        <v>103</v>
      </c>
      <c r="F14" s="29" t="s">
        <v>104</v>
      </c>
      <c r="G14" s="29" t="s">
        <v>105</v>
      </c>
      <c r="H14" s="30" t="s">
        <v>84</v>
      </c>
      <c r="I14" s="30" t="s">
        <v>85</v>
      </c>
      <c r="J14" s="30" t="s">
        <v>86</v>
      </c>
      <c r="K14" s="30" t="s">
        <v>87</v>
      </c>
      <c r="L14" s="30" t="s">
        <v>88</v>
      </c>
      <c r="M14" s="30" t="s">
        <v>89</v>
      </c>
      <c r="N14" s="30" t="s">
        <v>106</v>
      </c>
      <c r="O14" s="30" t="s">
        <v>107</v>
      </c>
      <c r="P14" s="30" t="s">
        <v>108</v>
      </c>
      <c r="Q14" s="30" t="s">
        <v>109</v>
      </c>
    </row>
    <row r="15" spans="2:17" x14ac:dyDescent="0.35">
      <c r="B15" s="172" t="s">
        <v>305</v>
      </c>
      <c r="C15" s="200">
        <f>'Balance Sheet'!C28</f>
        <v>12627</v>
      </c>
      <c r="D15" s="200">
        <f>'Balance Sheet'!D28</f>
        <v>10888</v>
      </c>
      <c r="E15" s="200">
        <f>'Balance Sheet'!E28</f>
        <v>6916</v>
      </c>
      <c r="F15" s="200">
        <f>'Balance Sheet'!F28</f>
        <v>3761</v>
      </c>
      <c r="G15" s="200">
        <f>'Balance Sheet'!G28</f>
        <v>6528</v>
      </c>
      <c r="H15" s="201">
        <f>'Balance Sheet'!H28</f>
        <v>6528</v>
      </c>
      <c r="I15" s="201">
        <f>'Balance Sheet'!I28</f>
        <v>6528</v>
      </c>
      <c r="J15" s="201">
        <f>'Balance Sheet'!J28</f>
        <v>6528</v>
      </c>
      <c r="K15" s="201">
        <f>'Balance Sheet'!K28</f>
        <v>6528</v>
      </c>
      <c r="L15" s="201">
        <f>'Balance Sheet'!L28</f>
        <v>6528</v>
      </c>
      <c r="M15" s="201">
        <f>'Balance Sheet'!M28</f>
        <v>6528</v>
      </c>
      <c r="N15" s="201">
        <f>'Balance Sheet'!N28</f>
        <v>6528</v>
      </c>
      <c r="O15" s="201">
        <f>'Balance Sheet'!O28</f>
        <v>6528</v>
      </c>
      <c r="P15" s="201">
        <f>'Balance Sheet'!P28</f>
        <v>6528</v>
      </c>
      <c r="Q15" s="201">
        <f>'Balance Sheet'!Q28</f>
        <v>6528</v>
      </c>
    </row>
    <row r="16" spans="2:17" x14ac:dyDescent="0.35">
      <c r="B16" s="172" t="s">
        <v>287</v>
      </c>
      <c r="C16" s="200">
        <f>'Balance Sheet'!C32</f>
        <v>6618</v>
      </c>
      <c r="D16" s="200">
        <f>'Balance Sheet'!D32</f>
        <v>22225</v>
      </c>
      <c r="E16" s="200">
        <f>'Balance Sheet'!E32</f>
        <v>30189</v>
      </c>
      <c r="F16" s="200">
        <f>'Balance Sheet'!F32</f>
        <v>44704</v>
      </c>
      <c r="G16" s="200">
        <f>'Balance Sheet'!G32</f>
        <v>62634</v>
      </c>
      <c r="H16" s="201">
        <f>'Balance Sheet'!H32</f>
        <v>75282.477287895264</v>
      </c>
      <c r="I16" s="201">
        <f>'Balance Sheet'!I32</f>
        <v>89229.444071041085</v>
      </c>
      <c r="J16" s="201">
        <f>'Balance Sheet'!J32</f>
        <v>104710.80576701967</v>
      </c>
      <c r="K16" s="201">
        <f>'Balance Sheet'!K32</f>
        <v>121443.91844494281</v>
      </c>
      <c r="L16" s="201">
        <f>'Balance Sheet'!L32</f>
        <v>139509.29540355303</v>
      </c>
      <c r="M16" s="201">
        <f>'Balance Sheet'!M32</f>
        <v>158318.74169129081</v>
      </c>
      <c r="N16" s="201">
        <f>'Balance Sheet'!N32</f>
        <v>177900.36236161517</v>
      </c>
      <c r="O16" s="201">
        <f>'Balance Sheet'!O32</f>
        <v>198267.98046265962</v>
      </c>
      <c r="P16" s="201">
        <f>'Balance Sheet'!P32</f>
        <v>219445.71270640625</v>
      </c>
      <c r="Q16" s="201">
        <f>'Balance Sheet'!Q32</f>
        <v>241465.12704651282</v>
      </c>
    </row>
    <row r="17" spans="2:17" x14ac:dyDescent="0.35">
      <c r="B17" s="172"/>
      <c r="C17" s="172"/>
      <c r="D17" s="172"/>
      <c r="E17" s="172"/>
      <c r="F17" s="172"/>
      <c r="G17" s="172"/>
      <c r="H17" s="202"/>
      <c r="I17" s="202"/>
      <c r="J17" s="202"/>
      <c r="K17" s="202"/>
      <c r="L17" s="202"/>
      <c r="M17" s="202"/>
      <c r="N17" s="202"/>
      <c r="O17" s="202"/>
      <c r="P17" s="202"/>
      <c r="Q17" s="202"/>
    </row>
    <row r="18" spans="2:17" x14ac:dyDescent="0.35">
      <c r="B18" s="172" t="s">
        <v>319</v>
      </c>
      <c r="C18" s="174">
        <f>C15/(C$15+C$16)</f>
        <v>0.65611847233047549</v>
      </c>
      <c r="D18" s="174">
        <f t="shared" ref="D18:Q18" si="0">D15/(D$15+D$16)</f>
        <v>0.32881345695044245</v>
      </c>
      <c r="E18" s="174">
        <f t="shared" si="0"/>
        <v>0.18638997439698154</v>
      </c>
      <c r="F18" s="174">
        <f t="shared" si="0"/>
        <v>7.7602393479830806E-2</v>
      </c>
      <c r="G18" s="174">
        <f t="shared" si="0"/>
        <v>9.4387091177236052E-2</v>
      </c>
      <c r="H18" s="203">
        <f t="shared" si="0"/>
        <v>7.9794180603880757E-2</v>
      </c>
      <c r="I18" s="203">
        <f t="shared" si="0"/>
        <v>6.8172245649716481E-2</v>
      </c>
      <c r="J18" s="203">
        <f t="shared" si="0"/>
        <v>5.868455666156959E-2</v>
      </c>
      <c r="K18" s="203">
        <f t="shared" si="0"/>
        <v>5.1011191199798515E-2</v>
      </c>
      <c r="L18" s="203">
        <f t="shared" si="0"/>
        <v>4.4700910010424477E-2</v>
      </c>
      <c r="M18" s="203">
        <f t="shared" si="0"/>
        <v>3.9600418746674491E-2</v>
      </c>
      <c r="N18" s="203">
        <f t="shared" si="0"/>
        <v>3.5395857320471791E-2</v>
      </c>
      <c r="O18" s="203">
        <f t="shared" si="0"/>
        <v>3.1875625611657195E-2</v>
      </c>
      <c r="P18" s="203">
        <f t="shared" si="0"/>
        <v>2.8888315909919263E-2</v>
      </c>
      <c r="Q18" s="203">
        <f t="shared" si="0"/>
        <v>2.6323310156799742E-2</v>
      </c>
    </row>
    <row r="19" spans="2:17" x14ac:dyDescent="0.35">
      <c r="B19" s="172" t="s">
        <v>320</v>
      </c>
      <c r="C19" s="174">
        <f>C16/(C$15+C$16)</f>
        <v>0.34388152766952457</v>
      </c>
      <c r="D19" s="174">
        <f t="shared" ref="D19:Q19" si="1">D16/(D$15+D$16)</f>
        <v>0.6711865430495576</v>
      </c>
      <c r="E19" s="174">
        <f t="shared" si="1"/>
        <v>0.81361002560301843</v>
      </c>
      <c r="F19" s="174">
        <f t="shared" si="1"/>
        <v>0.92239760652016922</v>
      </c>
      <c r="G19" s="174">
        <f t="shared" si="1"/>
        <v>0.90561290882276391</v>
      </c>
      <c r="H19" s="203">
        <f t="shared" si="1"/>
        <v>0.92020581939611923</v>
      </c>
      <c r="I19" s="203">
        <f t="shared" si="1"/>
        <v>0.93182775435028353</v>
      </c>
      <c r="J19" s="203">
        <f t="shared" si="1"/>
        <v>0.94131544333843042</v>
      </c>
      <c r="K19" s="203">
        <f t="shared" si="1"/>
        <v>0.94898880880020153</v>
      </c>
      <c r="L19" s="203">
        <f t="shared" si="1"/>
        <v>0.95529908998957558</v>
      </c>
      <c r="M19" s="203">
        <f t="shared" si="1"/>
        <v>0.96039958125332547</v>
      </c>
      <c r="N19" s="203">
        <f t="shared" si="1"/>
        <v>0.96460414267952821</v>
      </c>
      <c r="O19" s="203">
        <f t="shared" si="1"/>
        <v>0.96812437438834276</v>
      </c>
      <c r="P19" s="203">
        <f t="shared" si="1"/>
        <v>0.97111168409008075</v>
      </c>
      <c r="Q19" s="203">
        <f t="shared" si="1"/>
        <v>0.97367668984320022</v>
      </c>
    </row>
    <row r="20" spans="2:17" x14ac:dyDescent="0.35">
      <c r="B20" s="172"/>
      <c r="C20" s="172"/>
      <c r="D20" s="172"/>
      <c r="E20" s="172"/>
      <c r="F20" s="172"/>
      <c r="G20" s="204"/>
      <c r="H20" s="205"/>
      <c r="I20" s="205"/>
      <c r="J20" s="205"/>
      <c r="K20" s="205"/>
      <c r="L20" s="205"/>
      <c r="M20" s="205"/>
      <c r="N20" s="205"/>
      <c r="O20" s="205"/>
      <c r="P20" s="205"/>
      <c r="Q20" s="205"/>
    </row>
    <row r="21" spans="2:17" x14ac:dyDescent="0.35">
      <c r="B21" s="172" t="s">
        <v>317</v>
      </c>
      <c r="C21" s="175">
        <f>$C$9</f>
        <v>0.17943000000000003</v>
      </c>
      <c r="D21" s="175">
        <f t="shared" ref="D21:Q21" si="2">$C$9</f>
        <v>0.17943000000000003</v>
      </c>
      <c r="E21" s="175">
        <f t="shared" si="2"/>
        <v>0.17943000000000003</v>
      </c>
      <c r="F21" s="175">
        <f t="shared" si="2"/>
        <v>0.17943000000000003</v>
      </c>
      <c r="G21" s="175">
        <f t="shared" si="2"/>
        <v>0.17943000000000003</v>
      </c>
      <c r="H21" s="206">
        <f t="shared" si="2"/>
        <v>0.17943000000000003</v>
      </c>
      <c r="I21" s="206">
        <f t="shared" si="2"/>
        <v>0.17943000000000003</v>
      </c>
      <c r="J21" s="206">
        <f t="shared" si="2"/>
        <v>0.17943000000000003</v>
      </c>
      <c r="K21" s="206">
        <f t="shared" si="2"/>
        <v>0.17943000000000003</v>
      </c>
      <c r="L21" s="206">
        <f t="shared" si="2"/>
        <v>0.17943000000000003</v>
      </c>
      <c r="M21" s="206">
        <f t="shared" si="2"/>
        <v>0.17943000000000003</v>
      </c>
      <c r="N21" s="206">
        <f t="shared" si="2"/>
        <v>0.17943000000000003</v>
      </c>
      <c r="O21" s="206">
        <f t="shared" si="2"/>
        <v>0.17943000000000003</v>
      </c>
      <c r="P21" s="206">
        <f t="shared" si="2"/>
        <v>0.17943000000000003</v>
      </c>
      <c r="Q21" s="206">
        <f t="shared" si="2"/>
        <v>0.17943000000000003</v>
      </c>
    </row>
    <row r="22" spans="2:17" x14ac:dyDescent="0.35">
      <c r="B22" s="172" t="s">
        <v>321</v>
      </c>
      <c r="C22" s="175">
        <f>$C$10</f>
        <v>4.5339999999999998E-2</v>
      </c>
      <c r="D22" s="175">
        <f t="shared" ref="D22:Q22" si="3">$C$10</f>
        <v>4.5339999999999998E-2</v>
      </c>
      <c r="E22" s="175">
        <f t="shared" si="3"/>
        <v>4.5339999999999998E-2</v>
      </c>
      <c r="F22" s="175">
        <f t="shared" si="3"/>
        <v>4.5339999999999998E-2</v>
      </c>
      <c r="G22" s="175">
        <f t="shared" si="3"/>
        <v>4.5339999999999998E-2</v>
      </c>
      <c r="H22" s="206">
        <f t="shared" si="3"/>
        <v>4.5339999999999998E-2</v>
      </c>
      <c r="I22" s="206">
        <f t="shared" si="3"/>
        <v>4.5339999999999998E-2</v>
      </c>
      <c r="J22" s="206">
        <f t="shared" si="3"/>
        <v>4.5339999999999998E-2</v>
      </c>
      <c r="K22" s="206">
        <f t="shared" si="3"/>
        <v>4.5339999999999998E-2</v>
      </c>
      <c r="L22" s="206">
        <f t="shared" si="3"/>
        <v>4.5339999999999998E-2</v>
      </c>
      <c r="M22" s="206">
        <f t="shared" si="3"/>
        <v>4.5339999999999998E-2</v>
      </c>
      <c r="N22" s="206">
        <f t="shared" si="3"/>
        <v>4.5339999999999998E-2</v>
      </c>
      <c r="O22" s="206">
        <f t="shared" si="3"/>
        <v>4.5339999999999998E-2</v>
      </c>
      <c r="P22" s="206">
        <f t="shared" si="3"/>
        <v>4.5339999999999998E-2</v>
      </c>
      <c r="Q22" s="206">
        <f t="shared" si="3"/>
        <v>4.5339999999999998E-2</v>
      </c>
    </row>
    <row r="23" spans="2:17" x14ac:dyDescent="0.35">
      <c r="B23" s="172"/>
      <c r="C23" s="172"/>
      <c r="D23" s="172"/>
      <c r="E23" s="172"/>
      <c r="F23" s="172"/>
      <c r="G23" s="204"/>
      <c r="H23" s="205"/>
      <c r="I23" s="205"/>
      <c r="J23" s="205"/>
      <c r="K23" s="205"/>
      <c r="L23" s="205"/>
      <c r="M23" s="205"/>
      <c r="N23" s="205"/>
      <c r="O23" s="205"/>
      <c r="P23" s="205"/>
      <c r="Q23" s="205"/>
    </row>
    <row r="24" spans="2:17" ht="15" thickBot="1" x14ac:dyDescent="0.4">
      <c r="B24" s="33" t="s">
        <v>313</v>
      </c>
      <c r="C24" s="207">
        <f>C18*C22*(1-C7)+C19*C21</f>
        <v>8.5203907622759173E-2</v>
      </c>
      <c r="D24" s="207">
        <f t="shared" ref="D24:Q24" si="4">D18*D22*(1-D7)+D19*D21</f>
        <v>0.1353394035575152</v>
      </c>
      <c r="E24" s="207">
        <f t="shared" si="4"/>
        <v>0.15443696833310877</v>
      </c>
      <c r="F24" s="207">
        <f t="shared" si="4"/>
        <v>0.16902429505828953</v>
      </c>
      <c r="G24" s="207">
        <f t="shared" si="4"/>
        <v>0.16677363494404446</v>
      </c>
      <c r="H24" s="207">
        <f t="shared" si="4"/>
        <v>0.16873039832282566</v>
      </c>
      <c r="I24" s="207">
        <f t="shared" si="4"/>
        <v>0.17028878358082955</v>
      </c>
      <c r="J24" s="207">
        <f t="shared" si="4"/>
        <v>0.17156098779725018</v>
      </c>
      <c r="K24" s="207">
        <f t="shared" si="4"/>
        <v>0.17258990937201907</v>
      </c>
      <c r="L24" s="207">
        <f t="shared" si="4"/>
        <v>0.17343605497670223</v>
      </c>
      <c r="M24" s="207">
        <f t="shared" si="4"/>
        <v>0.17411997985025846</v>
      </c>
      <c r="N24" s="207">
        <f t="shared" si="4"/>
        <v>0.17468376949189798</v>
      </c>
      <c r="O24" s="207">
        <f t="shared" si="4"/>
        <v>0.17515579736173292</v>
      </c>
      <c r="P24" s="207">
        <f t="shared" si="4"/>
        <v>0.17555636571963895</v>
      </c>
      <c r="Q24" s="207">
        <f t="shared" si="4"/>
        <v>0.17590030734107476</v>
      </c>
    </row>
  </sheetData>
  <mergeCells count="1">
    <mergeCell ref="C13:Q1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5A03-3EC2-4483-8F4D-8CC2065AE145}">
  <sheetPr>
    <tabColor theme="5" tint="-0.499984740745262"/>
  </sheetPr>
  <dimension ref="C11:K22"/>
  <sheetViews>
    <sheetView showGridLines="0" workbookViewId="0">
      <selection activeCell="C23" sqref="C23"/>
    </sheetView>
  </sheetViews>
  <sheetFormatPr defaultRowHeight="14.5" x14ac:dyDescent="0.35"/>
  <sheetData>
    <row r="11" spans="3:11" x14ac:dyDescent="0.35">
      <c r="C11" s="229" t="s">
        <v>240</v>
      </c>
      <c r="D11" s="229"/>
      <c r="E11" s="229"/>
      <c r="F11" s="229"/>
      <c r="G11" s="229"/>
      <c r="H11" s="229"/>
      <c r="I11" s="229"/>
      <c r="J11" s="229"/>
      <c r="K11" s="229"/>
    </row>
    <row r="12" spans="3:11" x14ac:dyDescent="0.35">
      <c r="C12" s="229"/>
      <c r="D12" s="229"/>
      <c r="E12" s="229"/>
      <c r="F12" s="229"/>
      <c r="G12" s="229"/>
      <c r="H12" s="229"/>
      <c r="I12" s="229"/>
      <c r="J12" s="229"/>
      <c r="K12" s="229"/>
    </row>
    <row r="13" spans="3:11" x14ac:dyDescent="0.35">
      <c r="C13" s="229"/>
      <c r="D13" s="229"/>
      <c r="E13" s="229"/>
      <c r="F13" s="229"/>
      <c r="G13" s="229"/>
      <c r="H13" s="229"/>
      <c r="I13" s="229"/>
      <c r="J13" s="229"/>
      <c r="K13" s="229"/>
    </row>
    <row r="14" spans="3:11" x14ac:dyDescent="0.35">
      <c r="C14" s="229"/>
      <c r="D14" s="229"/>
      <c r="E14" s="229"/>
      <c r="F14" s="229"/>
      <c r="G14" s="229"/>
      <c r="H14" s="229"/>
      <c r="I14" s="229"/>
      <c r="J14" s="229"/>
      <c r="K14" s="229"/>
    </row>
    <row r="15" spans="3:11" x14ac:dyDescent="0.35">
      <c r="C15" s="229"/>
      <c r="D15" s="229"/>
      <c r="E15" s="229"/>
      <c r="F15" s="229"/>
      <c r="G15" s="229"/>
      <c r="H15" s="229"/>
      <c r="I15" s="229"/>
      <c r="J15" s="229"/>
      <c r="K15" s="229"/>
    </row>
    <row r="16" spans="3:11" x14ac:dyDescent="0.35">
      <c r="C16" s="229"/>
      <c r="D16" s="229"/>
      <c r="E16" s="229"/>
      <c r="F16" s="229"/>
      <c r="G16" s="229"/>
      <c r="H16" s="229"/>
      <c r="I16" s="229"/>
      <c r="J16" s="229"/>
      <c r="K16" s="229"/>
    </row>
    <row r="17" spans="3:11" x14ac:dyDescent="0.35">
      <c r="C17" s="229"/>
      <c r="D17" s="229"/>
      <c r="E17" s="229"/>
      <c r="F17" s="229"/>
      <c r="G17" s="229"/>
      <c r="H17" s="229"/>
      <c r="I17" s="229"/>
      <c r="J17" s="229"/>
      <c r="K17" s="229"/>
    </row>
    <row r="18" spans="3:11" x14ac:dyDescent="0.35">
      <c r="C18" s="229"/>
      <c r="D18" s="229"/>
      <c r="E18" s="229"/>
      <c r="F18" s="229"/>
      <c r="G18" s="229"/>
      <c r="H18" s="229"/>
      <c r="I18" s="229"/>
      <c r="J18" s="229"/>
      <c r="K18" s="229"/>
    </row>
    <row r="19" spans="3:11" x14ac:dyDescent="0.35">
      <c r="C19" s="229"/>
      <c r="D19" s="229"/>
      <c r="E19" s="229"/>
      <c r="F19" s="229"/>
      <c r="G19" s="229"/>
      <c r="H19" s="229"/>
      <c r="I19" s="229"/>
      <c r="J19" s="229"/>
      <c r="K19" s="229"/>
    </row>
    <row r="20" spans="3:11" x14ac:dyDescent="0.35">
      <c r="C20" s="229"/>
      <c r="D20" s="229"/>
      <c r="E20" s="229"/>
      <c r="F20" s="229"/>
      <c r="G20" s="229"/>
      <c r="H20" s="229"/>
      <c r="I20" s="229"/>
      <c r="J20" s="229"/>
      <c r="K20" s="229"/>
    </row>
    <row r="21" spans="3:11" x14ac:dyDescent="0.35">
      <c r="C21" s="229"/>
      <c r="D21" s="229"/>
      <c r="E21" s="229"/>
      <c r="F21" s="229"/>
      <c r="G21" s="229"/>
      <c r="H21" s="229"/>
      <c r="I21" s="229"/>
      <c r="J21" s="229"/>
      <c r="K21" s="229"/>
    </row>
    <row r="22" spans="3:11" x14ac:dyDescent="0.35">
      <c r="C22" s="229"/>
      <c r="D22" s="229"/>
      <c r="E22" s="229"/>
      <c r="F22" s="229"/>
      <c r="G22" s="229"/>
      <c r="H22" s="229"/>
      <c r="I22" s="229"/>
      <c r="J22" s="229"/>
      <c r="K22" s="229"/>
    </row>
  </sheetData>
  <mergeCells count="1">
    <mergeCell ref="C11:K2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BF1D8-9865-4AF8-9E82-1B8F1623A635}">
  <dimension ref="B1:Q28"/>
  <sheetViews>
    <sheetView showGridLines="0" workbookViewId="0">
      <selection activeCell="C27" sqref="C27"/>
    </sheetView>
  </sheetViews>
  <sheetFormatPr defaultRowHeight="14.5" x14ac:dyDescent="0.35"/>
  <cols>
    <col min="1" max="1" width="2.90625" customWidth="1"/>
    <col min="2" max="2" width="35.26953125" customWidth="1"/>
    <col min="3" max="3" width="10.36328125" bestFit="1" customWidth="1"/>
    <col min="4" max="7" width="9.6328125" customWidth="1"/>
    <col min="8" max="17" width="11.08984375" customWidth="1"/>
  </cols>
  <sheetData>
    <row r="1" spans="2:17" ht="18" x14ac:dyDescent="0.35">
      <c r="B1" s="49" t="s">
        <v>241</v>
      </c>
      <c r="C1" s="17"/>
      <c r="D1" s="17"/>
      <c r="E1" s="17"/>
      <c r="F1" s="76"/>
      <c r="G1" s="76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2:17" ht="15.5" x14ac:dyDescent="0.35">
      <c r="B2" s="16"/>
      <c r="C2" s="77"/>
      <c r="D2" s="77"/>
      <c r="E2" s="77"/>
      <c r="F2" s="77"/>
      <c r="G2" s="7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x14ac:dyDescent="0.35">
      <c r="B3" s="27"/>
      <c r="C3" s="230" t="s">
        <v>251</v>
      </c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</row>
    <row r="4" spans="2:17" ht="28" x14ac:dyDescent="0.35">
      <c r="B4" s="28" t="s">
        <v>201</v>
      </c>
      <c r="C4" s="29" t="s">
        <v>83</v>
      </c>
      <c r="D4" s="29" t="s">
        <v>102</v>
      </c>
      <c r="E4" s="29" t="s">
        <v>103</v>
      </c>
      <c r="F4" s="29" t="s">
        <v>104</v>
      </c>
      <c r="G4" s="29" t="s">
        <v>105</v>
      </c>
      <c r="H4" s="30" t="s">
        <v>84</v>
      </c>
      <c r="I4" s="30" t="s">
        <v>85</v>
      </c>
      <c r="J4" s="30" t="s">
        <v>86</v>
      </c>
      <c r="K4" s="30" t="s">
        <v>87</v>
      </c>
      <c r="L4" s="30" t="s">
        <v>88</v>
      </c>
      <c r="M4" s="30" t="s">
        <v>89</v>
      </c>
      <c r="N4" s="30" t="s">
        <v>106</v>
      </c>
      <c r="O4" s="30" t="s">
        <v>107</v>
      </c>
      <c r="P4" s="30" t="s">
        <v>108</v>
      </c>
      <c r="Q4" s="30" t="s">
        <v>109</v>
      </c>
    </row>
    <row r="5" spans="2:17" x14ac:dyDescent="0.35">
      <c r="B5" s="27" t="s">
        <v>213</v>
      </c>
      <c r="C5" s="31">
        <f>'P&amp;L Input'!C8</f>
        <v>24578</v>
      </c>
      <c r="D5" s="31">
        <f>'P&amp;L Input'!D8</f>
        <v>31536</v>
      </c>
      <c r="E5" s="31">
        <f>'P&amp;L Input'!E8</f>
        <v>53823</v>
      </c>
      <c r="F5" s="31">
        <f>'P&amp;L Input'!F8</f>
        <v>81462</v>
      </c>
      <c r="G5" s="31">
        <f>'P&amp;L Input'!G8</f>
        <v>96773</v>
      </c>
      <c r="H5" s="32">
        <f>'Revenue automotive'!H11+'Revenue Energy &amp; Other'!H7</f>
        <v>125193.1580993956</v>
      </c>
      <c r="I5" s="32">
        <f>'Revenue automotive'!I11+'Revenue Energy &amp; Other'!I7</f>
        <v>139200.78868179786</v>
      </c>
      <c r="J5" s="32">
        <f>'Revenue automotive'!J11+'Revenue Energy &amp; Other'!J7</f>
        <v>155330.2540320163</v>
      </c>
      <c r="K5" s="32">
        <f>'Revenue automotive'!K11+'Revenue Energy &amp; Other'!K7</f>
        <v>167668.54797602305</v>
      </c>
      <c r="L5" s="32">
        <f>'Revenue automotive'!L11+'Revenue Energy &amp; Other'!L7</f>
        <v>180385.37165509097</v>
      </c>
      <c r="M5" s="32">
        <f>'Revenue automotive'!M11+'Revenue Energy &amp; Other'!M7</f>
        <v>188412.18293659406</v>
      </c>
      <c r="N5" s="32">
        <f>'Revenue automotive'!N11+'Revenue Energy &amp; Other'!N7</f>
        <v>196799.99881117296</v>
      </c>
      <c r="O5" s="32">
        <f>'Revenue automotive'!O11+'Revenue Energy &amp; Other'!O7</f>
        <v>205261.1691130852</v>
      </c>
      <c r="P5" s="32">
        <f>'Revenue automotive'!P11+'Revenue Energy &amp; Other'!P7</f>
        <v>214059.55264344826</v>
      </c>
      <c r="Q5" s="32">
        <f>'Revenue automotive'!Q11+'Revenue Energy &amp; Other'!Q7</f>
        <v>223245.14772097627</v>
      </c>
    </row>
    <row r="6" spans="2:17" x14ac:dyDescent="0.35">
      <c r="B6" s="27" t="s">
        <v>242</v>
      </c>
      <c r="C6" s="31">
        <f>'P&amp;L Input'!C12</f>
        <v>-20509</v>
      </c>
      <c r="D6" s="31">
        <f>'P&amp;L Input'!D12</f>
        <v>-24906</v>
      </c>
      <c r="E6" s="31">
        <f>'P&amp;L Input'!E12</f>
        <v>-40217</v>
      </c>
      <c r="F6" s="31">
        <f>'P&amp;L Input'!F12</f>
        <v>-60609</v>
      </c>
      <c r="G6" s="31">
        <f>'P&amp;L Input'!G12</f>
        <v>-79113</v>
      </c>
      <c r="H6" s="32">
        <f>-'Cost of sales automotive'!H11+'Cost of sales Energy &amp; Other'!H7</f>
        <v>-98297.134540508909</v>
      </c>
      <c r="I6" s="32">
        <f>-'Cost of sales automotive'!I11+'Cost of sales Energy &amp; Other'!I7</f>
        <v>-109476.28888250764</v>
      </c>
      <c r="J6" s="32">
        <f>-'Cost of sales automotive'!J11+'Cost of sales Energy &amp; Other'!J7</f>
        <v>-122299.19068783827</v>
      </c>
      <c r="K6" s="32">
        <f>-'Cost of sales automotive'!K11+'Cost of sales Energy &amp; Other'!K7</f>
        <v>-132009.36990618287</v>
      </c>
      <c r="L6" s="32">
        <f>-'Cost of sales automotive'!L11+'Cost of sales Energy &amp; Other'!L7</f>
        <v>-141964.14580740378</v>
      </c>
      <c r="M6" s="32">
        <f>-'Cost of sales automotive'!M11+'Cost of sales Energy &amp; Other'!M7</f>
        <v>-148370.15896260296</v>
      </c>
      <c r="N6" s="32">
        <f>-'Cost of sales automotive'!N11+'Cost of sales Energy &amp; Other'!N7</f>
        <v>-155071.06555282438</v>
      </c>
      <c r="O6" s="32">
        <f>-'Cost of sales automotive'!O11+'Cost of sales Energy &amp; Other'!O7</f>
        <v>-161821.62444473983</v>
      </c>
      <c r="P6" s="32">
        <f>-'Cost of sales automotive'!P11+'Cost of sales Energy &amp; Other'!P7</f>
        <v>-168850.34630464204</v>
      </c>
      <c r="Q6" s="32">
        <f>-'Cost of sales automotive'!Q11+'Cost of sales Energy &amp; Other'!Q7</f>
        <v>-176193.56845186718</v>
      </c>
    </row>
    <row r="7" spans="2:17" x14ac:dyDescent="0.35">
      <c r="B7" s="142" t="s">
        <v>15</v>
      </c>
      <c r="C7" s="143">
        <f>SUM(C5:C6)</f>
        <v>4069</v>
      </c>
      <c r="D7" s="143">
        <f t="shared" ref="D7:H7" si="0">SUM(D5:D6)</f>
        <v>6630</v>
      </c>
      <c r="E7" s="143">
        <f t="shared" si="0"/>
        <v>13606</v>
      </c>
      <c r="F7" s="143">
        <f t="shared" si="0"/>
        <v>20853</v>
      </c>
      <c r="G7" s="143">
        <f t="shared" si="0"/>
        <v>17660</v>
      </c>
      <c r="H7" s="145">
        <f t="shared" si="0"/>
        <v>26896.023558886693</v>
      </c>
      <c r="I7" s="145">
        <f t="shared" ref="I7" si="1">SUM(I5:I6)</f>
        <v>29724.499799290221</v>
      </c>
      <c r="J7" s="145">
        <f t="shared" ref="J7" si="2">SUM(J5:J6)</f>
        <v>33031.063344178023</v>
      </c>
      <c r="K7" s="145">
        <f t="shared" ref="K7" si="3">SUM(K5:K6)</f>
        <v>35659.178069840185</v>
      </c>
      <c r="L7" s="145">
        <f t="shared" ref="L7" si="4">SUM(L5:L6)</f>
        <v>38421.225847687194</v>
      </c>
      <c r="M7" s="145">
        <f t="shared" ref="M7" si="5">SUM(M5:M6)</f>
        <v>40042.023973991105</v>
      </c>
      <c r="N7" s="145">
        <f t="shared" ref="N7" si="6">SUM(N5:N6)</f>
        <v>41728.933258348581</v>
      </c>
      <c r="O7" s="145">
        <f t="shared" ref="O7" si="7">SUM(O5:O6)</f>
        <v>43439.544668345363</v>
      </c>
      <c r="P7" s="145">
        <f t="shared" ref="P7" si="8">SUM(P5:P6)</f>
        <v>45209.206338806223</v>
      </c>
      <c r="Q7" s="145">
        <f t="shared" ref="Q7" si="9">SUM(Q5:Q6)</f>
        <v>47051.57926910909</v>
      </c>
    </row>
    <row r="8" spans="2:17" x14ac:dyDescent="0.35">
      <c r="B8" s="110" t="s">
        <v>243</v>
      </c>
      <c r="C8" s="140">
        <f>SUM('P&amp;L Input'!C14:C16)</f>
        <v>-4138</v>
      </c>
      <c r="D8" s="140">
        <f>SUM('P&amp;L Input'!D14:D16)</f>
        <v>-4636</v>
      </c>
      <c r="E8" s="140">
        <f>SUM('P&amp;L Input'!E14:E16)</f>
        <v>-7110</v>
      </c>
      <c r="F8" s="140">
        <f>SUM('P&amp;L Input'!F14:F16)</f>
        <v>-7021</v>
      </c>
      <c r="G8" s="140">
        <f>SUM('P&amp;L Input'!G14:G16)</f>
        <v>-8769</v>
      </c>
      <c r="H8" s="149">
        <f>Opex!H7</f>
        <v>-10589.313294715472</v>
      </c>
      <c r="I8" s="149">
        <f>Opex!I7</f>
        <v>-11774.131946194248</v>
      </c>
      <c r="J8" s="149">
        <f>Opex!J7</f>
        <v>-13138.423449521579</v>
      </c>
      <c r="K8" s="149">
        <f>Opex!K7</f>
        <v>-14182.04326132988</v>
      </c>
      <c r="L8" s="149">
        <f>Opex!L7</f>
        <v>-15257.68055729451</v>
      </c>
      <c r="M8" s="149">
        <f>Opex!M7</f>
        <v>-15936.618773310352</v>
      </c>
      <c r="N8" s="149">
        <f>Opex!N7</f>
        <v>-16646.092130343051</v>
      </c>
      <c r="O8" s="149">
        <f>Opex!O7</f>
        <v>-17361.770083732132</v>
      </c>
      <c r="P8" s="149">
        <f>Opex!P7</f>
        <v>-18105.97081406365</v>
      </c>
      <c r="Q8" s="149">
        <f>Opex!Q7</f>
        <v>-18882.923369227363</v>
      </c>
    </row>
    <row r="9" spans="2:17" x14ac:dyDescent="0.35">
      <c r="B9" s="130" t="s">
        <v>6</v>
      </c>
      <c r="C9" s="144">
        <f>SUM(C7:C8)</f>
        <v>-69</v>
      </c>
      <c r="D9" s="144">
        <f t="shared" ref="D9:H9" si="10">SUM(D7:D8)</f>
        <v>1994</v>
      </c>
      <c r="E9" s="144">
        <f t="shared" si="10"/>
        <v>6496</v>
      </c>
      <c r="F9" s="144">
        <f t="shared" si="10"/>
        <v>13832</v>
      </c>
      <c r="G9" s="144">
        <f t="shared" si="10"/>
        <v>8891</v>
      </c>
      <c r="H9" s="146">
        <f t="shared" si="10"/>
        <v>16306.710264171221</v>
      </c>
      <c r="I9" s="146">
        <f t="shared" ref="I9" si="11">SUM(I7:I8)</f>
        <v>17950.367853095973</v>
      </c>
      <c r="J9" s="146">
        <f t="shared" ref="J9" si="12">SUM(J7:J8)</f>
        <v>19892.639894656444</v>
      </c>
      <c r="K9" s="146">
        <f t="shared" ref="K9" si="13">SUM(K7:K8)</f>
        <v>21477.134808510305</v>
      </c>
      <c r="L9" s="146">
        <f t="shared" ref="L9" si="14">SUM(L7:L8)</f>
        <v>23163.545290392685</v>
      </c>
      <c r="M9" s="146">
        <f t="shared" ref="M9" si="15">SUM(M7:M8)</f>
        <v>24105.405200680754</v>
      </c>
      <c r="N9" s="146">
        <f t="shared" ref="N9" si="16">SUM(N7:N8)</f>
        <v>25082.84112800553</v>
      </c>
      <c r="O9" s="146">
        <f t="shared" ref="O9" si="17">SUM(O7:O8)</f>
        <v>26077.774584613231</v>
      </c>
      <c r="P9" s="146">
        <f t="shared" ref="P9" si="18">SUM(P7:P8)</f>
        <v>27103.235524742573</v>
      </c>
      <c r="Q9" s="146">
        <f t="shared" ref="Q9" si="19">SUM(Q7:Q8)</f>
        <v>28168.655899881727</v>
      </c>
    </row>
    <row r="10" spans="2:17" s="27" customFormat="1" ht="14" x14ac:dyDescent="0.35">
      <c r="B10" s="110" t="s">
        <v>244</v>
      </c>
      <c r="C10" s="140">
        <f>SUM('P&amp;L Input'!C18:C20)</f>
        <v>-596</v>
      </c>
      <c r="D10" s="140">
        <f>SUM('P&amp;L Input'!D18:D20)</f>
        <v>-840</v>
      </c>
      <c r="E10" s="140">
        <f>SUM('P&amp;L Input'!E18:E20)</f>
        <v>-153</v>
      </c>
      <c r="F10" s="140">
        <f>SUM('P&amp;L Input'!F18:F20)</f>
        <v>-113</v>
      </c>
      <c r="G10" s="140">
        <f>SUM('P&amp;L Input'!G18:G20)</f>
        <v>1082</v>
      </c>
      <c r="H10" s="149">
        <f>Financing!H12</f>
        <v>-295.97951999999998</v>
      </c>
      <c r="I10" s="149">
        <f>Financing!I12</f>
        <v>-295.97951999999998</v>
      </c>
      <c r="J10" s="149">
        <f>Financing!J12</f>
        <v>-295.97951999999998</v>
      </c>
      <c r="K10" s="149">
        <f>Financing!K12</f>
        <v>-295.97951999999998</v>
      </c>
      <c r="L10" s="149">
        <f>Financing!L12</f>
        <v>-295.97951999999998</v>
      </c>
      <c r="M10" s="149">
        <f>Financing!M12</f>
        <v>-295.97951999999998</v>
      </c>
      <c r="N10" s="149">
        <f>Financing!N12</f>
        <v>-295.97951999999998</v>
      </c>
      <c r="O10" s="149">
        <f>Financing!O12</f>
        <v>-295.97951999999998</v>
      </c>
      <c r="P10" s="149">
        <f>Financing!P12</f>
        <v>-295.97951999999998</v>
      </c>
      <c r="Q10" s="149">
        <f>Financing!Q12</f>
        <v>-295.97951999999998</v>
      </c>
    </row>
    <row r="11" spans="2:17" x14ac:dyDescent="0.35">
      <c r="B11" s="130" t="s">
        <v>9</v>
      </c>
      <c r="C11" s="144">
        <f>SUM(C9:C10)</f>
        <v>-665</v>
      </c>
      <c r="D11" s="144">
        <f t="shared" ref="D11:Q11" si="20">SUM(D9:D10)</f>
        <v>1154</v>
      </c>
      <c r="E11" s="144">
        <f t="shared" si="20"/>
        <v>6343</v>
      </c>
      <c r="F11" s="144">
        <f t="shared" si="20"/>
        <v>13719</v>
      </c>
      <c r="G11" s="144">
        <f t="shared" si="20"/>
        <v>9973</v>
      </c>
      <c r="H11" s="146">
        <f t="shared" si="20"/>
        <v>16010.73074417122</v>
      </c>
      <c r="I11" s="146">
        <f t="shared" si="20"/>
        <v>17654.388333095972</v>
      </c>
      <c r="J11" s="146">
        <f t="shared" si="20"/>
        <v>19596.660374656443</v>
      </c>
      <c r="K11" s="146">
        <f t="shared" si="20"/>
        <v>21181.155288510305</v>
      </c>
      <c r="L11" s="146">
        <f t="shared" si="20"/>
        <v>22867.565770392684</v>
      </c>
      <c r="M11" s="146">
        <f t="shared" si="20"/>
        <v>23809.425680680753</v>
      </c>
      <c r="N11" s="146">
        <f t="shared" si="20"/>
        <v>24786.861608005529</v>
      </c>
      <c r="O11" s="146">
        <f t="shared" si="20"/>
        <v>25781.79506461323</v>
      </c>
      <c r="P11" s="146">
        <f t="shared" si="20"/>
        <v>26807.256004742572</v>
      </c>
      <c r="Q11" s="146">
        <f t="shared" si="20"/>
        <v>27872.676379881726</v>
      </c>
    </row>
    <row r="12" spans="2:17" x14ac:dyDescent="0.35">
      <c r="B12" s="27" t="s">
        <v>245</v>
      </c>
      <c r="C12" s="31">
        <f>'P&amp;L Input'!C22</f>
        <v>-110</v>
      </c>
      <c r="D12" s="31">
        <f>'P&amp;L Input'!D22</f>
        <v>-292</v>
      </c>
      <c r="E12" s="31">
        <f>'P&amp;L Input'!E22</f>
        <v>-699</v>
      </c>
      <c r="F12" s="31">
        <f>'P&amp;L Input'!F22</f>
        <v>-1132</v>
      </c>
      <c r="G12" s="31">
        <f>'P&amp;L Input'!G22</f>
        <v>-5001</v>
      </c>
      <c r="H12" s="32">
        <f>IF(H11&gt;=0,-H11*Drivers!$C$12,0)</f>
        <v>-3362.2534562759561</v>
      </c>
      <c r="I12" s="32">
        <f>IF(I11&gt;=0,-I11*Drivers!$C$12,0)</f>
        <v>-3707.4215499501543</v>
      </c>
      <c r="J12" s="32">
        <f>IF(J11&gt;=0,-J11*Drivers!$C$12,0)</f>
        <v>-4115.2986786778529</v>
      </c>
      <c r="K12" s="32">
        <f>IF(K11&gt;=0,-K11*Drivers!$C$12,0)</f>
        <v>-4448.0426105871638</v>
      </c>
      <c r="L12" s="32">
        <f>IF(L11&gt;=0,-L11*Drivers!$C$12,0)</f>
        <v>-4802.1888117824637</v>
      </c>
      <c r="M12" s="32">
        <f>IF(M11&gt;=0,-M11*Drivers!$C$12,0)</f>
        <v>-4999.9793929429579</v>
      </c>
      <c r="N12" s="32">
        <f>IF(N11&gt;=0,-N11*Drivers!$C$12,0)</f>
        <v>-5205.2409376811611</v>
      </c>
      <c r="O12" s="32">
        <f>IF(O11&gt;=0,-O11*Drivers!$C$12,0)</f>
        <v>-5414.1769635687779</v>
      </c>
      <c r="P12" s="32">
        <f>IF(P11&gt;=0,-P11*Drivers!$C$12,0)</f>
        <v>-5629.5237609959404</v>
      </c>
      <c r="Q12" s="32">
        <f>IF(Q11&gt;=0,-Q11*Drivers!$C$12,0)</f>
        <v>-5853.2620397751625</v>
      </c>
    </row>
    <row r="13" spans="2:17" x14ac:dyDescent="0.35">
      <c r="B13" s="27" t="s">
        <v>246</v>
      </c>
      <c r="C13" s="140">
        <f>'P&amp;L Input'!C24</f>
        <v>-87</v>
      </c>
      <c r="D13" s="140">
        <f>'P&amp;L Input'!D24</f>
        <v>-141</v>
      </c>
      <c r="E13" s="140">
        <f>'P&amp;L Input'!E24</f>
        <v>-125</v>
      </c>
      <c r="F13" s="140">
        <f>'P&amp;L Input'!F24</f>
        <v>-31</v>
      </c>
      <c r="G13" s="140">
        <f>'P&amp;L Input'!G24</f>
        <v>-23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>
        <v>0</v>
      </c>
    </row>
    <row r="14" spans="2:17" ht="15" thickBot="1" x14ac:dyDescent="0.4">
      <c r="B14" s="33" t="s">
        <v>247</v>
      </c>
      <c r="C14" s="148">
        <f>SUM(C11:C13)</f>
        <v>-862</v>
      </c>
      <c r="D14" s="148">
        <f t="shared" ref="D14:Q14" si="21">SUM(D11:D13)</f>
        <v>721</v>
      </c>
      <c r="E14" s="148">
        <f t="shared" si="21"/>
        <v>5519</v>
      </c>
      <c r="F14" s="148">
        <f t="shared" si="21"/>
        <v>12556</v>
      </c>
      <c r="G14" s="148">
        <f t="shared" si="21"/>
        <v>4949</v>
      </c>
      <c r="H14" s="147">
        <f t="shared" si="21"/>
        <v>12648.477287895264</v>
      </c>
      <c r="I14" s="147">
        <f t="shared" si="21"/>
        <v>13946.966783145817</v>
      </c>
      <c r="J14" s="147">
        <f t="shared" si="21"/>
        <v>15481.36169597859</v>
      </c>
      <c r="K14" s="147">
        <f t="shared" si="21"/>
        <v>16733.112677923142</v>
      </c>
      <c r="L14" s="147">
        <f t="shared" si="21"/>
        <v>18065.376958610221</v>
      </c>
      <c r="M14" s="147">
        <f t="shared" si="21"/>
        <v>18809.446287737796</v>
      </c>
      <c r="N14" s="147">
        <f t="shared" si="21"/>
        <v>19581.620670324366</v>
      </c>
      <c r="O14" s="147">
        <f t="shared" si="21"/>
        <v>20367.618101044452</v>
      </c>
      <c r="P14" s="147">
        <f t="shared" si="21"/>
        <v>21177.732243746632</v>
      </c>
      <c r="Q14" s="147">
        <f t="shared" si="21"/>
        <v>22019.414340106563</v>
      </c>
    </row>
    <row r="15" spans="2:17" x14ac:dyDescent="0.35">
      <c r="B15" s="130"/>
      <c r="C15" s="126"/>
      <c r="D15" s="126"/>
      <c r="E15" s="126"/>
      <c r="F15" s="126"/>
      <c r="G15" s="126"/>
      <c r="H15" s="126"/>
      <c r="I15" s="126"/>
      <c r="J15" s="126"/>
      <c r="K15" s="126"/>
      <c r="L15" s="126"/>
      <c r="M15" s="126"/>
      <c r="N15" s="126"/>
      <c r="O15" s="126"/>
      <c r="P15" s="126"/>
      <c r="Q15" s="126"/>
    </row>
    <row r="16" spans="2:17" x14ac:dyDescent="0.35">
      <c r="B16" s="84" t="s">
        <v>248</v>
      </c>
      <c r="C16" s="106"/>
      <c r="D16" s="106"/>
      <c r="E16" s="106"/>
      <c r="F16" s="106"/>
      <c r="G16" s="106"/>
      <c r="H16" s="133"/>
      <c r="I16" s="106"/>
      <c r="J16" s="106"/>
      <c r="K16" s="106"/>
      <c r="L16" s="106"/>
      <c r="M16" s="106"/>
      <c r="N16" s="106"/>
      <c r="O16" s="106"/>
      <c r="P16" s="106"/>
      <c r="Q16" s="106"/>
    </row>
    <row r="17" spans="2:17" x14ac:dyDescent="0.35">
      <c r="B17" s="139" t="s">
        <v>249</v>
      </c>
      <c r="C17" s="141">
        <f>C14</f>
        <v>-862</v>
      </c>
      <c r="D17" s="141">
        <f t="shared" ref="D17:G17" si="22">D14</f>
        <v>721</v>
      </c>
      <c r="E17" s="141">
        <f t="shared" si="22"/>
        <v>5519</v>
      </c>
      <c r="F17" s="141">
        <f t="shared" si="22"/>
        <v>12556</v>
      </c>
      <c r="G17" s="141">
        <f t="shared" si="22"/>
        <v>4949</v>
      </c>
      <c r="H17" s="141"/>
      <c r="I17" s="141"/>
      <c r="J17" s="141"/>
      <c r="K17" s="141"/>
      <c r="L17" s="141"/>
      <c r="M17" s="141"/>
      <c r="N17" s="141"/>
      <c r="O17" s="141"/>
      <c r="P17" s="141"/>
      <c r="Q17" s="141"/>
    </row>
    <row r="18" spans="2:17" x14ac:dyDescent="0.35">
      <c r="B18" s="139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</row>
    <row r="19" spans="2:17" x14ac:dyDescent="0.35">
      <c r="J19" s="118"/>
    </row>
    <row r="20" spans="2:17" x14ac:dyDescent="0.35">
      <c r="J20" s="118"/>
    </row>
    <row r="21" spans="2:17" x14ac:dyDescent="0.35">
      <c r="H21" s="118"/>
    </row>
    <row r="22" spans="2:17" x14ac:dyDescent="0.35">
      <c r="J22" s="118"/>
    </row>
    <row r="23" spans="2:17" x14ac:dyDescent="0.35">
      <c r="E23" s="91"/>
      <c r="F23" s="91"/>
    </row>
    <row r="24" spans="2:17" x14ac:dyDescent="0.35">
      <c r="E24" s="91"/>
      <c r="F24" s="91"/>
    </row>
    <row r="25" spans="2:17" x14ac:dyDescent="0.35">
      <c r="E25" s="91"/>
      <c r="F25" s="91"/>
    </row>
    <row r="26" spans="2:17" x14ac:dyDescent="0.35">
      <c r="E26" s="91"/>
      <c r="F26" s="91"/>
    </row>
    <row r="27" spans="2:17" x14ac:dyDescent="0.35">
      <c r="E27" s="91"/>
      <c r="F27" s="91"/>
    </row>
    <row r="28" spans="2:17" x14ac:dyDescent="0.35">
      <c r="E28" s="91"/>
      <c r="F28" s="91"/>
    </row>
  </sheetData>
  <mergeCells count="1">
    <mergeCell ref="C3:Q3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5C48-95B3-4860-9EA5-818CBE2F6AD9}">
  <dimension ref="A1:T40"/>
  <sheetViews>
    <sheetView showGridLines="0" workbookViewId="0">
      <selection activeCell="A29" activeCellId="4" sqref="A20:XFD20 A22:XFD22 A24:XFD24 A26:XFD26 A29:XFD29"/>
    </sheetView>
  </sheetViews>
  <sheetFormatPr defaultRowHeight="14.5" x14ac:dyDescent="0.35"/>
  <cols>
    <col min="1" max="1" width="2.90625" customWidth="1"/>
    <col min="2" max="2" width="29.453125" style="52" customWidth="1"/>
    <col min="3" max="6" width="10.453125" style="52" customWidth="1"/>
    <col min="7" max="7" width="10.81640625" style="52" customWidth="1"/>
    <col min="8" max="9" width="9.81640625" style="52" bestFit="1" customWidth="1"/>
    <col min="10" max="12" width="10" style="52" bestFit="1" customWidth="1"/>
    <col min="13" max="17" width="9.7265625" style="52" customWidth="1"/>
    <col min="18" max="18" width="1.1796875" style="52" customWidth="1"/>
    <col min="19" max="19" width="11.81640625" style="52" customWidth="1"/>
    <col min="20" max="20" width="8.7265625" style="52"/>
  </cols>
  <sheetData>
    <row r="1" spans="1:20" ht="18" x14ac:dyDescent="0.4">
      <c r="B1" s="166" t="s">
        <v>268</v>
      </c>
    </row>
    <row r="2" spans="1:20" ht="15.5" x14ac:dyDescent="0.35">
      <c r="B2" s="154"/>
    </row>
    <row r="3" spans="1:20" x14ac:dyDescent="0.35">
      <c r="C3" s="233" t="s">
        <v>269</v>
      </c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20" ht="23" x14ac:dyDescent="0.35">
      <c r="B4" s="155" t="s">
        <v>201</v>
      </c>
      <c r="C4" s="156" t="s">
        <v>83</v>
      </c>
      <c r="D4" s="156" t="s">
        <v>102</v>
      </c>
      <c r="E4" s="156" t="s">
        <v>103</v>
      </c>
      <c r="F4" s="156" t="s">
        <v>104</v>
      </c>
      <c r="G4" s="156" t="s">
        <v>105</v>
      </c>
      <c r="H4" s="157" t="s">
        <v>84</v>
      </c>
      <c r="I4" s="157" t="s">
        <v>85</v>
      </c>
      <c r="J4" s="157" t="s">
        <v>86</v>
      </c>
      <c r="K4" s="157" t="s">
        <v>87</v>
      </c>
      <c r="L4" s="157" t="s">
        <v>88</v>
      </c>
      <c r="M4" s="157" t="s">
        <v>89</v>
      </c>
      <c r="N4" s="157" t="s">
        <v>106</v>
      </c>
      <c r="O4" s="157" t="s">
        <v>107</v>
      </c>
      <c r="P4" s="157" t="s">
        <v>108</v>
      </c>
      <c r="Q4" s="157" t="s">
        <v>109</v>
      </c>
      <c r="R4" s="17"/>
      <c r="S4" s="158" t="s">
        <v>270</v>
      </c>
      <c r="T4" s="17"/>
    </row>
    <row r="5" spans="1:20" x14ac:dyDescent="0.35">
      <c r="B5" s="17" t="s">
        <v>271</v>
      </c>
      <c r="C5" s="159">
        <f>'Balance Sheet Input'!C6</f>
        <v>6268</v>
      </c>
      <c r="D5" s="159">
        <f>'Balance Sheet Input'!D6</f>
        <v>19384</v>
      </c>
      <c r="E5" s="159">
        <f>'Balance Sheet Input'!E6</f>
        <v>17707</v>
      </c>
      <c r="F5" s="159">
        <f>'Balance Sheet Input'!F6</f>
        <v>22185</v>
      </c>
      <c r="G5" s="159">
        <f>'Balance Sheet Input'!G6</f>
        <v>29094</v>
      </c>
      <c r="H5" s="188">
        <f>'Cash Flow'!H32</f>
        <v>46044.654104589499</v>
      </c>
      <c r="I5" s="188">
        <f>'Cash Flow'!I32</f>
        <v>57028.802216809745</v>
      </c>
      <c r="J5" s="188">
        <f>'Cash Flow'!J32</f>
        <v>69745.721690806415</v>
      </c>
      <c r="K5" s="188">
        <f>'Cash Flow'!K32</f>
        <v>83572.704496690843</v>
      </c>
      <c r="L5" s="188">
        <f>'Cash Flow'!L32</f>
        <v>99122.288179561729</v>
      </c>
      <c r="M5" s="188">
        <f>'Cash Flow'!M32</f>
        <v>115606.72489906379</v>
      </c>
      <c r="N5" s="188">
        <f>'Cash Flow'!N32</f>
        <v>133647.87594034089</v>
      </c>
      <c r="O5" s="188">
        <f>'Cash Flow'!O32</f>
        <v>153277.12067557394</v>
      </c>
      <c r="P5" s="188">
        <f>'Cash Flow'!P32</f>
        <v>174585.02993335779</v>
      </c>
      <c r="Q5" s="188">
        <f>'Cash Flow'!Q32</f>
        <v>197643.63241134456</v>
      </c>
      <c r="R5" s="17"/>
      <c r="S5" s="17" t="s">
        <v>272</v>
      </c>
      <c r="T5" s="17"/>
    </row>
    <row r="6" spans="1:20" x14ac:dyDescent="0.35">
      <c r="B6" s="17" t="s">
        <v>273</v>
      </c>
      <c r="C6" s="159">
        <f>'Balance Sheet Input'!C7</f>
        <v>246</v>
      </c>
      <c r="D6" s="159">
        <f>'Balance Sheet Input'!D7</f>
        <v>238</v>
      </c>
      <c r="E6" s="159">
        <f>'Balance Sheet Input'!E7</f>
        <v>345</v>
      </c>
      <c r="F6" s="159">
        <f>'Balance Sheet Input'!F7</f>
        <v>294</v>
      </c>
      <c r="G6" s="159">
        <f>'Balance Sheet Input'!G7</f>
        <v>543</v>
      </c>
      <c r="H6" s="188">
        <f>$G$6</f>
        <v>543</v>
      </c>
      <c r="I6" s="188">
        <f t="shared" ref="I6:Q6" si="0">$G$6</f>
        <v>543</v>
      </c>
      <c r="J6" s="188">
        <f t="shared" si="0"/>
        <v>543</v>
      </c>
      <c r="K6" s="188">
        <f t="shared" si="0"/>
        <v>543</v>
      </c>
      <c r="L6" s="188">
        <f t="shared" si="0"/>
        <v>543</v>
      </c>
      <c r="M6" s="188">
        <f t="shared" si="0"/>
        <v>543</v>
      </c>
      <c r="N6" s="188">
        <f t="shared" si="0"/>
        <v>543</v>
      </c>
      <c r="O6" s="188">
        <f t="shared" si="0"/>
        <v>543</v>
      </c>
      <c r="P6" s="188">
        <f t="shared" si="0"/>
        <v>543</v>
      </c>
      <c r="Q6" s="188">
        <f t="shared" si="0"/>
        <v>543</v>
      </c>
      <c r="R6" s="17"/>
      <c r="S6" s="17" t="s">
        <v>274</v>
      </c>
      <c r="T6" s="17"/>
    </row>
    <row r="7" spans="1:20" x14ac:dyDescent="0.35">
      <c r="B7" s="17" t="s">
        <v>257</v>
      </c>
      <c r="C7" s="159">
        <f>'Balance Sheet Input'!C8</f>
        <v>1324</v>
      </c>
      <c r="D7" s="159">
        <f>'Balance Sheet Input'!D8</f>
        <v>1886</v>
      </c>
      <c r="E7" s="159">
        <f>'Balance Sheet Input'!E8</f>
        <v>1913</v>
      </c>
      <c r="F7" s="159">
        <f>'Balance Sheet Input'!F8</f>
        <v>2952</v>
      </c>
      <c r="G7" s="159">
        <f>'Balance Sheet Input'!G8</f>
        <v>3508</v>
      </c>
      <c r="H7" s="188">
        <f>'Working capital'!H5</f>
        <v>5551.1633635425014</v>
      </c>
      <c r="I7" s="188">
        <f>'Working capital'!I5</f>
        <v>6172.2727506651863</v>
      </c>
      <c r="J7" s="188">
        <f>'Working capital'!J5</f>
        <v>6887.4659647749677</v>
      </c>
      <c r="K7" s="188">
        <f>'Working capital'!K5</f>
        <v>7434.5556488311067</v>
      </c>
      <c r="L7" s="188">
        <f>'Working capital'!L5</f>
        <v>7998.4296398668239</v>
      </c>
      <c r="M7" s="188">
        <f>'Working capital'!M5</f>
        <v>8354.3447824225623</v>
      </c>
      <c r="N7" s="188">
        <f>'Working capital'!N5</f>
        <v>8726.2671533410685</v>
      </c>
      <c r="O7" s="188">
        <f>'Working capital'!O5</f>
        <v>9101.4421174184063</v>
      </c>
      <c r="P7" s="188">
        <f>'Working capital'!P5</f>
        <v>9491.5693819880089</v>
      </c>
      <c r="Q7" s="188">
        <f>'Working capital'!Q5</f>
        <v>9898.8659119327713</v>
      </c>
      <c r="R7" s="17"/>
      <c r="S7" s="17" t="s">
        <v>275</v>
      </c>
      <c r="T7" s="17"/>
    </row>
    <row r="8" spans="1:20" x14ac:dyDescent="0.35">
      <c r="B8" s="17" t="s">
        <v>48</v>
      </c>
      <c r="C8" s="159">
        <f>'Balance Sheet Input'!C9</f>
        <v>3552</v>
      </c>
      <c r="D8" s="159">
        <f>'Balance Sheet Input'!D9</f>
        <v>4101</v>
      </c>
      <c r="E8" s="159">
        <f>'Balance Sheet Input'!E9</f>
        <v>5757</v>
      </c>
      <c r="F8" s="159">
        <f>'Balance Sheet Input'!F9</f>
        <v>12839</v>
      </c>
      <c r="G8" s="159">
        <f>'Balance Sheet Input'!G9</f>
        <v>13626</v>
      </c>
      <c r="H8" s="188">
        <f>'Working capital'!H6</f>
        <v>17006.734687007891</v>
      </c>
      <c r="I8" s="188">
        <f>'Working capital'!I6</f>
        <v>18940.879693453979</v>
      </c>
      <c r="J8" s="188">
        <f>'Working capital'!J6</f>
        <v>21159.415258505898</v>
      </c>
      <c r="K8" s="188">
        <f>'Working capital'!K6</f>
        <v>22839.407686582523</v>
      </c>
      <c r="L8" s="188">
        <f>'Working capital'!L6</f>
        <v>24561.718651312782</v>
      </c>
      <c r="M8" s="188">
        <f>'Working capital'!M6</f>
        <v>25670.045629929413</v>
      </c>
      <c r="N8" s="188">
        <f>'Working capital'!N6</f>
        <v>26829.393164066885</v>
      </c>
      <c r="O8" s="188">
        <f>'Working capital'!O6</f>
        <v>27997.331218421015</v>
      </c>
      <c r="P8" s="188">
        <f>'Working capital'!P6</f>
        <v>29213.395231058821</v>
      </c>
      <c r="Q8" s="188">
        <f>'Working capital'!Q6</f>
        <v>30483.872050036211</v>
      </c>
      <c r="R8" s="17"/>
      <c r="S8" s="17" t="s">
        <v>275</v>
      </c>
      <c r="T8" s="17"/>
    </row>
    <row r="9" spans="1:20" x14ac:dyDescent="0.35">
      <c r="B9" s="17" t="s">
        <v>276</v>
      </c>
      <c r="C9" s="159">
        <f>'Balance Sheet Input'!C10</f>
        <v>713</v>
      </c>
      <c r="D9" s="159">
        <f>'Balance Sheet Input'!D10</f>
        <v>1108</v>
      </c>
      <c r="E9" s="159">
        <f>'Balance Sheet Input'!E10</f>
        <v>1378</v>
      </c>
      <c r="F9" s="159">
        <f>'Balance Sheet Input'!F10</f>
        <v>2647</v>
      </c>
      <c r="G9" s="159">
        <f>'Balance Sheet Input'!G10</f>
        <v>2845</v>
      </c>
      <c r="H9" s="188">
        <f>'P&amp;L'!H5*'Balance Sheet'!H10</f>
        <v>3874.2508786084695</v>
      </c>
      <c r="I9" s="188">
        <f>'P&amp;L'!I5*'Balance Sheet'!I10</f>
        <v>4307.73363369648</v>
      </c>
      <c r="J9" s="188">
        <f>'P&amp;L'!J5*'Balance Sheet'!J10</f>
        <v>4806.8790842406361</v>
      </c>
      <c r="K9" s="188">
        <f>'P&amp;L'!K5*'Balance Sheet'!K10</f>
        <v>5188.7022355916561</v>
      </c>
      <c r="L9" s="188">
        <f>'P&amp;L'!L5*'Balance Sheet'!L10</f>
        <v>5582.2394388997</v>
      </c>
      <c r="M9" s="188">
        <f>'P&amp;L'!M5*'Balance Sheet'!M10</f>
        <v>5830.6386416348678</v>
      </c>
      <c r="N9" s="188">
        <f>'P&amp;L'!N5*'Balance Sheet'!N10</f>
        <v>6090.2095600064067</v>
      </c>
      <c r="O9" s="188">
        <f>'P&amp;L'!O5*'Balance Sheet'!O10</f>
        <v>6352.0505182016905</v>
      </c>
      <c r="P9" s="188">
        <f>'P&amp;L'!P5*'Balance Sheet'!P10</f>
        <v>6624.3269400152558</v>
      </c>
      <c r="Q9" s="188">
        <f>'P&amp;L'!Q5*'Balance Sheet'!Q10</f>
        <v>6908.5860827664947</v>
      </c>
      <c r="R9" s="17"/>
      <c r="S9" s="17" t="s">
        <v>277</v>
      </c>
      <c r="T9" s="17"/>
    </row>
    <row r="10" spans="1:20" x14ac:dyDescent="0.35">
      <c r="A10" s="27"/>
      <c r="B10" s="160" t="s">
        <v>278</v>
      </c>
      <c r="C10" s="192">
        <f>C9/'P&amp;L'!C5</f>
        <v>2.9009683456749938E-2</v>
      </c>
      <c r="D10" s="192">
        <f>D9/'P&amp;L'!D5</f>
        <v>3.513444951801116E-2</v>
      </c>
      <c r="E10" s="192">
        <f>E9/'P&amp;L'!E5</f>
        <v>2.5602437619605001E-2</v>
      </c>
      <c r="F10" s="192">
        <f>F9/'P&amp;L'!F5</f>
        <v>3.2493678033929933E-2</v>
      </c>
      <c r="G10" s="192">
        <f>G9/'P&amp;L'!G5</f>
        <v>2.9398695917249647E-2</v>
      </c>
      <c r="H10" s="189">
        <f>AVERAGE($F$10:$G$10)</f>
        <v>3.094618697558979E-2</v>
      </c>
      <c r="I10" s="189">
        <f t="shared" ref="I10:Q10" si="1">AVERAGE($F$10:$G$10)</f>
        <v>3.094618697558979E-2</v>
      </c>
      <c r="J10" s="189">
        <f t="shared" si="1"/>
        <v>3.094618697558979E-2</v>
      </c>
      <c r="K10" s="189">
        <f t="shared" si="1"/>
        <v>3.094618697558979E-2</v>
      </c>
      <c r="L10" s="189">
        <f t="shared" si="1"/>
        <v>3.094618697558979E-2</v>
      </c>
      <c r="M10" s="189">
        <f t="shared" si="1"/>
        <v>3.094618697558979E-2</v>
      </c>
      <c r="N10" s="189">
        <f t="shared" si="1"/>
        <v>3.094618697558979E-2</v>
      </c>
      <c r="O10" s="189">
        <f t="shared" si="1"/>
        <v>3.094618697558979E-2</v>
      </c>
      <c r="P10" s="189">
        <f t="shared" si="1"/>
        <v>3.094618697558979E-2</v>
      </c>
      <c r="Q10" s="189">
        <f t="shared" si="1"/>
        <v>3.094618697558979E-2</v>
      </c>
      <c r="R10" s="17"/>
      <c r="S10" s="17"/>
      <c r="T10" s="17"/>
    </row>
    <row r="11" spans="1:20" ht="14.5" customHeight="1" x14ac:dyDescent="0.35">
      <c r="B11" s="234" t="s">
        <v>294</v>
      </c>
      <c r="C11" s="159"/>
      <c r="D11" s="159"/>
      <c r="E11" s="159"/>
      <c r="F11" s="159"/>
      <c r="G11" s="159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7"/>
      <c r="S11" s="17" t="s">
        <v>274</v>
      </c>
      <c r="T11" s="17"/>
    </row>
    <row r="12" spans="1:20" x14ac:dyDescent="0.35">
      <c r="B12" s="234"/>
      <c r="C12" s="159">
        <f>'Balance Sheet Input'!C13</f>
        <v>9803</v>
      </c>
      <c r="D12" s="159">
        <f>'Balance Sheet Input'!D13</f>
        <v>10628</v>
      </c>
      <c r="E12" s="159">
        <f>'Balance Sheet Input'!E13</f>
        <v>12292</v>
      </c>
      <c r="F12" s="159">
        <f>'Balance Sheet Input'!F13</f>
        <v>13087</v>
      </c>
      <c r="G12" s="159">
        <f>'Balance Sheet Input'!G13</f>
        <v>15398</v>
      </c>
      <c r="H12" s="188">
        <f>$G$12</f>
        <v>15398</v>
      </c>
      <c r="I12" s="188">
        <f t="shared" ref="I12:Q12" si="2">$G$12</f>
        <v>15398</v>
      </c>
      <c r="J12" s="188">
        <f t="shared" si="2"/>
        <v>15398</v>
      </c>
      <c r="K12" s="188">
        <f t="shared" si="2"/>
        <v>15398</v>
      </c>
      <c r="L12" s="188">
        <f t="shared" si="2"/>
        <v>15398</v>
      </c>
      <c r="M12" s="188">
        <f t="shared" si="2"/>
        <v>15398</v>
      </c>
      <c r="N12" s="188">
        <f t="shared" si="2"/>
        <v>15398</v>
      </c>
      <c r="O12" s="188">
        <f t="shared" si="2"/>
        <v>15398</v>
      </c>
      <c r="P12" s="188">
        <f t="shared" si="2"/>
        <v>15398</v>
      </c>
      <c r="Q12" s="188">
        <f t="shared" si="2"/>
        <v>15398</v>
      </c>
      <c r="R12" s="17"/>
      <c r="S12" s="17" t="s">
        <v>274</v>
      </c>
      <c r="T12" s="17"/>
    </row>
    <row r="13" spans="1:20" x14ac:dyDescent="0.35">
      <c r="B13" s="17" t="s">
        <v>217</v>
      </c>
      <c r="C13" s="159">
        <f>'Balance Sheet Input'!C12</f>
        <v>10396</v>
      </c>
      <c r="D13" s="159">
        <f>'Balance Sheet Input'!D12</f>
        <v>12747</v>
      </c>
      <c r="E13" s="159">
        <f>'Balance Sheet Input'!E12</f>
        <v>18884</v>
      </c>
      <c r="F13" s="159">
        <f>'Balance Sheet Input'!F12</f>
        <v>23548</v>
      </c>
      <c r="G13" s="159">
        <f>'Balance Sheet Input'!G12</f>
        <v>29725</v>
      </c>
      <c r="H13" s="188">
        <f>'PP&amp;E'!H10</f>
        <v>33295.464123473575</v>
      </c>
      <c r="I13" s="188">
        <f>'PP&amp;E'!I10</f>
        <v>37843.166559059326</v>
      </c>
      <c r="J13" s="188">
        <f>'PP&amp;E'!J10</f>
        <v>42430.132490305805</v>
      </c>
      <c r="K13" s="188">
        <f>'PP&amp;E'!K10</f>
        <v>46725.567344990202</v>
      </c>
      <c r="L13" s="188">
        <f>'PP&amp;E'!L10</f>
        <v>50670.675104000271</v>
      </c>
      <c r="M13" s="188">
        <f>'PP&amp;E'!M10</f>
        <v>53903.873097544478</v>
      </c>
      <c r="N13" s="188">
        <f>'PP&amp;E'!N10</f>
        <v>56393.709383076814</v>
      </c>
      <c r="O13" s="188">
        <f>'PP&amp;E'!O10</f>
        <v>58089.313187678999</v>
      </c>
      <c r="P13" s="188">
        <f>'PP&amp;E'!P10</f>
        <v>58954.963632273211</v>
      </c>
      <c r="Q13" s="188">
        <f>'PP&amp;E'!Q10</f>
        <v>58955.682210726132</v>
      </c>
      <c r="R13" s="17"/>
      <c r="S13" s="17" t="s">
        <v>279</v>
      </c>
      <c r="T13" s="17"/>
    </row>
    <row r="14" spans="1:20" x14ac:dyDescent="0.35">
      <c r="B14" s="17" t="s">
        <v>280</v>
      </c>
      <c r="C14" s="159">
        <f>'Balance Sheet Input'!C16</f>
        <v>537</v>
      </c>
      <c r="D14" s="159">
        <f>'Balance Sheet Input'!D16</f>
        <v>520</v>
      </c>
      <c r="E14" s="159">
        <f>'Balance Sheet Input'!E16</f>
        <v>1717</v>
      </c>
      <c r="F14" s="159">
        <f>'Balance Sheet Input'!F16</f>
        <v>593</v>
      </c>
      <c r="G14" s="159">
        <f>'Balance Sheet Input'!G16</f>
        <v>615</v>
      </c>
      <c r="H14" s="188">
        <f>$G$14</f>
        <v>615</v>
      </c>
      <c r="I14" s="188">
        <f t="shared" ref="I14:Q14" si="3">$G$14</f>
        <v>615</v>
      </c>
      <c r="J14" s="188">
        <f t="shared" si="3"/>
        <v>615</v>
      </c>
      <c r="K14" s="188">
        <f t="shared" si="3"/>
        <v>615</v>
      </c>
      <c r="L14" s="188">
        <f t="shared" si="3"/>
        <v>615</v>
      </c>
      <c r="M14" s="188">
        <f t="shared" si="3"/>
        <v>615</v>
      </c>
      <c r="N14" s="188">
        <f t="shared" si="3"/>
        <v>615</v>
      </c>
      <c r="O14" s="188">
        <f t="shared" si="3"/>
        <v>615</v>
      </c>
      <c r="P14" s="188">
        <f t="shared" si="3"/>
        <v>615</v>
      </c>
      <c r="Q14" s="188">
        <f t="shared" si="3"/>
        <v>615</v>
      </c>
      <c r="R14" s="17"/>
      <c r="S14" s="17" t="s">
        <v>274</v>
      </c>
      <c r="T14" s="17"/>
    </row>
    <row r="15" spans="1:20" x14ac:dyDescent="0.35">
      <c r="B15" s="17" t="s">
        <v>260</v>
      </c>
      <c r="C15" s="159">
        <f>'Balance Sheet Input'!C14+'Balance Sheet Input'!C15+'Balance Sheet Input'!C17+'Balance Sheet Input'!C18</f>
        <v>1470</v>
      </c>
      <c r="D15" s="159">
        <f>'Balance Sheet Input'!D14+'Balance Sheet Input'!D15+'Balance Sheet Input'!D17+'Balance Sheet Input'!D18</f>
        <v>1536</v>
      </c>
      <c r="E15" s="159">
        <f>'Balance Sheet Input'!E14+'Balance Sheet Input'!E15+'Balance Sheet Input'!E17+'Balance Sheet Input'!E18</f>
        <v>2138</v>
      </c>
      <c r="F15" s="159">
        <f>'Balance Sheet Input'!F14+'Balance Sheet Input'!F15+'Balance Sheet Input'!F17+'Balance Sheet Input'!F18</f>
        <v>4193</v>
      </c>
      <c r="G15" s="159">
        <f>'Balance Sheet Input'!G14+'Balance Sheet Input'!G15+'Balance Sheet Input'!G17+'Balance Sheet Input'!G18</f>
        <v>11264</v>
      </c>
      <c r="H15" s="188">
        <f>'P&amp;L'!H5*H16</f>
        <v>10507.959660296881</v>
      </c>
      <c r="I15" s="188">
        <f>'P&amp;L'!I5*I16</f>
        <v>11683.675804300236</v>
      </c>
      <c r="J15" s="188">
        <f>'P&amp;L'!J5*J16</f>
        <v>13037.485979035895</v>
      </c>
      <c r="K15" s="188">
        <f>'P&amp;L'!K5*K16</f>
        <v>14073.088059922567</v>
      </c>
      <c r="L15" s="188">
        <f>'P&amp;L'!L5*L16</f>
        <v>15140.461646909338</v>
      </c>
      <c r="M15" s="188">
        <f>'P&amp;L'!M5*M16</f>
        <v>15814.183840896052</v>
      </c>
      <c r="N15" s="188">
        <f>'P&amp;L'!N5*N16</f>
        <v>16518.206586117449</v>
      </c>
      <c r="O15" s="188">
        <f>'P&amp;L'!O5*O16</f>
        <v>17228.386260160078</v>
      </c>
      <c r="P15" s="188">
        <f>'P&amp;L'!P5*P16</f>
        <v>17966.869581584666</v>
      </c>
      <c r="Q15" s="188">
        <f>'P&amp;L'!Q5*Q16</f>
        <v>18737.853108127336</v>
      </c>
      <c r="R15" s="17"/>
      <c r="S15" s="17" t="s">
        <v>277</v>
      </c>
      <c r="T15" s="17"/>
    </row>
    <row r="16" spans="1:20" x14ac:dyDescent="0.35">
      <c r="B16" s="160" t="s">
        <v>278</v>
      </c>
      <c r="C16" s="192">
        <f>C15/'P&amp;L'!C5</f>
        <v>5.9809585808446579E-2</v>
      </c>
      <c r="D16" s="192">
        <f>D15/'P&amp;L'!D5</f>
        <v>4.8706240487062402E-2</v>
      </c>
      <c r="E16" s="192">
        <f>E15/'P&amp;L'!E5</f>
        <v>3.9722795087601952E-2</v>
      </c>
      <c r="F16" s="192">
        <f>F15/'P&amp;L'!F5</f>
        <v>5.1471851906410349E-2</v>
      </c>
      <c r="G16" s="192">
        <f>G15/'P&amp;L'!G5</f>
        <v>0.11639610221859403</v>
      </c>
      <c r="H16" s="189">
        <f>AVERAGE($F$16:$G$16)</f>
        <v>8.3933977062502191E-2</v>
      </c>
      <c r="I16" s="189">
        <f t="shared" ref="I16:Q16" si="4">AVERAGE($F$16:$G$16)</f>
        <v>8.3933977062502191E-2</v>
      </c>
      <c r="J16" s="189">
        <f t="shared" si="4"/>
        <v>8.3933977062502191E-2</v>
      </c>
      <c r="K16" s="189">
        <f t="shared" si="4"/>
        <v>8.3933977062502191E-2</v>
      </c>
      <c r="L16" s="189">
        <f t="shared" si="4"/>
        <v>8.3933977062502191E-2</v>
      </c>
      <c r="M16" s="189">
        <f t="shared" si="4"/>
        <v>8.3933977062502191E-2</v>
      </c>
      <c r="N16" s="189">
        <f t="shared" si="4"/>
        <v>8.3933977062502191E-2</v>
      </c>
      <c r="O16" s="189">
        <f t="shared" si="4"/>
        <v>8.3933977062502191E-2</v>
      </c>
      <c r="P16" s="189">
        <f t="shared" si="4"/>
        <v>8.3933977062502191E-2</v>
      </c>
      <c r="Q16" s="189">
        <f t="shared" si="4"/>
        <v>8.3933977062502191E-2</v>
      </c>
      <c r="R16" s="17"/>
      <c r="S16" s="17"/>
      <c r="T16" s="17"/>
    </row>
    <row r="17" spans="2:20" ht="15" thickBot="1" x14ac:dyDescent="0.4">
      <c r="B17" s="161" t="s">
        <v>281</v>
      </c>
      <c r="C17" s="162">
        <f>C5+C6+C7+C8+C9+C12+C13+C15+C14</f>
        <v>34309</v>
      </c>
      <c r="D17" s="162">
        <f>D5+D6+D7+D8+D9+D11+D13+D15+D12+D14</f>
        <v>52148</v>
      </c>
      <c r="E17" s="162">
        <f>E5+E6+E7+E8+E9+E11+E13+E15+E12+E14</f>
        <v>62131</v>
      </c>
      <c r="F17" s="162">
        <f>F5+F6+F7+F8+F9+F11+F13+F15+F12+F14</f>
        <v>82338</v>
      </c>
      <c r="G17" s="162">
        <f>G5+G6+G7+G8+G9+G11+G13+G15+G12+G14</f>
        <v>106618</v>
      </c>
      <c r="H17" s="162">
        <f t="shared" ref="H17:Q17" si="5">H5+H6+H7+H8+H9+H11+H13+H15+H12+H14</f>
        <v>132836.22681751882</v>
      </c>
      <c r="I17" s="162">
        <f t="shared" si="5"/>
        <v>152532.53065798496</v>
      </c>
      <c r="J17" s="162">
        <f t="shared" si="5"/>
        <v>174623.1004676696</v>
      </c>
      <c r="K17" s="162">
        <f t="shared" si="5"/>
        <v>196390.02547260889</v>
      </c>
      <c r="L17" s="162">
        <f t="shared" si="5"/>
        <v>219631.81266055067</v>
      </c>
      <c r="M17" s="162">
        <f>M5+M6+M7+M8+M9+M11+M13+M15+M12+M14</f>
        <v>241735.81089149116</v>
      </c>
      <c r="N17" s="162">
        <f t="shared" si="5"/>
        <v>264761.66178694949</v>
      </c>
      <c r="O17" s="162">
        <f t="shared" si="5"/>
        <v>288601.64397745411</v>
      </c>
      <c r="P17" s="162">
        <f t="shared" si="5"/>
        <v>313392.15470027772</v>
      </c>
      <c r="Q17" s="162">
        <f t="shared" si="5"/>
        <v>339184.49177493347</v>
      </c>
      <c r="R17" s="17"/>
      <c r="S17" s="17"/>
      <c r="T17" s="17"/>
    </row>
    <row r="18" spans="2:20" x14ac:dyDescent="0.35">
      <c r="B18" s="17"/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7"/>
      <c r="S18" s="17"/>
      <c r="T18" s="17"/>
    </row>
    <row r="19" spans="2:20" x14ac:dyDescent="0.35">
      <c r="B19" s="17" t="s">
        <v>258</v>
      </c>
      <c r="C19" s="159">
        <f>'Balance Sheet Input'!C25</f>
        <v>3771</v>
      </c>
      <c r="D19" s="159">
        <f>'Balance Sheet Input'!D25</f>
        <v>6051</v>
      </c>
      <c r="E19" s="159">
        <f>'Balance Sheet Input'!E25</f>
        <v>10025</v>
      </c>
      <c r="F19" s="159">
        <f>'Balance Sheet Input'!F25</f>
        <v>15255</v>
      </c>
      <c r="G19" s="159">
        <f>'Balance Sheet Input'!G25</f>
        <v>14431</v>
      </c>
      <c r="H19" s="188">
        <f>'Working capital'!H7</f>
        <v>21825.934286093474</v>
      </c>
      <c r="I19" s="188">
        <f>'Working capital'!I7</f>
        <v>24308.158098446911</v>
      </c>
      <c r="J19" s="188">
        <f>'Working capital'!J7</f>
        <v>27155.360241911621</v>
      </c>
      <c r="K19" s="188">
        <f>'Working capital'!K7</f>
        <v>29311.412241967028</v>
      </c>
      <c r="L19" s="188">
        <f>'Working capital'!L7</f>
        <v>31521.774585370793</v>
      </c>
      <c r="M19" s="188">
        <f>'Working capital'!M7</f>
        <v>32944.168257524158</v>
      </c>
      <c r="N19" s="188">
        <f>'Working capital'!N7</f>
        <v>34432.040183588811</v>
      </c>
      <c r="O19" s="188">
        <f>'Working capital'!O7</f>
        <v>35930.93692618543</v>
      </c>
      <c r="P19" s="188">
        <f>'Working capital'!P7</f>
        <v>37491.597083234403</v>
      </c>
      <c r="Q19" s="188">
        <f>'Working capital'!Q7</f>
        <v>39122.089007365437</v>
      </c>
      <c r="R19" s="17"/>
      <c r="S19" s="17" t="s">
        <v>275</v>
      </c>
      <c r="T19" s="17"/>
    </row>
    <row r="20" spans="2:20" x14ac:dyDescent="0.35">
      <c r="B20" s="17" t="s">
        <v>282</v>
      </c>
      <c r="C20" s="159">
        <f>'Balance Sheet Input'!C23+'Balance Sheet Input'!C24+'Balance Sheet Input'!C26</f>
        <v>2681</v>
      </c>
      <c r="D20" s="159">
        <f>'Balance Sheet Input'!D23+'Balance Sheet Input'!D24+'Balance Sheet Input'!D26</f>
        <v>3236</v>
      </c>
      <c r="E20" s="159">
        <f>'Balance Sheet Input'!E23+'Balance Sheet Input'!E24+'Balance Sheet Input'!E26</f>
        <v>3079</v>
      </c>
      <c r="F20" s="159">
        <f>'Balance Sheet Input'!F23+'Balance Sheet Input'!F24+'Balance Sheet Input'!F26</f>
        <v>3222</v>
      </c>
      <c r="G20" s="159">
        <f>'Balance Sheet Input'!G23+'Balance Sheet Input'!G24+'Balance Sheet Input'!G26</f>
        <v>4249</v>
      </c>
      <c r="H20" s="188">
        <f>'P&amp;L'!H$5*'Balance Sheet'!H21</f>
        <v>5224.2515648130429</v>
      </c>
      <c r="I20" s="188">
        <f>'P&amp;L'!I$5*'Balance Sheet'!I$21</f>
        <v>5808.7833962677469</v>
      </c>
      <c r="J20" s="188">
        <f>'P&amp;L'!J$5*'Balance Sheet'!J$21</f>
        <v>6481.8583939331602</v>
      </c>
      <c r="K20" s="188">
        <f>'P&amp;L'!K$5*'Balance Sheet'!K$21</f>
        <v>6996.7295931477747</v>
      </c>
      <c r="L20" s="188">
        <f>'P&amp;L'!L$5*'Balance Sheet'!L$21</f>
        <v>7527.3966600499143</v>
      </c>
      <c r="M20" s="188">
        <f>'P&amp;L'!M$5*'Balance Sheet'!M$21</f>
        <v>7862.3517169752977</v>
      </c>
      <c r="N20" s="188">
        <f>'P&amp;L'!N$5*'Balance Sheet'!N$21</f>
        <v>8212.3713256614374</v>
      </c>
      <c r="O20" s="188">
        <f>'P&amp;L'!O$5*'Balance Sheet'!O$21</f>
        <v>8565.4519800756352</v>
      </c>
      <c r="P20" s="188">
        <f>'P&amp;L'!P$5*'Balance Sheet'!P$21</f>
        <v>8932.6043838022924</v>
      </c>
      <c r="Q20" s="188">
        <f>'P&amp;L'!Q$5*'Balance Sheet'!Q$21</f>
        <v>9315.9149431494352</v>
      </c>
      <c r="R20" s="17"/>
      <c r="S20" s="17" t="s">
        <v>277</v>
      </c>
      <c r="T20" s="17"/>
    </row>
    <row r="21" spans="2:20" x14ac:dyDescent="0.35">
      <c r="B21" s="160" t="s">
        <v>278</v>
      </c>
      <c r="C21" s="192">
        <f>C20/'P&amp;L'!C5</f>
        <v>0.10908129221254781</v>
      </c>
      <c r="D21" s="192">
        <f>D20/'P&amp;L'!D5</f>
        <v>0.1026128868594622</v>
      </c>
      <c r="E21" s="192">
        <f>E20/'P&amp;L'!E5</f>
        <v>5.7206027163108707E-2</v>
      </c>
      <c r="F21" s="192">
        <f>F20/'P&amp;L'!F5</f>
        <v>3.9552183840318188E-2</v>
      </c>
      <c r="G21" s="192">
        <f>G20/'P&amp;L'!G5</f>
        <v>4.3906874851456501E-2</v>
      </c>
      <c r="H21" s="189">
        <f>AVERAGE($F21:$G21)</f>
        <v>4.1729529345887348E-2</v>
      </c>
      <c r="I21" s="189">
        <f t="shared" ref="I21:Q21" si="6">AVERAGE($F21:$G21)</f>
        <v>4.1729529345887348E-2</v>
      </c>
      <c r="J21" s="189">
        <f t="shared" si="6"/>
        <v>4.1729529345887348E-2</v>
      </c>
      <c r="K21" s="189">
        <f t="shared" si="6"/>
        <v>4.1729529345887348E-2</v>
      </c>
      <c r="L21" s="189">
        <f t="shared" si="6"/>
        <v>4.1729529345887348E-2</v>
      </c>
      <c r="M21" s="189">
        <f t="shared" si="6"/>
        <v>4.1729529345887348E-2</v>
      </c>
      <c r="N21" s="189">
        <f t="shared" si="6"/>
        <v>4.1729529345887348E-2</v>
      </c>
      <c r="O21" s="189">
        <f t="shared" si="6"/>
        <v>4.1729529345887348E-2</v>
      </c>
      <c r="P21" s="189">
        <f t="shared" si="6"/>
        <v>4.1729529345887348E-2</v>
      </c>
      <c r="Q21" s="189">
        <f t="shared" si="6"/>
        <v>4.1729529345887348E-2</v>
      </c>
      <c r="R21" s="17"/>
      <c r="S21" s="17"/>
      <c r="T21" s="17"/>
    </row>
    <row r="22" spans="2:20" x14ac:dyDescent="0.35">
      <c r="B22" s="17" t="s">
        <v>295</v>
      </c>
      <c r="C22" s="159">
        <f>'Balance Sheet Input'!C35</f>
        <v>1492</v>
      </c>
      <c r="D22" s="159">
        <f>'Balance Sheet Input'!D35</f>
        <v>1454</v>
      </c>
      <c r="E22" s="159">
        <f>'Balance Sheet Input'!E35</f>
        <v>1394</v>
      </c>
      <c r="F22" s="159">
        <f>'Balance Sheet Input'!F35</f>
        <v>1194</v>
      </c>
      <c r="G22" s="159">
        <f>'Balance Sheet Input'!G35</f>
        <v>975</v>
      </c>
      <c r="H22" s="188">
        <f>'P&amp;L'!H$5*'Balance Sheet'!H23</f>
        <v>1548.1551819398846</v>
      </c>
      <c r="I22" s="188">
        <f>'P&amp;L'!I$5*'Balance Sheet'!I23</f>
        <v>1721.3753978212376</v>
      </c>
      <c r="J22" s="188">
        <f>'P&amp;L'!J$5*'Balance Sheet'!J23</f>
        <v>1920.8345035978898</v>
      </c>
      <c r="K22" s="188">
        <f>'P&amp;L'!K$5*'Balance Sheet'!K23</f>
        <v>2073.4114814112149</v>
      </c>
      <c r="L22" s="188">
        <f>'P&amp;L'!L$5*'Balance Sheet'!L23</f>
        <v>2230.6694080858824</v>
      </c>
      <c r="M22" s="188">
        <f>'P&amp;L'!M$5*'Balance Sheet'!M23</f>
        <v>2329.9300199960512</v>
      </c>
      <c r="N22" s="188">
        <f>'P&amp;L'!N$5*'Balance Sheet'!N23</f>
        <v>2433.6548625395803</v>
      </c>
      <c r="O22" s="188">
        <f>'P&amp;L'!O$5*'Balance Sheet'!O23</f>
        <v>2538.2868156514378</v>
      </c>
      <c r="P22" s="188">
        <f>'P&amp;L'!P$5*'Balance Sheet'!P23</f>
        <v>2647.0887922291968</v>
      </c>
      <c r="Q22" s="188">
        <f>'P&amp;L'!Q$5*'Balance Sheet'!Q23</f>
        <v>2760.6790781071686</v>
      </c>
      <c r="R22" s="17"/>
      <c r="S22" s="17" t="s">
        <v>277</v>
      </c>
      <c r="T22" s="17"/>
    </row>
    <row r="23" spans="2:20" x14ac:dyDescent="0.35">
      <c r="B23" s="160" t="s">
        <v>278</v>
      </c>
      <c r="C23" s="192">
        <f>C22/'P&amp;L'!C5</f>
        <v>6.0704695255919927E-2</v>
      </c>
      <c r="D23" s="192">
        <f>D22/'P&amp;L'!D5</f>
        <v>4.6106037544393706E-2</v>
      </c>
      <c r="E23" s="192">
        <f>E22/'P&amp;L'!E5</f>
        <v>2.5899708303141779E-2</v>
      </c>
      <c r="F23" s="192">
        <f>F22/'P&amp;L'!F5</f>
        <v>1.4657140752743611E-2</v>
      </c>
      <c r="G23" s="192">
        <f>G22/'P&amp;L'!G5</f>
        <v>1.0075124259865871E-2</v>
      </c>
      <c r="H23" s="189">
        <f>AVERAGE($F23:$G23)</f>
        <v>1.2366132506304741E-2</v>
      </c>
      <c r="I23" s="189">
        <f t="shared" ref="I23:Q23" si="7">AVERAGE($F23:$G23)</f>
        <v>1.2366132506304741E-2</v>
      </c>
      <c r="J23" s="189">
        <f t="shared" si="7"/>
        <v>1.2366132506304741E-2</v>
      </c>
      <c r="K23" s="189">
        <f t="shared" si="7"/>
        <v>1.2366132506304741E-2</v>
      </c>
      <c r="L23" s="189">
        <f t="shared" si="7"/>
        <v>1.2366132506304741E-2</v>
      </c>
      <c r="M23" s="189">
        <f t="shared" si="7"/>
        <v>1.2366132506304741E-2</v>
      </c>
      <c r="N23" s="189">
        <f t="shared" si="7"/>
        <v>1.2366132506304741E-2</v>
      </c>
      <c r="O23" s="189">
        <f t="shared" si="7"/>
        <v>1.2366132506304741E-2</v>
      </c>
      <c r="P23" s="189">
        <f t="shared" si="7"/>
        <v>1.2366132506304741E-2</v>
      </c>
      <c r="Q23" s="189">
        <f t="shared" si="7"/>
        <v>1.2366132506304741E-2</v>
      </c>
      <c r="R23" s="17"/>
      <c r="S23" s="17"/>
      <c r="T23" s="17"/>
    </row>
    <row r="24" spans="2:20" x14ac:dyDescent="0.35">
      <c r="B24" s="17" t="s">
        <v>283</v>
      </c>
      <c r="C24" s="159">
        <f>'Balance Sheet Input'!C30+'Balance Sheet Input'!C31</f>
        <v>647</v>
      </c>
      <c r="D24" s="159">
        <f>'Balance Sheet Input'!D30+'Balance Sheet Input'!D31</f>
        <v>670</v>
      </c>
      <c r="E24" s="159">
        <f>'Balance Sheet Input'!E30+'Balance Sheet Input'!E31</f>
        <v>157</v>
      </c>
      <c r="F24" s="159">
        <f>'Balance Sheet Input'!F30+'Balance Sheet Input'!F31</f>
        <v>133</v>
      </c>
      <c r="G24" s="159">
        <f>'Balance Sheet Input'!G30+'Balance Sheet Input'!G31</f>
        <v>3606</v>
      </c>
      <c r="H24" s="188">
        <f>'P&amp;L'!H$5*'Balance Sheet'!H25</f>
        <v>2434.7016197654075</v>
      </c>
      <c r="I24" s="188">
        <f>'P&amp;L'!I$5*'Balance Sheet'!I25</f>
        <v>2707.1158745521861</v>
      </c>
      <c r="J24" s="188">
        <f>'P&amp;L'!J$5*'Balance Sheet'!J25</f>
        <v>3020.794641110248</v>
      </c>
      <c r="K24" s="188">
        <f>'P&amp;L'!K$5*'Balance Sheet'!K25</f>
        <v>3260.7443692476677</v>
      </c>
      <c r="L24" s="188">
        <f>'P&amp;L'!L$5*'Balance Sheet'!L25</f>
        <v>3508.0555776215001</v>
      </c>
      <c r="M24" s="188">
        <f>'P&amp;L'!M$5*'Balance Sheet'!M25</f>
        <v>3664.1574822727989</v>
      </c>
      <c r="N24" s="188">
        <f>'P&amp;L'!N$5*'Balance Sheet'!N25</f>
        <v>3827.2800458869988</v>
      </c>
      <c r="O24" s="188">
        <f>'P&amp;L'!O$5*'Balance Sheet'!O25</f>
        <v>3991.8291742253159</v>
      </c>
      <c r="P24" s="188">
        <f>'P&amp;L'!P$5*'Balance Sheet'!P25</f>
        <v>4162.9362775039544</v>
      </c>
      <c r="Q24" s="188">
        <f>'P&amp;L'!Q$5*'Balance Sheet'!Q25</f>
        <v>4341.5737010923176</v>
      </c>
      <c r="R24" s="17"/>
      <c r="S24" s="17" t="s">
        <v>277</v>
      </c>
      <c r="T24" s="17"/>
    </row>
    <row r="25" spans="2:20" x14ac:dyDescent="0.35">
      <c r="B25" s="160" t="s">
        <v>278</v>
      </c>
      <c r="C25" s="192">
        <f>C24/'P&amp;L'!C5</f>
        <v>2.632435511432989E-2</v>
      </c>
      <c r="D25" s="192">
        <f>D24/'P&amp;L'!D5</f>
        <v>2.1245560629122272E-2</v>
      </c>
      <c r="E25" s="192">
        <f>E24/'P&amp;L'!E5</f>
        <v>2.9169685822046337E-3</v>
      </c>
      <c r="F25" s="192">
        <f>F24/'P&amp;L'!F5</f>
        <v>1.6326630821732833E-3</v>
      </c>
      <c r="G25" s="192">
        <f>G24/'P&amp;L'!G5</f>
        <v>3.7262459570334701E-2</v>
      </c>
      <c r="H25" s="189">
        <f>AVERAGE($F25:$G25)</f>
        <v>1.9447561326253991E-2</v>
      </c>
      <c r="I25" s="189">
        <f t="shared" ref="I25:Q25" si="8">AVERAGE($F25:$G25)</f>
        <v>1.9447561326253991E-2</v>
      </c>
      <c r="J25" s="189">
        <f t="shared" si="8"/>
        <v>1.9447561326253991E-2</v>
      </c>
      <c r="K25" s="189">
        <f t="shared" si="8"/>
        <v>1.9447561326253991E-2</v>
      </c>
      <c r="L25" s="189">
        <f t="shared" si="8"/>
        <v>1.9447561326253991E-2</v>
      </c>
      <c r="M25" s="189">
        <f t="shared" si="8"/>
        <v>1.9447561326253991E-2</v>
      </c>
      <c r="N25" s="189">
        <f t="shared" si="8"/>
        <v>1.9447561326253991E-2</v>
      </c>
      <c r="O25" s="189">
        <f t="shared" si="8"/>
        <v>1.9447561326253991E-2</v>
      </c>
      <c r="P25" s="189">
        <f t="shared" si="8"/>
        <v>1.9447561326253991E-2</v>
      </c>
      <c r="Q25" s="189">
        <f t="shared" si="8"/>
        <v>1.9447561326253991E-2</v>
      </c>
      <c r="R25" s="17"/>
      <c r="S25" s="17"/>
      <c r="T25" s="17"/>
    </row>
    <row r="26" spans="2:20" x14ac:dyDescent="0.35">
      <c r="B26" s="17" t="s">
        <v>40</v>
      </c>
      <c r="C26" s="159">
        <f>'Balance Sheet Input'!C27</f>
        <v>4215</v>
      </c>
      <c r="D26" s="159">
        <f>'Balance Sheet Input'!D27</f>
        <v>4961</v>
      </c>
      <c r="E26" s="159">
        <f>'Balance Sheet Input'!E27</f>
        <v>6601</v>
      </c>
      <c r="F26" s="159">
        <f>'Balance Sheet Input'!F27</f>
        <v>8232</v>
      </c>
      <c r="G26" s="159">
        <f>'Balance Sheet Input'!G27</f>
        <v>10068</v>
      </c>
      <c r="H26" s="188">
        <f>'P&amp;L'!H$5*'Balance Sheet'!H27</f>
        <v>12837.965883306664</v>
      </c>
      <c r="I26" s="188">
        <f>'P&amp;L'!I$5*'Balance Sheet'!I27</f>
        <v>14274.382108066085</v>
      </c>
      <c r="J26" s="188">
        <f>'P&amp;L'!J$5*'Balance Sheet'!J27</f>
        <v>15928.382446628364</v>
      </c>
      <c r="K26" s="188">
        <f>'P&amp;L'!K$5*'Balance Sheet'!K27</f>
        <v>17193.616099298179</v>
      </c>
      <c r="L26" s="188">
        <f>'P&amp;L'!L$5*'Balance Sheet'!L27</f>
        <v>18497.666184896974</v>
      </c>
      <c r="M26" s="188">
        <f>'P&amp;L'!M$5*'Balance Sheet'!M27</f>
        <v>19320.77769472776</v>
      </c>
      <c r="N26" s="188">
        <f>'P&amp;L'!N$5*'Balance Sheet'!N27</f>
        <v>20180.908517115105</v>
      </c>
      <c r="O26" s="188">
        <f>'P&amp;L'!O$5*'Balance Sheet'!O27</f>
        <v>21048.561488873798</v>
      </c>
      <c r="P26" s="188">
        <f>'P&amp;L'!P$5*'Balance Sheet'!P27</f>
        <v>21950.794081339998</v>
      </c>
      <c r="Q26" s="188">
        <f>'P&amp;L'!Q$5*'Balance Sheet'!Q27</f>
        <v>22892.733385479522</v>
      </c>
      <c r="R26" s="17"/>
      <c r="S26" s="17" t="s">
        <v>277</v>
      </c>
      <c r="T26" s="17"/>
    </row>
    <row r="27" spans="2:20" x14ac:dyDescent="0.35">
      <c r="B27" s="160" t="s">
        <v>278</v>
      </c>
      <c r="C27" s="192">
        <f>C26/'P&amp;L'!C5</f>
        <v>0.1714948327772805</v>
      </c>
      <c r="D27" s="192">
        <f>D26/'P&amp;L'!D5</f>
        <v>0.15731227803145612</v>
      </c>
      <c r="E27" s="192">
        <f>E26/'P&amp;L'!E5</f>
        <v>0.12264273637664196</v>
      </c>
      <c r="F27" s="192">
        <f>F26/'P&amp;L'!F5</f>
        <v>0.10105325182293584</v>
      </c>
      <c r="G27" s="192">
        <f>G26/'P&amp;L'!G5</f>
        <v>0.10403728312649189</v>
      </c>
      <c r="H27" s="189">
        <f>AVERAGE($F27:$G27)</f>
        <v>0.10254526747471387</v>
      </c>
      <c r="I27" s="189">
        <f t="shared" ref="I27:Q27" si="9">AVERAGE($F27:$G27)</f>
        <v>0.10254526747471387</v>
      </c>
      <c r="J27" s="189">
        <f t="shared" si="9"/>
        <v>0.10254526747471387</v>
      </c>
      <c r="K27" s="189">
        <f t="shared" si="9"/>
        <v>0.10254526747471387</v>
      </c>
      <c r="L27" s="189">
        <f t="shared" si="9"/>
        <v>0.10254526747471387</v>
      </c>
      <c r="M27" s="189">
        <f t="shared" si="9"/>
        <v>0.10254526747471387</v>
      </c>
      <c r="N27" s="189">
        <f t="shared" si="9"/>
        <v>0.10254526747471387</v>
      </c>
      <c r="O27" s="189">
        <f t="shared" si="9"/>
        <v>0.10254526747471387</v>
      </c>
      <c r="P27" s="189">
        <f t="shared" si="9"/>
        <v>0.10254526747471387</v>
      </c>
      <c r="Q27" s="189">
        <f t="shared" si="9"/>
        <v>0.10254526747471387</v>
      </c>
      <c r="R27" s="17"/>
      <c r="S27" s="17"/>
      <c r="T27" s="17"/>
    </row>
    <row r="28" spans="2:20" x14ac:dyDescent="0.35">
      <c r="B28" s="17" t="s">
        <v>284</v>
      </c>
      <c r="C28" s="159">
        <f>'Balance Sheet Input'!C29</f>
        <v>12627</v>
      </c>
      <c r="D28" s="159">
        <f>'Balance Sheet Input'!D29</f>
        <v>10888</v>
      </c>
      <c r="E28" s="159">
        <f>'Balance Sheet Input'!E29</f>
        <v>6916</v>
      </c>
      <c r="F28" s="159">
        <f>'Balance Sheet Input'!F29</f>
        <v>3761</v>
      </c>
      <c r="G28" s="159">
        <f>'Balance Sheet Input'!G29</f>
        <v>6528</v>
      </c>
      <c r="H28" s="188">
        <f>G28+Financing!H19</f>
        <v>6528</v>
      </c>
      <c r="I28" s="188">
        <f>H28+Financing!I19</f>
        <v>6528</v>
      </c>
      <c r="J28" s="188">
        <f>I28+Financing!J19</f>
        <v>6528</v>
      </c>
      <c r="K28" s="188">
        <f>J28+Financing!K19</f>
        <v>6528</v>
      </c>
      <c r="L28" s="188">
        <f>K28+Financing!L19</f>
        <v>6528</v>
      </c>
      <c r="M28" s="188">
        <f>L28+Financing!M19</f>
        <v>6528</v>
      </c>
      <c r="N28" s="188">
        <f>M28+Financing!N19</f>
        <v>6528</v>
      </c>
      <c r="O28" s="188">
        <f>N28+Financing!O19</f>
        <v>6528</v>
      </c>
      <c r="P28" s="188">
        <f>O28+Financing!P19</f>
        <v>6528</v>
      </c>
      <c r="Q28" s="188">
        <f>P28+Financing!Q19</f>
        <v>6528</v>
      </c>
      <c r="R28" s="17"/>
      <c r="S28" s="17" t="s">
        <v>285</v>
      </c>
      <c r="T28" s="17"/>
    </row>
    <row r="29" spans="2:20" x14ac:dyDescent="0.35">
      <c r="B29" s="17" t="s">
        <v>261</v>
      </c>
      <c r="C29" s="190">
        <f>'Balance Sheet Input'!C32</f>
        <v>2258</v>
      </c>
      <c r="D29" s="190">
        <f>'Balance Sheet Input'!D32</f>
        <v>2663</v>
      </c>
      <c r="E29" s="190">
        <f>'Balance Sheet Input'!E32</f>
        <v>3770</v>
      </c>
      <c r="F29" s="190">
        <f>'Balance Sheet Input'!F32</f>
        <v>5837</v>
      </c>
      <c r="G29" s="190">
        <f>'Balance Sheet Input'!G32</f>
        <v>4127</v>
      </c>
      <c r="H29" s="188">
        <f>'P&amp;L'!H$5*'Balance Sheet'!H30</f>
        <v>7154.7409937050697</v>
      </c>
      <c r="I29" s="188">
        <f>'P&amp;L'!I$5*'Balance Sheet'!I30</f>
        <v>7955.2717117896873</v>
      </c>
      <c r="J29" s="188">
        <f>'P&amp;L'!J$5*'Balance Sheet'!J30</f>
        <v>8877.0644734686539</v>
      </c>
      <c r="K29" s="188">
        <f>'P&amp;L'!K$5*'Balance Sheet'!K30</f>
        <v>9582.1932425942123</v>
      </c>
      <c r="L29" s="188">
        <f>'P&amp;L'!L$5*'Balance Sheet'!L30</f>
        <v>10308.954840972532</v>
      </c>
      <c r="M29" s="188">
        <f>'P&amp;L'!M$5*'Balance Sheet'!M30</f>
        <v>10767.684028704252</v>
      </c>
      <c r="N29" s="188">
        <f>'P&amp;L'!N$5*'Balance Sheet'!N30</f>
        <v>11247.044490542377</v>
      </c>
      <c r="O29" s="188">
        <f>'P&amp;L'!O$5*'Balance Sheet'!O30</f>
        <v>11730.597129782842</v>
      </c>
      <c r="P29" s="188">
        <f>'P&amp;L'!P$5*'Balance Sheet'!P30</f>
        <v>12233.4213757616</v>
      </c>
      <c r="Q29" s="188">
        <f>'P&amp;L'!Q$5*'Balance Sheet'!Q30</f>
        <v>12758.374613226759</v>
      </c>
      <c r="R29" s="17"/>
      <c r="S29" s="17" t="s">
        <v>277</v>
      </c>
      <c r="T29" s="17"/>
    </row>
    <row r="30" spans="2:20" x14ac:dyDescent="0.35">
      <c r="B30" s="160" t="s">
        <v>278</v>
      </c>
      <c r="C30" s="192">
        <f>C29/'P&amp;L'!C5</f>
        <v>9.1870778745219303E-2</v>
      </c>
      <c r="D30" s="192">
        <f>D29/'P&amp;L'!D5</f>
        <v>8.4443176052765093E-2</v>
      </c>
      <c r="E30" s="192">
        <f>E29/'P&amp;L'!E5</f>
        <v>7.0044404808353306E-2</v>
      </c>
      <c r="F30" s="192">
        <f>F29/'P&amp;L'!F5</f>
        <v>7.1653040681544766E-2</v>
      </c>
      <c r="G30" s="192">
        <f>G29/'P&amp;L'!G5</f>
        <v>4.2646192636375847E-2</v>
      </c>
      <c r="H30" s="189">
        <f>AVERAGE($F30:$G30)</f>
        <v>5.7149616658960303E-2</v>
      </c>
      <c r="I30" s="189">
        <f t="shared" ref="I30:Q30" si="10">AVERAGE($F30:$G30)</f>
        <v>5.7149616658960303E-2</v>
      </c>
      <c r="J30" s="189">
        <f t="shared" si="10"/>
        <v>5.7149616658960303E-2</v>
      </c>
      <c r="K30" s="189">
        <f t="shared" si="10"/>
        <v>5.7149616658960303E-2</v>
      </c>
      <c r="L30" s="189">
        <f t="shared" si="10"/>
        <v>5.7149616658960303E-2</v>
      </c>
      <c r="M30" s="189">
        <f t="shared" si="10"/>
        <v>5.7149616658960303E-2</v>
      </c>
      <c r="N30" s="189">
        <f t="shared" si="10"/>
        <v>5.7149616658960303E-2</v>
      </c>
      <c r="O30" s="189">
        <f t="shared" si="10"/>
        <v>5.7149616658960303E-2</v>
      </c>
      <c r="P30" s="189">
        <f t="shared" si="10"/>
        <v>5.7149616658960303E-2</v>
      </c>
      <c r="Q30" s="189">
        <f t="shared" si="10"/>
        <v>5.7149616658960303E-2</v>
      </c>
      <c r="R30" s="17"/>
      <c r="S30" s="17"/>
      <c r="T30" s="17"/>
    </row>
    <row r="31" spans="2:20" x14ac:dyDescent="0.35">
      <c r="B31" s="163" t="s">
        <v>286</v>
      </c>
      <c r="C31" s="193">
        <f>SUM(C19,C20,C22,C24,C26,C28,C29)</f>
        <v>27691</v>
      </c>
      <c r="D31" s="193">
        <f t="shared" ref="D31:G31" si="11">SUM(D19,D20,D22,D24,D26,D28,D29)</f>
        <v>29923</v>
      </c>
      <c r="E31" s="193">
        <f t="shared" si="11"/>
        <v>31942</v>
      </c>
      <c r="F31" s="193">
        <f t="shared" si="11"/>
        <v>37634</v>
      </c>
      <c r="G31" s="193">
        <f t="shared" si="11"/>
        <v>43984</v>
      </c>
      <c r="H31" s="191">
        <f t="shared" ref="H31:L31" si="12">H19+H20+H22+H24+H26+H28+H29</f>
        <v>57553.749529623543</v>
      </c>
      <c r="I31" s="191">
        <f t="shared" si="12"/>
        <v>63303.086586943857</v>
      </c>
      <c r="J31" s="191">
        <f t="shared" si="12"/>
        <v>69912.294700649931</v>
      </c>
      <c r="K31" s="191">
        <f t="shared" si="12"/>
        <v>74946.107027666076</v>
      </c>
      <c r="L31" s="191">
        <f t="shared" si="12"/>
        <v>80122.517256997584</v>
      </c>
      <c r="M31" s="191">
        <f>M19+M20+M22+M24+M26+M28+M29</f>
        <v>83417.06920020032</v>
      </c>
      <c r="N31" s="191">
        <f>N19+N20+N22+N24+N26+N28+N29</f>
        <v>86861.299425334306</v>
      </c>
      <c r="O31" s="191">
        <f>O19+O20+O22+O24+O26+O28+O29</f>
        <v>90333.663514794462</v>
      </c>
      <c r="P31" s="191">
        <f>P19+P20+P22+P24+P26+P28+P29</f>
        <v>93946.441993871442</v>
      </c>
      <c r="Q31" s="191">
        <f>Q19+Q20+Q22+Q24+Q26+Q28+Q29</f>
        <v>97719.364728420638</v>
      </c>
      <c r="R31" s="17"/>
      <c r="S31" s="17"/>
      <c r="T31" s="17"/>
    </row>
    <row r="32" spans="2:20" x14ac:dyDescent="0.35">
      <c r="B32" s="163" t="s">
        <v>287</v>
      </c>
      <c r="C32" s="193">
        <f>'Balance Sheet Input'!C34</f>
        <v>6618</v>
      </c>
      <c r="D32" s="193">
        <f>'Balance Sheet Input'!D34</f>
        <v>22225</v>
      </c>
      <c r="E32" s="193">
        <f>'Balance Sheet Input'!E34</f>
        <v>30189</v>
      </c>
      <c r="F32" s="193">
        <f>'Balance Sheet Input'!F34</f>
        <v>44704</v>
      </c>
      <c r="G32" s="193">
        <f>'Balance Sheet Input'!G34</f>
        <v>62634</v>
      </c>
      <c r="H32" s="191">
        <f>G32+'P&amp;L'!H14+Financing!H20</f>
        <v>75282.477287895264</v>
      </c>
      <c r="I32" s="191">
        <f>H32+'P&amp;L'!I14+Financing!I20</f>
        <v>89229.444071041085</v>
      </c>
      <c r="J32" s="191">
        <f>I32+'P&amp;L'!J14+Financing!J20</f>
        <v>104710.80576701967</v>
      </c>
      <c r="K32" s="191">
        <f>J32+'P&amp;L'!K14+Financing!K20</f>
        <v>121443.91844494281</v>
      </c>
      <c r="L32" s="191">
        <f>K32+'P&amp;L'!L14+Financing!L20</f>
        <v>139509.29540355303</v>
      </c>
      <c r="M32" s="191">
        <f>L32+'P&amp;L'!M14+Financing!M20</f>
        <v>158318.74169129081</v>
      </c>
      <c r="N32" s="191">
        <f>M32+'P&amp;L'!N14+Financing!N20</f>
        <v>177900.36236161517</v>
      </c>
      <c r="O32" s="191">
        <f>N32+'P&amp;L'!O14+Financing!O20</f>
        <v>198267.98046265962</v>
      </c>
      <c r="P32" s="191">
        <f>O32+'P&amp;L'!P14+Financing!P20</f>
        <v>219445.71270640625</v>
      </c>
      <c r="Q32" s="191">
        <f>P32+'P&amp;L'!Q14+Financing!Q20</f>
        <v>241465.12704651282</v>
      </c>
      <c r="R32" s="17"/>
      <c r="S32" s="17"/>
      <c r="T32" s="17"/>
    </row>
    <row r="33" spans="2:20" x14ac:dyDescent="0.35">
      <c r="B33" s="17"/>
      <c r="C33" s="164"/>
      <c r="D33" s="164"/>
      <c r="E33" s="164"/>
      <c r="F33" s="164"/>
      <c r="G33" s="164"/>
      <c r="H33" s="164"/>
      <c r="I33" s="164"/>
      <c r="J33" s="164"/>
      <c r="K33" s="164"/>
      <c r="L33" s="164"/>
      <c r="M33" s="164"/>
      <c r="N33" s="164"/>
      <c r="O33" s="164"/>
      <c r="P33" s="164"/>
      <c r="Q33" s="164"/>
      <c r="R33" s="17"/>
      <c r="S33" s="17"/>
      <c r="T33" s="17"/>
    </row>
    <row r="34" spans="2:20" ht="15" thickBot="1" x14ac:dyDescent="0.4">
      <c r="B34" s="161" t="s">
        <v>288</v>
      </c>
      <c r="C34" s="162">
        <f>C31+C32</f>
        <v>34309</v>
      </c>
      <c r="D34" s="162">
        <f>D31+D32</f>
        <v>52148</v>
      </c>
      <c r="E34" s="162">
        <f>E31+E32</f>
        <v>62131</v>
      </c>
      <c r="F34" s="162">
        <f>F31+F32</f>
        <v>82338</v>
      </c>
      <c r="G34" s="162">
        <f>G31+G32</f>
        <v>106618</v>
      </c>
      <c r="H34" s="162">
        <f t="shared" ref="H34:L34" si="13">H31+H32</f>
        <v>132836.22681751882</v>
      </c>
      <c r="I34" s="162">
        <f t="shared" si="13"/>
        <v>152532.53065798496</v>
      </c>
      <c r="J34" s="162">
        <f t="shared" si="13"/>
        <v>174623.1004676696</v>
      </c>
      <c r="K34" s="162">
        <f t="shared" si="13"/>
        <v>196390.02547260889</v>
      </c>
      <c r="L34" s="162">
        <f t="shared" si="13"/>
        <v>219631.81266055061</v>
      </c>
      <c r="M34" s="162">
        <f>M31+M32</f>
        <v>241735.81089149113</v>
      </c>
      <c r="N34" s="162">
        <f>N31+N32</f>
        <v>264761.66178694949</v>
      </c>
      <c r="O34" s="162">
        <f>O31+O32</f>
        <v>288601.64397745405</v>
      </c>
      <c r="P34" s="162">
        <f>P31+P32</f>
        <v>313392.15470027772</v>
      </c>
      <c r="Q34" s="162">
        <f>Q31+Q32</f>
        <v>339184.49177493347</v>
      </c>
      <c r="R34" s="17"/>
      <c r="S34" s="17"/>
      <c r="T34" s="17"/>
    </row>
    <row r="35" spans="2:20" x14ac:dyDescent="0.3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</row>
    <row r="36" spans="2:20" x14ac:dyDescent="0.35">
      <c r="B36" s="17" t="s">
        <v>289</v>
      </c>
      <c r="C36" s="165">
        <f>C17-C34</f>
        <v>0</v>
      </c>
      <c r="D36" s="165">
        <f>D17-D34</f>
        <v>0</v>
      </c>
      <c r="E36" s="165">
        <f>E17-E34</f>
        <v>0</v>
      </c>
      <c r="F36" s="165">
        <f>F17-F34</f>
        <v>0</v>
      </c>
      <c r="G36" s="165">
        <f>G17-G34</f>
        <v>0</v>
      </c>
      <c r="H36" s="165">
        <f t="shared" ref="H36:Q36" si="14">H17-H34</f>
        <v>0</v>
      </c>
      <c r="I36" s="165">
        <f t="shared" si="14"/>
        <v>0</v>
      </c>
      <c r="J36" s="165">
        <f t="shared" si="14"/>
        <v>0</v>
      </c>
      <c r="K36" s="165">
        <f t="shared" si="14"/>
        <v>0</v>
      </c>
      <c r="L36" s="165">
        <f t="shared" si="14"/>
        <v>0</v>
      </c>
      <c r="M36" s="165">
        <f t="shared" si="14"/>
        <v>0</v>
      </c>
      <c r="N36" s="165">
        <f t="shared" si="14"/>
        <v>0</v>
      </c>
      <c r="O36" s="165">
        <f t="shared" si="14"/>
        <v>0</v>
      </c>
      <c r="P36" s="165">
        <f t="shared" si="14"/>
        <v>0</v>
      </c>
      <c r="Q36" s="165">
        <f t="shared" si="14"/>
        <v>0</v>
      </c>
      <c r="R36" s="17"/>
      <c r="S36" s="17"/>
      <c r="T36" s="17"/>
    </row>
    <row r="37" spans="2:20" x14ac:dyDescent="0.35">
      <c r="B37" s="17"/>
      <c r="C37" s="17"/>
      <c r="D37" s="17"/>
      <c r="E37" s="17"/>
      <c r="F37" s="17"/>
      <c r="G37" s="17"/>
      <c r="H37" s="165"/>
      <c r="I37" s="165"/>
      <c r="J37" s="165"/>
      <c r="K37" s="17"/>
      <c r="L37" s="17"/>
      <c r="M37" s="17"/>
      <c r="N37" s="17"/>
      <c r="O37" s="17"/>
      <c r="P37" s="17"/>
      <c r="Q37" s="17"/>
      <c r="R37" s="17"/>
      <c r="S37" s="17"/>
      <c r="T37" s="17"/>
    </row>
    <row r="38" spans="2:20" x14ac:dyDescent="0.3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</row>
    <row r="39" spans="2:20" x14ac:dyDescent="0.35"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</row>
    <row r="40" spans="2:20" x14ac:dyDescent="0.3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</row>
  </sheetData>
  <mergeCells count="2">
    <mergeCell ref="C3:Q3"/>
    <mergeCell ref="B11:B1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0B79-ED9B-4C85-AA1C-D2A647A96E7C}">
  <dimension ref="B1:R38"/>
  <sheetViews>
    <sheetView showGridLines="0" workbookViewId="0">
      <selection activeCell="D16" sqref="D16"/>
    </sheetView>
  </sheetViews>
  <sheetFormatPr defaultRowHeight="14.5" x14ac:dyDescent="0.35"/>
  <cols>
    <col min="1" max="1" width="2.90625" customWidth="1"/>
    <col min="2" max="2" width="35.26953125" customWidth="1"/>
    <col min="3" max="3" width="10.36328125" bestFit="1" customWidth="1"/>
    <col min="4" max="7" width="9.6328125" customWidth="1"/>
    <col min="8" max="17" width="11.08984375" customWidth="1"/>
  </cols>
  <sheetData>
    <row r="1" spans="2:18" ht="18" x14ac:dyDescent="0.35">
      <c r="B1" s="49" t="s">
        <v>310</v>
      </c>
      <c r="C1" s="17"/>
      <c r="D1" s="17"/>
      <c r="E1" s="17"/>
      <c r="F1" s="76"/>
      <c r="G1" s="76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2:18" ht="15.5" x14ac:dyDescent="0.35">
      <c r="B2" s="16"/>
      <c r="C2" s="77"/>
      <c r="D2" s="77"/>
      <c r="E2" s="77"/>
      <c r="F2" s="77"/>
      <c r="G2" s="7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8" x14ac:dyDescent="0.35">
      <c r="B3" s="27"/>
      <c r="C3" s="230" t="s">
        <v>252</v>
      </c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</row>
    <row r="4" spans="2:18" ht="28" x14ac:dyDescent="0.35">
      <c r="B4" s="28" t="s">
        <v>201</v>
      </c>
      <c r="C4" s="29" t="s">
        <v>83</v>
      </c>
      <c r="D4" s="29" t="s">
        <v>102</v>
      </c>
      <c r="E4" s="29" t="s">
        <v>103</v>
      </c>
      <c r="F4" s="29" t="s">
        <v>104</v>
      </c>
      <c r="G4" s="29" t="s">
        <v>105</v>
      </c>
      <c r="H4" s="30" t="s">
        <v>84</v>
      </c>
      <c r="I4" s="30" t="s">
        <v>85</v>
      </c>
      <c r="J4" s="30" t="s">
        <v>86</v>
      </c>
      <c r="K4" s="30" t="s">
        <v>87</v>
      </c>
      <c r="L4" s="30" t="s">
        <v>88</v>
      </c>
      <c r="M4" s="30" t="s">
        <v>89</v>
      </c>
      <c r="N4" s="30" t="s">
        <v>106</v>
      </c>
      <c r="O4" s="30" t="s">
        <v>107</v>
      </c>
      <c r="P4" s="30" t="s">
        <v>108</v>
      </c>
      <c r="Q4" s="30" t="s">
        <v>109</v>
      </c>
    </row>
    <row r="5" spans="2:18" x14ac:dyDescent="0.35">
      <c r="B5" s="27" t="s">
        <v>6</v>
      </c>
      <c r="C5" s="31">
        <f>'P&amp;L Input'!C17</f>
        <v>-69</v>
      </c>
      <c r="D5" s="31">
        <f>'P&amp;L'!D9</f>
        <v>1994</v>
      </c>
      <c r="E5" s="31">
        <f>'P&amp;L'!E9</f>
        <v>6496</v>
      </c>
      <c r="F5" s="31">
        <f>'P&amp;L'!F9</f>
        <v>13832</v>
      </c>
      <c r="G5" s="31">
        <f>'P&amp;L'!G9</f>
        <v>8891</v>
      </c>
      <c r="H5" s="32">
        <f>'P&amp;L'!H9</f>
        <v>16306.710264171221</v>
      </c>
      <c r="I5" s="32">
        <f>'P&amp;L'!I9</f>
        <v>17950.367853095973</v>
      </c>
      <c r="J5" s="32">
        <f>'P&amp;L'!J9</f>
        <v>19892.639894656444</v>
      </c>
      <c r="K5" s="32">
        <f>'P&amp;L'!K9</f>
        <v>21477.134808510305</v>
      </c>
      <c r="L5" s="32">
        <f>'P&amp;L'!L9</f>
        <v>23163.545290392685</v>
      </c>
      <c r="M5" s="32">
        <f>'P&amp;L'!M9</f>
        <v>24105.405200680754</v>
      </c>
      <c r="N5" s="32">
        <f>'P&amp;L'!N9</f>
        <v>25082.84112800553</v>
      </c>
      <c r="O5" s="32">
        <f>'P&amp;L'!O9</f>
        <v>26077.774584613231</v>
      </c>
      <c r="P5" s="32">
        <f>'P&amp;L'!P9</f>
        <v>27103.235524742573</v>
      </c>
      <c r="Q5" s="32">
        <f>'P&amp;L'!Q9</f>
        <v>28168.655899881727</v>
      </c>
    </row>
    <row r="6" spans="2:18" x14ac:dyDescent="0.35">
      <c r="B6" s="27" t="s">
        <v>253</v>
      </c>
      <c r="C6" s="31">
        <f>'P&amp;L Input'!C22</f>
        <v>-110</v>
      </c>
      <c r="D6" s="31">
        <f>'P&amp;L'!D12</f>
        <v>-292</v>
      </c>
      <c r="E6" s="31">
        <f>'P&amp;L'!E12</f>
        <v>-699</v>
      </c>
      <c r="F6" s="31">
        <f>'P&amp;L'!F12</f>
        <v>-1132</v>
      </c>
      <c r="G6" s="31">
        <f>'P&amp;L'!G12</f>
        <v>-5001</v>
      </c>
      <c r="H6" s="32">
        <f>IF('Cash Flow'!H5&lt;=0,0,-(Drivers!$C$12*H5))</f>
        <v>-3424.4091554759561</v>
      </c>
      <c r="I6" s="32">
        <f>IF('Cash Flow'!I5&lt;=0,0,-(Drivers!$C$12*I5))</f>
        <v>-3769.5772491501543</v>
      </c>
      <c r="J6" s="32">
        <f>IF('Cash Flow'!J5&lt;=0,0,-(Drivers!$C$12*J5))</f>
        <v>-4177.4543778778534</v>
      </c>
      <c r="K6" s="32">
        <f>IF('Cash Flow'!K5&lt;=0,0,-(Drivers!$C$12*K5))</f>
        <v>-4510.1983097871644</v>
      </c>
      <c r="L6" s="32">
        <f>IF('Cash Flow'!L5&lt;=0,0,-(Drivers!$C$12*L5))</f>
        <v>-4864.3445109824634</v>
      </c>
      <c r="M6" s="32">
        <f>IF('Cash Flow'!M5&lt;=0,0,-(Drivers!$C$12*M5))</f>
        <v>-5062.1350921429585</v>
      </c>
      <c r="N6" s="32">
        <f>IF('Cash Flow'!N5&lt;=0,0,-(Drivers!$C$12*N5))</f>
        <v>-5267.3966368811607</v>
      </c>
      <c r="O6" s="32">
        <f>IF('Cash Flow'!O5&lt;=0,0,-(Drivers!$C$12*O5))</f>
        <v>-5476.3326627687784</v>
      </c>
      <c r="P6" s="32">
        <f>IF('Cash Flow'!P5&lt;=0,0,-(Drivers!$C$12*P5))</f>
        <v>-5691.67946019594</v>
      </c>
      <c r="Q6" s="32">
        <f>IF('Cash Flow'!Q5&lt;=0,0,-(Drivers!$C$12*Q5))</f>
        <v>-5915.4177389751621</v>
      </c>
    </row>
    <row r="7" spans="2:18" x14ac:dyDescent="0.35">
      <c r="B7" s="142" t="s">
        <v>254</v>
      </c>
      <c r="C7" s="143">
        <f t="shared" ref="C7:Q7" si="0">SUM(C5:C6)</f>
        <v>-179</v>
      </c>
      <c r="D7" s="143">
        <f t="shared" si="0"/>
        <v>1702</v>
      </c>
      <c r="E7" s="143">
        <f t="shared" si="0"/>
        <v>5797</v>
      </c>
      <c r="F7" s="143">
        <f t="shared" si="0"/>
        <v>12700</v>
      </c>
      <c r="G7" s="143">
        <f t="shared" si="0"/>
        <v>3890</v>
      </c>
      <c r="H7" s="145">
        <f t="shared" si="0"/>
        <v>12882.301108695265</v>
      </c>
      <c r="I7" s="145">
        <f t="shared" si="0"/>
        <v>14180.790603945819</v>
      </c>
      <c r="J7" s="145">
        <f t="shared" si="0"/>
        <v>15715.185516778591</v>
      </c>
      <c r="K7" s="145">
        <f t="shared" si="0"/>
        <v>16966.936498723142</v>
      </c>
      <c r="L7" s="145">
        <f t="shared" si="0"/>
        <v>18299.200779410221</v>
      </c>
      <c r="M7" s="145">
        <f t="shared" si="0"/>
        <v>19043.270108537796</v>
      </c>
      <c r="N7" s="145">
        <f t="shared" si="0"/>
        <v>19815.44449112437</v>
      </c>
      <c r="O7" s="145">
        <f t="shared" si="0"/>
        <v>20601.441921844453</v>
      </c>
      <c r="P7" s="145">
        <f t="shared" si="0"/>
        <v>21411.556064546632</v>
      </c>
      <c r="Q7" s="145">
        <f t="shared" si="0"/>
        <v>22253.238160906563</v>
      </c>
    </row>
    <row r="8" spans="2:18" x14ac:dyDescent="0.35">
      <c r="B8" s="110" t="s">
        <v>255</v>
      </c>
      <c r="C8" s="140">
        <f>-'PP&amp;E'!C9</f>
        <v>2154</v>
      </c>
      <c r="D8" s="140">
        <f>-'PP&amp;E'!D9</f>
        <v>2322</v>
      </c>
      <c r="E8" s="140">
        <f>-'PP&amp;E'!E9</f>
        <v>2911</v>
      </c>
      <c r="F8" s="140">
        <f>-'PP&amp;E'!F9</f>
        <v>3747</v>
      </c>
      <c r="G8" s="140">
        <f>-'PP&amp;E'!G9</f>
        <v>4667</v>
      </c>
      <c r="H8" s="149">
        <f>-'PP&amp;E'!H9</f>
        <v>3699.4960137192857</v>
      </c>
      <c r="I8" s="149">
        <f>-'PP&amp;E'!I9</f>
        <v>4615.8513969754003</v>
      </c>
      <c r="J8" s="149">
        <f>-'PP&amp;E'!J9</f>
        <v>5638.3866556667208</v>
      </c>
      <c r="K8" s="149">
        <f>-'PP&amp;E'!K9</f>
        <v>6742.1446012612896</v>
      </c>
      <c r="L8" s="149">
        <f>-'PP&amp;E'!L9</f>
        <v>7929.6170857358848</v>
      </c>
      <c r="M8" s="149">
        <f>-'PP&amp;E'!M9</f>
        <v>9169.929872322562</v>
      </c>
      <c r="N8" s="149">
        <f>-'PP&amp;E'!N9</f>
        <v>10465.459445417551</v>
      </c>
      <c r="O8" s="149">
        <f>-'PP&amp;E'!O9</f>
        <v>11816.688695419743</v>
      </c>
      <c r="P8" s="149">
        <f>-'PP&amp;E'!P9</f>
        <v>13225.837488754627</v>
      </c>
      <c r="Q8" s="149">
        <f>-'PP&amp;E'!Q9</f>
        <v>14695.454829555465</v>
      </c>
    </row>
    <row r="9" spans="2:18" x14ac:dyDescent="0.35">
      <c r="B9" s="130" t="s">
        <v>256</v>
      </c>
      <c r="C9" s="144">
        <f t="shared" ref="C9:Q9" si="1">SUM(C7:C8)</f>
        <v>1975</v>
      </c>
      <c r="D9" s="144">
        <f t="shared" si="1"/>
        <v>4024</v>
      </c>
      <c r="E9" s="144">
        <f t="shared" si="1"/>
        <v>8708</v>
      </c>
      <c r="F9" s="144">
        <f t="shared" si="1"/>
        <v>16447</v>
      </c>
      <c r="G9" s="144">
        <f t="shared" si="1"/>
        <v>8557</v>
      </c>
      <c r="H9" s="146">
        <f t="shared" si="1"/>
        <v>16581.797122414551</v>
      </c>
      <c r="I9" s="146">
        <f t="shared" si="1"/>
        <v>18796.64200092122</v>
      </c>
      <c r="J9" s="146">
        <f t="shared" si="1"/>
        <v>21353.572172445311</v>
      </c>
      <c r="K9" s="146">
        <f t="shared" si="1"/>
        <v>23709.081099984433</v>
      </c>
      <c r="L9" s="146">
        <f t="shared" si="1"/>
        <v>26228.817865146106</v>
      </c>
      <c r="M9" s="146">
        <f t="shared" si="1"/>
        <v>28213.199980860358</v>
      </c>
      <c r="N9" s="146">
        <f t="shared" si="1"/>
        <v>30280.903936541923</v>
      </c>
      <c r="O9" s="146">
        <f t="shared" si="1"/>
        <v>32418.130617264196</v>
      </c>
      <c r="P9" s="146">
        <f t="shared" si="1"/>
        <v>34637.393553301255</v>
      </c>
      <c r="Q9" s="146">
        <f t="shared" si="1"/>
        <v>36948.692990462027</v>
      </c>
      <c r="R9">
        <v>1</v>
      </c>
    </row>
    <row r="10" spans="2:18" ht="4.5" customHeight="1" x14ac:dyDescent="0.35">
      <c r="B10" s="130"/>
      <c r="C10" s="144"/>
      <c r="D10" s="144"/>
      <c r="E10" s="144"/>
      <c r="F10" s="144"/>
      <c r="G10" s="144"/>
      <c r="H10" s="146"/>
      <c r="I10" s="146"/>
      <c r="J10" s="146"/>
      <c r="K10" s="146"/>
      <c r="L10" s="146"/>
      <c r="M10" s="146"/>
      <c r="N10" s="146"/>
      <c r="O10" s="146"/>
      <c r="P10" s="146"/>
      <c r="Q10" s="146"/>
    </row>
    <row r="11" spans="2:18" x14ac:dyDescent="0.35">
      <c r="B11" s="27" t="s">
        <v>257</v>
      </c>
      <c r="C11" s="31"/>
      <c r="D11" s="31">
        <f>-('Balance Sheet'!D7-'Balance Sheet'!C7)</f>
        <v>-562</v>
      </c>
      <c r="E11" s="31">
        <f>-('Balance Sheet'!E7-'Balance Sheet'!D7)</f>
        <v>-27</v>
      </c>
      <c r="F11" s="31">
        <f>-('Balance Sheet'!F7-'Balance Sheet'!E7)</f>
        <v>-1039</v>
      </c>
      <c r="G11" s="31">
        <f>-('Balance Sheet'!G7-'Balance Sheet'!F7)</f>
        <v>-556</v>
      </c>
      <c r="H11" s="32">
        <f>-('Balance Sheet'!H7-'Balance Sheet'!G7)</f>
        <v>-2043.1633635425014</v>
      </c>
      <c r="I11" s="32">
        <f>-('Balance Sheet'!I7-'Balance Sheet'!H7)</f>
        <v>-621.10938712268489</v>
      </c>
      <c r="J11" s="32">
        <f>-('Balance Sheet'!J7-'Balance Sheet'!I7)</f>
        <v>-715.19321410978137</v>
      </c>
      <c r="K11" s="32">
        <f>-('Balance Sheet'!K7-'Balance Sheet'!J7)</f>
        <v>-547.08968405613905</v>
      </c>
      <c r="L11" s="32">
        <f>-('Balance Sheet'!L7-'Balance Sheet'!K7)</f>
        <v>-563.87399103571715</v>
      </c>
      <c r="M11" s="32">
        <f>-('Balance Sheet'!M7-'Balance Sheet'!L7)</f>
        <v>-355.91514255573838</v>
      </c>
      <c r="N11" s="32">
        <f>-('Balance Sheet'!N7-'Balance Sheet'!M7)</f>
        <v>-371.9223709185062</v>
      </c>
      <c r="O11" s="32">
        <f>-('Balance Sheet'!O7-'Balance Sheet'!N7)</f>
        <v>-375.17496407733779</v>
      </c>
      <c r="P11" s="32">
        <f>-('Balance Sheet'!P7-'Balance Sheet'!O7)</f>
        <v>-390.12726456960263</v>
      </c>
      <c r="Q11" s="32">
        <f>-('Balance Sheet'!Q7-'Balance Sheet'!P7)</f>
        <v>-407.29652994476237</v>
      </c>
    </row>
    <row r="12" spans="2:18" x14ac:dyDescent="0.35">
      <c r="B12" s="27" t="s">
        <v>48</v>
      </c>
      <c r="C12" s="31"/>
      <c r="D12" s="31">
        <f>-('Working capital'!D6-'Working capital'!C6)</f>
        <v>-549</v>
      </c>
      <c r="E12" s="31">
        <f>-('Working capital'!E6-'Working capital'!D6)</f>
        <v>-1656</v>
      </c>
      <c r="F12" s="31">
        <f>-('Working capital'!F6-'Working capital'!E6)</f>
        <v>-7082</v>
      </c>
      <c r="G12" s="31">
        <f>-('Working capital'!G6-'Working capital'!F6)</f>
        <v>-787</v>
      </c>
      <c r="H12" s="32">
        <f>-('Working capital'!H6-'Working capital'!G6)</f>
        <v>-3380.7346870078909</v>
      </c>
      <c r="I12" s="32">
        <f>-('Working capital'!I6-'Working capital'!H6)</f>
        <v>-1934.1450064460878</v>
      </c>
      <c r="J12" s="32">
        <f>-('Working capital'!J6-'Working capital'!I6)</f>
        <v>-2218.5355650519195</v>
      </c>
      <c r="K12" s="32">
        <f>-('Working capital'!K6-'Working capital'!J6)</f>
        <v>-1679.9924280766245</v>
      </c>
      <c r="L12" s="32">
        <f>-('Working capital'!L6-'Working capital'!K6)</f>
        <v>-1722.310964730259</v>
      </c>
      <c r="M12" s="32">
        <f>-('Working capital'!M6-'Working capital'!L6)</f>
        <v>-1108.3269786166311</v>
      </c>
      <c r="N12" s="32">
        <f>-('Working capital'!N6-'Working capital'!M6)</f>
        <v>-1159.3475341374724</v>
      </c>
      <c r="O12" s="32">
        <f>-('Working capital'!O6-'Working capital'!N6)</f>
        <v>-1167.9380543541301</v>
      </c>
      <c r="P12" s="32">
        <f>-('Working capital'!P6-'Working capital'!O6)</f>
        <v>-1216.0640126378057</v>
      </c>
      <c r="Q12" s="32">
        <f>-('Working capital'!Q6-'Working capital'!P6)</f>
        <v>-1270.4768189773895</v>
      </c>
    </row>
    <row r="13" spans="2:18" s="27" customFormat="1" ht="14" x14ac:dyDescent="0.35">
      <c r="B13" s="110" t="s">
        <v>258</v>
      </c>
      <c r="C13" s="140"/>
      <c r="D13" s="140">
        <f>'Balance Sheet'!D19-'Balance Sheet'!C19</f>
        <v>2280</v>
      </c>
      <c r="E13" s="140">
        <f>'Balance Sheet'!E19-'Balance Sheet'!D19</f>
        <v>3974</v>
      </c>
      <c r="F13" s="140">
        <f>'Balance Sheet'!F19-'Balance Sheet'!E19</f>
        <v>5230</v>
      </c>
      <c r="G13" s="140">
        <f>'Balance Sheet'!G19-'Balance Sheet'!F19</f>
        <v>-824</v>
      </c>
      <c r="H13" s="149">
        <f>'Balance Sheet'!H19-'Balance Sheet'!G19</f>
        <v>7394.9342860934739</v>
      </c>
      <c r="I13" s="149">
        <f>'Balance Sheet'!I19-'Balance Sheet'!H19</f>
        <v>2482.2238123534371</v>
      </c>
      <c r="J13" s="149">
        <f>'Balance Sheet'!J19-'Balance Sheet'!I19</f>
        <v>2847.2021434647104</v>
      </c>
      <c r="K13" s="149">
        <f>'Balance Sheet'!K19-'Balance Sheet'!J19</f>
        <v>2156.0520000554061</v>
      </c>
      <c r="L13" s="149">
        <f>'Balance Sheet'!L19-'Balance Sheet'!K19</f>
        <v>2210.3623434037654</v>
      </c>
      <c r="M13" s="149">
        <f>'Balance Sheet'!M19-'Balance Sheet'!L19</f>
        <v>1422.3936721533646</v>
      </c>
      <c r="N13" s="149">
        <f>'Balance Sheet'!N19-'Balance Sheet'!M19</f>
        <v>1487.871926064654</v>
      </c>
      <c r="O13" s="149">
        <f>'Balance Sheet'!O19-'Balance Sheet'!N19</f>
        <v>1498.8967425966184</v>
      </c>
      <c r="P13" s="149">
        <f>'Balance Sheet'!P19-'Balance Sheet'!O19</f>
        <v>1560.6601570489729</v>
      </c>
      <c r="Q13" s="149">
        <f>'Balance Sheet'!Q19-'Balance Sheet'!P19</f>
        <v>1630.4919241310345</v>
      </c>
    </row>
    <row r="14" spans="2:18" x14ac:dyDescent="0.35">
      <c r="B14" s="130" t="s">
        <v>259</v>
      </c>
      <c r="C14" s="144"/>
      <c r="D14" s="144">
        <f t="shared" ref="D14:Q14" si="2">SUM(D11:D13)</f>
        <v>1169</v>
      </c>
      <c r="E14" s="144">
        <f t="shared" si="2"/>
        <v>2291</v>
      </c>
      <c r="F14" s="144">
        <f t="shared" si="2"/>
        <v>-2891</v>
      </c>
      <c r="G14" s="144">
        <f t="shared" si="2"/>
        <v>-2167</v>
      </c>
      <c r="H14" s="146">
        <f t="shared" si="2"/>
        <v>1971.0362355430816</v>
      </c>
      <c r="I14" s="146">
        <f t="shared" si="2"/>
        <v>-73.030581215335587</v>
      </c>
      <c r="J14" s="146">
        <f t="shared" si="2"/>
        <v>-86.526635696990525</v>
      </c>
      <c r="K14" s="146">
        <f t="shared" si="2"/>
        <v>-71.030112077357444</v>
      </c>
      <c r="L14" s="146">
        <f t="shared" si="2"/>
        <v>-75.822612362210748</v>
      </c>
      <c r="M14" s="146">
        <f t="shared" si="2"/>
        <v>-41.848449019004875</v>
      </c>
      <c r="N14" s="146">
        <f t="shared" si="2"/>
        <v>-43.397978991324635</v>
      </c>
      <c r="O14" s="146">
        <f t="shared" si="2"/>
        <v>-44.216275834849512</v>
      </c>
      <c r="P14" s="146">
        <f t="shared" si="2"/>
        <v>-45.531120158435442</v>
      </c>
      <c r="Q14" s="146">
        <f t="shared" si="2"/>
        <v>-47.281424791117388</v>
      </c>
      <c r="R14">
        <v>2</v>
      </c>
    </row>
    <row r="15" spans="2:18" ht="4.5" customHeight="1" x14ac:dyDescent="0.35">
      <c r="B15" s="130"/>
      <c r="C15" s="144"/>
      <c r="D15" s="144"/>
      <c r="E15" s="144"/>
      <c r="F15" s="144"/>
      <c r="G15" s="144"/>
      <c r="H15" s="146"/>
      <c r="I15" s="146"/>
      <c r="J15" s="146"/>
      <c r="K15" s="146"/>
      <c r="L15" s="146"/>
      <c r="M15" s="146"/>
      <c r="N15" s="146"/>
      <c r="O15" s="146"/>
      <c r="P15" s="146"/>
      <c r="Q15" s="146"/>
    </row>
    <row r="16" spans="2:18" x14ac:dyDescent="0.35">
      <c r="B16" s="27" t="s">
        <v>219</v>
      </c>
      <c r="C16" s="31"/>
      <c r="D16" s="31">
        <f>-'PP&amp;E'!D8</f>
        <v>-4673.0000000000018</v>
      </c>
      <c r="E16" s="31">
        <f>-'PP&amp;E'!E8</f>
        <v>-9048</v>
      </c>
      <c r="F16" s="31">
        <f>-'PP&amp;E'!F8</f>
        <v>-8410.9999999999964</v>
      </c>
      <c r="G16" s="31">
        <f>-'PP&amp;E'!G8</f>
        <v>-10844</v>
      </c>
      <c r="H16" s="32">
        <f>-'PP&amp;E'!H8</f>
        <v>-7269.9601371928566</v>
      </c>
      <c r="I16" s="32">
        <f>-'PP&amp;E'!I8</f>
        <v>-9163.5538325611487</v>
      </c>
      <c r="J16" s="32">
        <f>-'PP&amp;E'!J8</f>
        <v>-10225.352586913201</v>
      </c>
      <c r="K16" s="32">
        <f>-'PP&amp;E'!K8</f>
        <v>-11037.579455945686</v>
      </c>
      <c r="L16" s="32">
        <f>-'PP&amp;E'!L8</f>
        <v>-11874.724844745951</v>
      </c>
      <c r="M16" s="32">
        <f>-'PP&amp;E'!M8</f>
        <v>-12403.127865866769</v>
      </c>
      <c r="N16" s="32">
        <f>-'PP&amp;E'!N8</f>
        <v>-12955.295730949889</v>
      </c>
      <c r="O16" s="32">
        <f>-'PP&amp;E'!O8</f>
        <v>-13512.292500021924</v>
      </c>
      <c r="P16" s="32">
        <f>-'PP&amp;E'!P8</f>
        <v>-14091.487933348832</v>
      </c>
      <c r="Q16" s="32">
        <f>-'PP&amp;E'!Q8</f>
        <v>-14696.173408008381</v>
      </c>
      <c r="R16">
        <v>3</v>
      </c>
    </row>
    <row r="17" spans="2:18" x14ac:dyDescent="0.35">
      <c r="B17" s="27" t="s">
        <v>260</v>
      </c>
      <c r="C17" s="31"/>
      <c r="D17" s="31">
        <f>-('Balance Sheet'!D6-'Balance Sheet'!C6)-('Balance Sheet'!D9-'Balance Sheet'!C9)-('Balance Sheet'!D12-'Balance Sheet'!C12)-('Balance Sheet'!D14-'Balance Sheet'!C14)-('Balance Sheet'!D15-'Balance Sheet'!C15)</f>
        <v>-1261</v>
      </c>
      <c r="E17" s="31">
        <f>-('Balance Sheet'!E6-'Balance Sheet'!D6)-('Balance Sheet'!E9-'Balance Sheet'!D9)-('Balance Sheet'!E12-'Balance Sheet'!D12)-('Balance Sheet'!E14-'Balance Sheet'!D14)-('Balance Sheet'!E15-'Balance Sheet'!D15)</f>
        <v>-3840</v>
      </c>
      <c r="F17" s="31">
        <f>-('Balance Sheet'!F6-'Balance Sheet'!E6)-('Balance Sheet'!F9-'Balance Sheet'!E9)-('Balance Sheet'!F12-'Balance Sheet'!E12)-('Balance Sheet'!F14-'Balance Sheet'!E14)-('Balance Sheet'!F15-'Balance Sheet'!E15)</f>
        <v>-2944</v>
      </c>
      <c r="G17" s="31">
        <f>-('Balance Sheet'!G6-'Balance Sheet'!F6)-('Balance Sheet'!G9-'Balance Sheet'!F9)-('Balance Sheet'!G12-'Balance Sheet'!F12)-('Balance Sheet'!G14-'Balance Sheet'!F14)-('Balance Sheet'!G15-'Balance Sheet'!F15)</f>
        <v>-9851</v>
      </c>
      <c r="H17" s="32">
        <f>-('Balance Sheet'!H6-'Balance Sheet'!G6)-('Balance Sheet'!H9-'Balance Sheet'!G9)-('Balance Sheet'!H12-'Balance Sheet'!G12)-('Balance Sheet'!H14-'Balance Sheet'!G14)-('Balance Sheet'!H15-'Balance Sheet'!G15)</f>
        <v>-273.21053890535086</v>
      </c>
      <c r="I17" s="32">
        <f>-('Balance Sheet'!I6-'Balance Sheet'!H6)-('Balance Sheet'!I9-'Balance Sheet'!H9)-('Balance Sheet'!I12-'Balance Sheet'!H12)-('Balance Sheet'!I14-'Balance Sheet'!H14)-('Balance Sheet'!I15-'Balance Sheet'!H15)</f>
        <v>-1609.1988990913646</v>
      </c>
      <c r="J17" s="32">
        <f>-('Balance Sheet'!J6-'Balance Sheet'!I6)-('Balance Sheet'!J9-'Balance Sheet'!I9)-('Balance Sheet'!J12-'Balance Sheet'!I12)-('Balance Sheet'!J14-'Balance Sheet'!I14)-('Balance Sheet'!J15-'Balance Sheet'!I15)</f>
        <v>-1852.9556252798156</v>
      </c>
      <c r="K17" s="32">
        <f>-('Balance Sheet'!K6-'Balance Sheet'!J6)-('Balance Sheet'!K9-'Balance Sheet'!J9)-('Balance Sheet'!K12-'Balance Sheet'!J12)-('Balance Sheet'!K14-'Balance Sheet'!J14)-('Balance Sheet'!K15-'Balance Sheet'!J15)</f>
        <v>-1417.4252322376924</v>
      </c>
      <c r="L17" s="32">
        <f>-('Balance Sheet'!L6-'Balance Sheet'!K6)-('Balance Sheet'!L9-'Balance Sheet'!K9)-('Balance Sheet'!L12-'Balance Sheet'!K12)-('Balance Sheet'!L14-'Balance Sheet'!K14)-('Balance Sheet'!L15-'Balance Sheet'!K15)</f>
        <v>-1460.9107902948144</v>
      </c>
      <c r="M17" s="32">
        <f>-('Balance Sheet'!M6-'Balance Sheet'!L6)-('Balance Sheet'!M9-'Balance Sheet'!L9)-('Balance Sheet'!M12-'Balance Sheet'!L12)-('Balance Sheet'!M14-'Balance Sheet'!L14)-('Balance Sheet'!M15-'Balance Sheet'!L15)</f>
        <v>-922.12139672188187</v>
      </c>
      <c r="N17" s="32">
        <f>-('Balance Sheet'!N6-'Balance Sheet'!M6)-('Balance Sheet'!N9-'Balance Sheet'!M9)-('Balance Sheet'!N12-'Balance Sheet'!M12)-('Balance Sheet'!N14-'Balance Sheet'!M14)-('Balance Sheet'!N15-'Balance Sheet'!M15)</f>
        <v>-963.59366359293563</v>
      </c>
      <c r="O17" s="32">
        <f>-('Balance Sheet'!O6-'Balance Sheet'!N6)-('Balance Sheet'!O9-'Balance Sheet'!N9)-('Balance Sheet'!O12-'Balance Sheet'!N12)-('Balance Sheet'!O14-'Balance Sheet'!N14)-('Balance Sheet'!O15-'Balance Sheet'!N15)</f>
        <v>-972.02063223791265</v>
      </c>
      <c r="P17" s="32">
        <f>-('Balance Sheet'!P6-'Balance Sheet'!O6)-('Balance Sheet'!P9-'Balance Sheet'!O9)-('Balance Sheet'!P12-'Balance Sheet'!O12)-('Balance Sheet'!P14-'Balance Sheet'!O14)-('Balance Sheet'!P15-'Balance Sheet'!O15)</f>
        <v>-1010.7597432381535</v>
      </c>
      <c r="Q17" s="32">
        <f>-('Balance Sheet'!Q6-'Balance Sheet'!P6)-('Balance Sheet'!Q9-'Balance Sheet'!P9)-('Balance Sheet'!Q12-'Balance Sheet'!P12)-('Balance Sheet'!Q14-'Balance Sheet'!P14)-('Balance Sheet'!Q15-'Balance Sheet'!P15)</f>
        <v>-1055.2426692939089</v>
      </c>
      <c r="R17">
        <v>4</v>
      </c>
    </row>
    <row r="18" spans="2:18" x14ac:dyDescent="0.35">
      <c r="B18" s="27" t="s">
        <v>261</v>
      </c>
      <c r="C18" s="31"/>
      <c r="D18" s="31">
        <f>'Balance Sheet'!D20-'Balance Sheet'!C20+'Balance Sheet'!D22-'Balance Sheet'!C22+'Balance Sheet'!D24-'Balance Sheet'!C24+'Balance Sheet'!D26-'Balance Sheet'!C26+'Balance Sheet'!D29-'Balance Sheet'!C29</f>
        <v>1691</v>
      </c>
      <c r="E18" s="31">
        <f>'Balance Sheet'!E20-'Balance Sheet'!D20+'Balance Sheet'!E22-'Balance Sheet'!D22+'Balance Sheet'!E24-'Balance Sheet'!D24+'Balance Sheet'!E26-'Balance Sheet'!D26+'Balance Sheet'!E29-'Balance Sheet'!D29</f>
        <v>2017</v>
      </c>
      <c r="F18" s="31">
        <f>'Balance Sheet'!F20-'Balance Sheet'!E20+'Balance Sheet'!F22-'Balance Sheet'!E22+'Balance Sheet'!F24-'Balance Sheet'!E24+'Balance Sheet'!F26-'Balance Sheet'!E26+'Balance Sheet'!F29-'Balance Sheet'!E29</f>
        <v>3617</v>
      </c>
      <c r="G18" s="31">
        <f>'Balance Sheet'!G20-'Balance Sheet'!F20+'Balance Sheet'!G22-'Balance Sheet'!F22+'Balance Sheet'!G24-'Balance Sheet'!F24+'Balance Sheet'!G26-'Balance Sheet'!F26+'Balance Sheet'!G29-'Balance Sheet'!F29</f>
        <v>4407</v>
      </c>
      <c r="H18" s="32">
        <f>('Balance Sheet'!H20-'Balance Sheet'!G20)+('Balance Sheet'!H22-'Balance Sheet'!G22)+('Balance Sheet'!H24-'Balance Sheet'!G24)+('Balance Sheet'!H26-'Balance Sheet'!G26)+('Balance Sheet'!H29-'Balance Sheet'!G29)</f>
        <v>6174.815243530069</v>
      </c>
      <c r="I18" s="32">
        <f>('Balance Sheet'!I20-'Balance Sheet'!H20)+('Balance Sheet'!I22-'Balance Sheet'!H22)+('Balance Sheet'!I24-'Balance Sheet'!H24)+('Balance Sheet'!I26-'Balance Sheet'!H26)+('Balance Sheet'!I29-'Balance Sheet'!H29)</f>
        <v>3267.1132449668744</v>
      </c>
      <c r="J18" s="32">
        <f>('Balance Sheet'!J20-'Balance Sheet'!I20)+('Balance Sheet'!J22-'Balance Sheet'!I22)+('Balance Sheet'!J24-'Balance Sheet'!I24)+('Balance Sheet'!J26-'Balance Sheet'!I26)+('Balance Sheet'!J29-'Balance Sheet'!I29)</f>
        <v>3762.0059702413728</v>
      </c>
      <c r="K18" s="32">
        <f>('Balance Sheet'!K20-'Balance Sheet'!J20)+('Balance Sheet'!K22-'Balance Sheet'!J22)+('Balance Sheet'!K24-'Balance Sheet'!J24)+('Balance Sheet'!K26-'Balance Sheet'!J26)+('Balance Sheet'!K29-'Balance Sheet'!J29)</f>
        <v>2877.7603269607325</v>
      </c>
      <c r="L18" s="32">
        <f>('Balance Sheet'!L20-'Balance Sheet'!K20)+('Balance Sheet'!L22-'Balance Sheet'!K22)+('Balance Sheet'!L24-'Balance Sheet'!K24)+('Balance Sheet'!L26-'Balance Sheet'!K26)+('Balance Sheet'!L29-'Balance Sheet'!K29)</f>
        <v>2966.047885927755</v>
      </c>
      <c r="M18" s="32">
        <f>('Balance Sheet'!M20-'Balance Sheet'!L20)+('Balance Sheet'!M22-'Balance Sheet'!L22)+('Balance Sheet'!M24-'Balance Sheet'!L24)+('Balance Sheet'!M26-'Balance Sheet'!L26)+('Balance Sheet'!M29-'Balance Sheet'!L29)</f>
        <v>1872.1582710493567</v>
      </c>
      <c r="N18" s="32">
        <f>('Balance Sheet'!N20-'Balance Sheet'!M20)+('Balance Sheet'!N22-'Balance Sheet'!M22)+('Balance Sheet'!N24-'Balance Sheet'!M24)+('Balance Sheet'!N26-'Balance Sheet'!M26)+('Balance Sheet'!N29-'Balance Sheet'!M29)</f>
        <v>1956.3582990693394</v>
      </c>
      <c r="O18" s="32">
        <f>('Balance Sheet'!O20-'Balance Sheet'!N20)+('Balance Sheet'!O22-'Balance Sheet'!N22)+('Balance Sheet'!O24-'Balance Sheet'!N24)+('Balance Sheet'!O26-'Balance Sheet'!N26)+('Balance Sheet'!O29-'Balance Sheet'!N29)</f>
        <v>1973.4673468635297</v>
      </c>
      <c r="P18" s="32">
        <f>('Balance Sheet'!P20-'Balance Sheet'!O20)+('Balance Sheet'!P22-'Balance Sheet'!O22)+('Balance Sheet'!P24-'Balance Sheet'!O24)+('Balance Sheet'!P26-'Balance Sheet'!O26)+('Balance Sheet'!P29-'Balance Sheet'!O29)</f>
        <v>2052.1183220280127</v>
      </c>
      <c r="Q18" s="32">
        <f>('Balance Sheet'!Q20-'Balance Sheet'!P20)+('Balance Sheet'!Q22-'Balance Sheet'!P22)+('Balance Sheet'!Q24-'Balance Sheet'!P24)+('Balance Sheet'!Q26-'Balance Sheet'!P26)+('Balance Sheet'!Q29-'Balance Sheet'!P29)</f>
        <v>2142.43081041816</v>
      </c>
      <c r="R18">
        <v>5</v>
      </c>
    </row>
    <row r="19" spans="2:18" ht="4.5" customHeight="1" x14ac:dyDescent="0.35">
      <c r="B19" s="130"/>
      <c r="C19" s="144"/>
      <c r="D19" s="144"/>
      <c r="E19" s="144"/>
      <c r="F19" s="144"/>
      <c r="G19" s="144"/>
      <c r="H19" s="146"/>
      <c r="I19" s="146"/>
      <c r="J19" s="146"/>
      <c r="K19" s="146"/>
      <c r="L19" s="146"/>
      <c r="M19" s="146"/>
      <c r="N19" s="146"/>
      <c r="O19" s="146"/>
      <c r="P19" s="146"/>
      <c r="Q19" s="146"/>
    </row>
    <row r="20" spans="2:18" x14ac:dyDescent="0.35">
      <c r="B20" s="152" t="s">
        <v>262</v>
      </c>
      <c r="C20" s="153"/>
      <c r="D20" s="153">
        <f>D9+D14+D16+D17+D18</f>
        <v>949.99999999999818</v>
      </c>
      <c r="E20" s="153">
        <f t="shared" ref="E20:Q20" si="3">E9+E14+E16+E17+E18</f>
        <v>128</v>
      </c>
      <c r="F20" s="153">
        <f t="shared" si="3"/>
        <v>5818.0000000000036</v>
      </c>
      <c r="G20" s="153">
        <f t="shared" si="3"/>
        <v>-9898</v>
      </c>
      <c r="H20" s="153">
        <f t="shared" si="3"/>
        <v>17184.477925389496</v>
      </c>
      <c r="I20" s="153">
        <f t="shared" si="3"/>
        <v>11217.971933020246</v>
      </c>
      <c r="J20" s="153">
        <f t="shared" si="3"/>
        <v>12950.743294796675</v>
      </c>
      <c r="K20" s="153">
        <f t="shared" si="3"/>
        <v>14060.806626684429</v>
      </c>
      <c r="L20" s="153">
        <f t="shared" si="3"/>
        <v>15783.407503670884</v>
      </c>
      <c r="M20" s="153">
        <f t="shared" si="3"/>
        <v>16718.260540302057</v>
      </c>
      <c r="N20" s="153">
        <f t="shared" si="3"/>
        <v>18274.974862077113</v>
      </c>
      <c r="O20" s="153">
        <f t="shared" si="3"/>
        <v>19863.068556033042</v>
      </c>
      <c r="P20" s="153">
        <f t="shared" si="3"/>
        <v>21541.733078583849</v>
      </c>
      <c r="Q20" s="153">
        <f t="shared" si="3"/>
        <v>23292.426298786784</v>
      </c>
      <c r="R20" t="s">
        <v>296</v>
      </c>
    </row>
    <row r="21" spans="2:18" ht="4.5" customHeight="1" x14ac:dyDescent="0.35">
      <c r="B21" s="130"/>
      <c r="C21" s="144"/>
      <c r="D21" s="144"/>
      <c r="E21" s="144"/>
      <c r="F21" s="144"/>
      <c r="G21" s="144"/>
      <c r="H21" s="146"/>
      <c r="I21" s="146"/>
      <c r="J21" s="146"/>
      <c r="K21" s="146"/>
      <c r="L21" s="146"/>
      <c r="M21" s="146"/>
      <c r="N21" s="146"/>
      <c r="O21" s="146"/>
      <c r="P21" s="146"/>
      <c r="Q21" s="146"/>
    </row>
    <row r="22" spans="2:18" x14ac:dyDescent="0.35">
      <c r="B22" s="27" t="s">
        <v>263</v>
      </c>
      <c r="C22" s="31"/>
      <c r="D22" s="31">
        <f>'P&amp;L'!D10</f>
        <v>-840</v>
      </c>
      <c r="E22" s="31">
        <f>'P&amp;L'!E10</f>
        <v>-153</v>
      </c>
      <c r="F22" s="31">
        <f>'P&amp;L'!F10</f>
        <v>-113</v>
      </c>
      <c r="G22" s="31">
        <f>'P&amp;L'!G10</f>
        <v>1082</v>
      </c>
      <c r="H22" s="32">
        <f>'P&amp;L'!H10</f>
        <v>-295.97951999999998</v>
      </c>
      <c r="I22" s="32">
        <f>'P&amp;L'!I10</f>
        <v>-295.97951999999998</v>
      </c>
      <c r="J22" s="32">
        <f>'P&amp;L'!J10</f>
        <v>-295.97951999999998</v>
      </c>
      <c r="K22" s="32">
        <f>'P&amp;L'!K10</f>
        <v>-295.97951999999998</v>
      </c>
      <c r="L22" s="32">
        <f>'P&amp;L'!L10</f>
        <v>-295.97951999999998</v>
      </c>
      <c r="M22" s="32">
        <f>'P&amp;L'!M10</f>
        <v>-295.97951999999998</v>
      </c>
      <c r="N22" s="32">
        <f>'P&amp;L'!N10</f>
        <v>-295.97951999999998</v>
      </c>
      <c r="O22" s="32">
        <f>'P&amp;L'!O10</f>
        <v>-295.97951999999998</v>
      </c>
      <c r="P22" s="32">
        <f>'P&amp;L'!P10</f>
        <v>-295.97951999999998</v>
      </c>
      <c r="Q22" s="32">
        <f>'P&amp;L'!Q10</f>
        <v>-295.97951999999998</v>
      </c>
    </row>
    <row r="23" spans="2:18" x14ac:dyDescent="0.35">
      <c r="B23" s="27" t="s">
        <v>264</v>
      </c>
      <c r="C23" s="31"/>
      <c r="D23" s="31">
        <f>'Balance Sheet'!D28-'Balance Sheet'!C28</f>
        <v>-1739</v>
      </c>
      <c r="E23" s="31">
        <f>'Balance Sheet'!E28-'Balance Sheet'!D28</f>
        <v>-3972</v>
      </c>
      <c r="F23" s="31">
        <f>'Balance Sheet'!F28-'Balance Sheet'!E28</f>
        <v>-3155</v>
      </c>
      <c r="G23" s="31">
        <f>'Balance Sheet'!G28-'Balance Sheet'!F28</f>
        <v>2767</v>
      </c>
      <c r="H23" s="32">
        <f>'Balance Sheet'!H28-'Balance Sheet'!G28</f>
        <v>0</v>
      </c>
      <c r="I23" s="32">
        <f>'Balance Sheet'!I28-'Balance Sheet'!H28</f>
        <v>0</v>
      </c>
      <c r="J23" s="32">
        <f>'Balance Sheet'!J28-'Balance Sheet'!I28</f>
        <v>0</v>
      </c>
      <c r="K23" s="32">
        <f>'Balance Sheet'!K28-'Balance Sheet'!J28</f>
        <v>0</v>
      </c>
      <c r="L23" s="32">
        <f>'Balance Sheet'!L28-'Balance Sheet'!K28</f>
        <v>0</v>
      </c>
      <c r="M23" s="32">
        <f>'Balance Sheet'!M28-'Balance Sheet'!L28</f>
        <v>0</v>
      </c>
      <c r="N23" s="32">
        <f>'Balance Sheet'!N28-'Balance Sheet'!M28</f>
        <v>0</v>
      </c>
      <c r="O23" s="32">
        <f>'Balance Sheet'!O28-'Balance Sheet'!N28</f>
        <v>0</v>
      </c>
      <c r="P23" s="32">
        <f>'Balance Sheet'!P28-'Balance Sheet'!O28</f>
        <v>0</v>
      </c>
      <c r="Q23" s="32">
        <f>'Balance Sheet'!Q28-'Balance Sheet'!P28</f>
        <v>0</v>
      </c>
    </row>
    <row r="24" spans="2:18" x14ac:dyDescent="0.35">
      <c r="B24" s="27" t="s">
        <v>265</v>
      </c>
      <c r="C24" s="31"/>
      <c r="D24" s="31">
        <f>'Balance Sheet'!D32-'Balance Sheet'!C32-'P&amp;L'!D14</f>
        <v>14886</v>
      </c>
      <c r="E24" s="31">
        <f>'Balance Sheet'!E32-'Balance Sheet'!D32-'P&amp;L'!E14</f>
        <v>2445</v>
      </c>
      <c r="F24" s="31">
        <f>'Balance Sheet'!F32-'Balance Sheet'!E32-'P&amp;L'!F14</f>
        <v>1959</v>
      </c>
      <c r="G24" s="31">
        <f>'Balance Sheet'!G32-'Balance Sheet'!F32-'P&amp;L'!G14</f>
        <v>12981</v>
      </c>
      <c r="H24" s="32">
        <f>'Balance Sheet'!H32-'Balance Sheet'!G32-'P&amp;L'!H14</f>
        <v>0</v>
      </c>
      <c r="I24" s="32">
        <f>'Balance Sheet'!I32-'Balance Sheet'!H32-'P&amp;L'!I14</f>
        <v>0</v>
      </c>
      <c r="J24" s="32">
        <f>'Balance Sheet'!J32-'Balance Sheet'!I32-'P&amp;L'!J14</f>
        <v>0</v>
      </c>
      <c r="K24" s="32">
        <f>'Balance Sheet'!K32-'Balance Sheet'!J32-'P&amp;L'!K14</f>
        <v>0</v>
      </c>
      <c r="L24" s="32">
        <f>'Balance Sheet'!L32-'Balance Sheet'!K32-'P&amp;L'!L14</f>
        <v>0</v>
      </c>
      <c r="M24" s="32">
        <f>'Balance Sheet'!M32-'Balance Sheet'!L32-'P&amp;L'!M14</f>
        <v>0</v>
      </c>
      <c r="N24" s="32">
        <f>'Balance Sheet'!N32-'Balance Sheet'!M32-'P&amp;L'!N14</f>
        <v>0</v>
      </c>
      <c r="O24" s="32">
        <f>'Balance Sheet'!O32-'Balance Sheet'!N32-'P&amp;L'!O14</f>
        <v>0</v>
      </c>
      <c r="P24" s="32">
        <f>'Balance Sheet'!P32-'Balance Sheet'!O32-'P&amp;L'!P14</f>
        <v>0</v>
      </c>
      <c r="Q24" s="32">
        <f>'Balance Sheet'!Q32-'Balance Sheet'!P32-'P&amp;L'!Q14</f>
        <v>0</v>
      </c>
    </row>
    <row r="25" spans="2:18" x14ac:dyDescent="0.35">
      <c r="B25" s="27" t="s">
        <v>266</v>
      </c>
      <c r="C25" s="31"/>
      <c r="D25" s="31">
        <f>'P&amp;L'!D12-'Cash Flow'!D6</f>
        <v>0</v>
      </c>
      <c r="E25" s="31">
        <f>'P&amp;L'!E12-'Cash Flow'!E6</f>
        <v>0</v>
      </c>
      <c r="F25" s="31">
        <f>'P&amp;L'!F12-'Cash Flow'!F6</f>
        <v>0</v>
      </c>
      <c r="G25" s="31">
        <f>'P&amp;L'!G12-'Cash Flow'!G6</f>
        <v>0</v>
      </c>
      <c r="H25" s="32">
        <f>'P&amp;L'!H12-'Cash Flow'!H6</f>
        <v>62.155699200000072</v>
      </c>
      <c r="I25" s="32">
        <f>'P&amp;L'!I12-'Cash Flow'!I6</f>
        <v>62.155699200000072</v>
      </c>
      <c r="J25" s="32">
        <f>'P&amp;L'!J12-'Cash Flow'!J6</f>
        <v>62.155699200000527</v>
      </c>
      <c r="K25" s="32">
        <f>'P&amp;L'!K12-'Cash Flow'!K6</f>
        <v>62.155699200000527</v>
      </c>
      <c r="L25" s="32">
        <f>'P&amp;L'!L12-'Cash Flow'!L6</f>
        <v>62.155699199999617</v>
      </c>
      <c r="M25" s="32">
        <f>'P&amp;L'!M12-'Cash Flow'!M6</f>
        <v>62.155699200000527</v>
      </c>
      <c r="N25" s="32">
        <f>'P&amp;L'!N12-'Cash Flow'!N6</f>
        <v>62.155699199999617</v>
      </c>
      <c r="O25" s="32">
        <f>'P&amp;L'!O12-'Cash Flow'!O6</f>
        <v>62.155699200000527</v>
      </c>
      <c r="P25" s="32">
        <f>'P&amp;L'!P12-'Cash Flow'!P6</f>
        <v>62.155699199999617</v>
      </c>
      <c r="Q25" s="32">
        <f>'P&amp;L'!Q12-'Cash Flow'!Q6</f>
        <v>62.155699199999617</v>
      </c>
    </row>
    <row r="26" spans="2:18" x14ac:dyDescent="0.35">
      <c r="B26" s="27" t="s">
        <v>246</v>
      </c>
      <c r="C26" s="31"/>
      <c r="D26" s="31">
        <f>'P&amp;L'!D13</f>
        <v>-141</v>
      </c>
      <c r="E26" s="31">
        <f>'P&amp;L'!E13</f>
        <v>-125</v>
      </c>
      <c r="F26" s="31">
        <f>'P&amp;L'!F13</f>
        <v>-31</v>
      </c>
      <c r="G26" s="31">
        <f>'P&amp;L'!G13</f>
        <v>-23</v>
      </c>
      <c r="H26" s="32">
        <f>'P&amp;L'!H13</f>
        <v>0</v>
      </c>
      <c r="I26" s="32">
        <f>'P&amp;L'!I13</f>
        <v>0</v>
      </c>
      <c r="J26" s="32">
        <f>'P&amp;L'!J13</f>
        <v>0</v>
      </c>
      <c r="K26" s="32">
        <f>'P&amp;L'!K13</f>
        <v>0</v>
      </c>
      <c r="L26" s="32">
        <f>'P&amp;L'!L13</f>
        <v>0</v>
      </c>
      <c r="M26" s="32">
        <f>'P&amp;L'!M13</f>
        <v>0</v>
      </c>
      <c r="N26" s="32">
        <f>'P&amp;L'!N13</f>
        <v>0</v>
      </c>
      <c r="O26" s="32">
        <f>'P&amp;L'!O13</f>
        <v>0</v>
      </c>
      <c r="P26" s="32">
        <f>'P&amp;L'!P13</f>
        <v>0</v>
      </c>
      <c r="Q26" s="32">
        <f>'P&amp;L'!Q13</f>
        <v>0</v>
      </c>
    </row>
    <row r="27" spans="2:18" ht="4.5" customHeight="1" x14ac:dyDescent="0.35">
      <c r="B27" s="130"/>
      <c r="C27" s="144"/>
      <c r="D27" s="144"/>
      <c r="E27" s="144"/>
      <c r="F27" s="144"/>
      <c r="G27" s="144"/>
      <c r="H27" s="146"/>
      <c r="I27" s="146"/>
      <c r="J27" s="146"/>
      <c r="K27" s="146"/>
      <c r="L27" s="146"/>
      <c r="M27" s="146"/>
      <c r="N27" s="146"/>
      <c r="O27" s="146"/>
      <c r="P27" s="146"/>
      <c r="Q27" s="146"/>
    </row>
    <row r="28" spans="2:18" ht="15" thickBot="1" x14ac:dyDescent="0.4">
      <c r="B28" s="150" t="s">
        <v>267</v>
      </c>
      <c r="C28" s="151"/>
      <c r="D28" s="151">
        <f>SUM(D20:D26)</f>
        <v>13115.999999999998</v>
      </c>
      <c r="E28" s="151">
        <f t="shared" ref="E28:Q28" si="4">SUM(E20:E26)</f>
        <v>-1677</v>
      </c>
      <c r="F28" s="151">
        <f t="shared" si="4"/>
        <v>4478.0000000000036</v>
      </c>
      <c r="G28" s="151">
        <f t="shared" si="4"/>
        <v>6909</v>
      </c>
      <c r="H28" s="151">
        <f t="shared" si="4"/>
        <v>16950.654104589496</v>
      </c>
      <c r="I28" s="151">
        <f t="shared" si="4"/>
        <v>10984.148112220246</v>
      </c>
      <c r="J28" s="151">
        <f t="shared" si="4"/>
        <v>12716.919473996675</v>
      </c>
      <c r="K28" s="151">
        <f t="shared" si="4"/>
        <v>13826.982805884429</v>
      </c>
      <c r="L28" s="151">
        <f t="shared" si="4"/>
        <v>15549.583682870882</v>
      </c>
      <c r="M28" s="151">
        <f t="shared" si="4"/>
        <v>16484.436719502057</v>
      </c>
      <c r="N28" s="151">
        <f t="shared" si="4"/>
        <v>18041.151041277113</v>
      </c>
      <c r="O28" s="151">
        <f t="shared" si="4"/>
        <v>19629.244735233042</v>
      </c>
      <c r="P28" s="151">
        <f t="shared" si="4"/>
        <v>21307.909257783849</v>
      </c>
      <c r="Q28" s="151">
        <f t="shared" si="4"/>
        <v>23058.602477986784</v>
      </c>
    </row>
    <row r="29" spans="2:18" x14ac:dyDescent="0.35">
      <c r="B29" s="130"/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  <c r="O29" s="126"/>
      <c r="P29" s="126"/>
      <c r="Q29" s="126"/>
    </row>
    <row r="30" spans="2:18" x14ac:dyDescent="0.35">
      <c r="B30" s="194" t="s">
        <v>311</v>
      </c>
      <c r="C30" s="194"/>
      <c r="D30" s="194">
        <f>'Balance Sheet'!C5</f>
        <v>6268</v>
      </c>
      <c r="E30" s="194">
        <f>'Balance Sheet'!D5</f>
        <v>19384</v>
      </c>
      <c r="F30" s="194">
        <f>'Balance Sheet'!E5</f>
        <v>17707</v>
      </c>
      <c r="G30" s="194">
        <f>'Balance Sheet'!F5</f>
        <v>22185</v>
      </c>
      <c r="H30" s="194">
        <f>'Balance Sheet'!G5</f>
        <v>29094</v>
      </c>
      <c r="I30" s="197">
        <f>H32</f>
        <v>46044.654104589499</v>
      </c>
      <c r="J30" s="197">
        <f t="shared" ref="J30:Q30" si="5">I32</f>
        <v>57028.802216809745</v>
      </c>
      <c r="K30" s="197">
        <f t="shared" si="5"/>
        <v>69745.721690806415</v>
      </c>
      <c r="L30" s="197">
        <f t="shared" si="5"/>
        <v>83572.704496690843</v>
      </c>
      <c r="M30" s="197">
        <f t="shared" si="5"/>
        <v>99122.288179561729</v>
      </c>
      <c r="N30" s="197">
        <f t="shared" si="5"/>
        <v>115606.72489906379</v>
      </c>
      <c r="O30" s="197">
        <f t="shared" si="5"/>
        <v>133647.87594034089</v>
      </c>
      <c r="P30" s="197">
        <f t="shared" si="5"/>
        <v>153277.12067557394</v>
      </c>
      <c r="Q30" s="197">
        <f t="shared" si="5"/>
        <v>174585.02993335779</v>
      </c>
    </row>
    <row r="31" spans="2:18" x14ac:dyDescent="0.35">
      <c r="B31" s="194" t="s">
        <v>312</v>
      </c>
      <c r="C31" s="194"/>
      <c r="D31" s="195">
        <f>D28</f>
        <v>13115.999999999998</v>
      </c>
      <c r="E31" s="195">
        <f t="shared" ref="E31:Q31" si="6">E28</f>
        <v>-1677</v>
      </c>
      <c r="F31" s="195">
        <f t="shared" si="6"/>
        <v>4478.0000000000036</v>
      </c>
      <c r="G31" s="195">
        <f t="shared" si="6"/>
        <v>6909</v>
      </c>
      <c r="H31" s="195">
        <f t="shared" si="6"/>
        <v>16950.654104589496</v>
      </c>
      <c r="I31" s="195">
        <f t="shared" si="6"/>
        <v>10984.148112220246</v>
      </c>
      <c r="J31" s="195">
        <f t="shared" si="6"/>
        <v>12716.919473996675</v>
      </c>
      <c r="K31" s="195">
        <f t="shared" si="6"/>
        <v>13826.982805884429</v>
      </c>
      <c r="L31" s="195">
        <f t="shared" si="6"/>
        <v>15549.583682870882</v>
      </c>
      <c r="M31" s="195">
        <f t="shared" si="6"/>
        <v>16484.436719502057</v>
      </c>
      <c r="N31" s="195">
        <f t="shared" si="6"/>
        <v>18041.151041277113</v>
      </c>
      <c r="O31" s="195">
        <f t="shared" si="6"/>
        <v>19629.244735233042</v>
      </c>
      <c r="P31" s="195">
        <f t="shared" si="6"/>
        <v>21307.909257783849</v>
      </c>
      <c r="Q31" s="195">
        <f t="shared" si="6"/>
        <v>23058.602477986784</v>
      </c>
    </row>
    <row r="32" spans="2:18" x14ac:dyDescent="0.35">
      <c r="B32" s="194" t="s">
        <v>267</v>
      </c>
      <c r="C32" s="194"/>
      <c r="D32" s="194">
        <f>SUM(D30:D31)</f>
        <v>19384</v>
      </c>
      <c r="E32" s="194">
        <f t="shared" ref="E32:G32" si="7">SUM(E30:E31)</f>
        <v>17707</v>
      </c>
      <c r="F32" s="194">
        <f t="shared" si="7"/>
        <v>22185.000000000004</v>
      </c>
      <c r="G32" s="194">
        <f t="shared" si="7"/>
        <v>29094</v>
      </c>
      <c r="H32" s="197">
        <f t="shared" ref="H32" si="8">SUM(H30:H31)</f>
        <v>46044.654104589499</v>
      </c>
      <c r="I32" s="197">
        <f t="shared" ref="I32" si="9">SUM(I30:I31)</f>
        <v>57028.802216809745</v>
      </c>
      <c r="J32" s="197">
        <f t="shared" ref="J32" si="10">SUM(J30:J31)</f>
        <v>69745.721690806415</v>
      </c>
      <c r="K32" s="197">
        <f t="shared" ref="K32" si="11">SUM(K30:K31)</f>
        <v>83572.704496690843</v>
      </c>
      <c r="L32" s="197">
        <f t="shared" ref="L32" si="12">SUM(L30:L31)</f>
        <v>99122.288179561729</v>
      </c>
      <c r="M32" s="197">
        <f t="shared" ref="M32" si="13">SUM(M30:M31)</f>
        <v>115606.72489906379</v>
      </c>
      <c r="N32" s="197">
        <f t="shared" ref="N32" si="14">SUM(N30:N31)</f>
        <v>133647.87594034089</v>
      </c>
      <c r="O32" s="197">
        <f t="shared" ref="O32" si="15">SUM(O30:O31)</f>
        <v>153277.12067557394</v>
      </c>
      <c r="P32" s="197">
        <f t="shared" ref="P32" si="16">SUM(P30:P31)</f>
        <v>174585.02993335779</v>
      </c>
      <c r="Q32" s="197">
        <f t="shared" ref="Q32" si="17">SUM(Q30:Q31)</f>
        <v>197643.63241134456</v>
      </c>
    </row>
    <row r="33" spans="2:17" x14ac:dyDescent="0.35"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</row>
    <row r="34" spans="2:17" x14ac:dyDescent="0.35">
      <c r="B34" s="194" t="s">
        <v>289</v>
      </c>
      <c r="C34" s="194"/>
      <c r="D34" s="196">
        <f>D32-'Balance Sheet'!D5</f>
        <v>0</v>
      </c>
      <c r="E34" s="196">
        <f>E32-'Balance Sheet'!E5</f>
        <v>0</v>
      </c>
      <c r="F34" s="196">
        <f>F32-'Balance Sheet'!F5</f>
        <v>0</v>
      </c>
      <c r="G34" s="196">
        <f>G32-'Balance Sheet'!G5</f>
        <v>0</v>
      </c>
      <c r="H34" s="196">
        <f>H32-'Balance Sheet'!H5</f>
        <v>0</v>
      </c>
      <c r="I34" s="196">
        <f>I32-'Balance Sheet'!I5</f>
        <v>0</v>
      </c>
      <c r="J34" s="196">
        <f>J32-'Balance Sheet'!J5</f>
        <v>0</v>
      </c>
      <c r="K34" s="196">
        <f>K32-'Balance Sheet'!K5</f>
        <v>0</v>
      </c>
      <c r="L34" s="196">
        <f>L32-'Balance Sheet'!L5</f>
        <v>0</v>
      </c>
      <c r="M34" s="196">
        <f>M32-'Balance Sheet'!M5</f>
        <v>0</v>
      </c>
      <c r="N34" s="196">
        <f>N32-'Balance Sheet'!N5</f>
        <v>0</v>
      </c>
      <c r="O34" s="196">
        <f>O32-'Balance Sheet'!O5</f>
        <v>0</v>
      </c>
      <c r="P34" s="196">
        <f>P32-'Balance Sheet'!P5</f>
        <v>0</v>
      </c>
      <c r="Q34" s="196">
        <f>Q32-'Balance Sheet'!Q5</f>
        <v>0</v>
      </c>
    </row>
    <row r="36" spans="2:17" x14ac:dyDescent="0.35">
      <c r="B36" s="228" t="s">
        <v>340</v>
      </c>
    </row>
    <row r="37" spans="2:17" x14ac:dyDescent="0.35">
      <c r="B37" s="228" t="s">
        <v>341</v>
      </c>
    </row>
    <row r="38" spans="2:17" x14ac:dyDescent="0.35">
      <c r="B38" s="228" t="s">
        <v>342</v>
      </c>
    </row>
  </sheetData>
  <mergeCells count="1">
    <mergeCell ref="C3:Q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B475-C9D5-4684-8154-07C90447CF7B}">
  <dimension ref="B1:Q25"/>
  <sheetViews>
    <sheetView showGridLines="0" workbookViewId="0">
      <selection activeCell="H17" sqref="H17"/>
    </sheetView>
  </sheetViews>
  <sheetFormatPr defaultRowHeight="14.5" x14ac:dyDescent="0.35"/>
  <cols>
    <col min="1" max="1" width="2.90625" customWidth="1"/>
    <col min="2" max="2" width="35.26953125" customWidth="1"/>
    <col min="3" max="3" width="10.36328125" bestFit="1" customWidth="1"/>
    <col min="4" max="7" width="9.6328125" customWidth="1"/>
    <col min="8" max="17" width="11.08984375" customWidth="1"/>
  </cols>
  <sheetData>
    <row r="1" spans="2:17" ht="18" x14ac:dyDescent="0.4">
      <c r="B1" s="209" t="s">
        <v>322</v>
      </c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</row>
    <row r="2" spans="2:17" ht="15" thickBot="1" x14ac:dyDescent="0.4">
      <c r="B2" s="208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8"/>
      <c r="O2" s="208"/>
      <c r="P2" s="208"/>
      <c r="Q2" s="208"/>
    </row>
    <row r="3" spans="2:17" ht="15.5" thickTop="1" thickBot="1" x14ac:dyDescent="0.4">
      <c r="B3" s="210" t="s">
        <v>323</v>
      </c>
      <c r="C3" s="211">
        <f>Drivers!C13</f>
        <v>3.1E-2</v>
      </c>
      <c r="D3" s="212" t="s">
        <v>160</v>
      </c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</row>
    <row r="4" spans="2:17" ht="15" thickTop="1" x14ac:dyDescent="0.35">
      <c r="B4" s="212"/>
      <c r="C4" s="212"/>
      <c r="D4" s="212"/>
      <c r="E4" s="212"/>
      <c r="F4" s="212"/>
      <c r="G4" s="212"/>
      <c r="H4" s="212">
        <v>1</v>
      </c>
      <c r="I4" s="212">
        <v>2</v>
      </c>
      <c r="J4" s="212">
        <v>3</v>
      </c>
      <c r="K4" s="212">
        <v>4</v>
      </c>
      <c r="L4" s="212">
        <v>5</v>
      </c>
      <c r="M4" s="212">
        <v>6</v>
      </c>
      <c r="N4" s="212">
        <v>7</v>
      </c>
      <c r="O4" s="212">
        <v>8</v>
      </c>
      <c r="P4" s="212">
        <v>9</v>
      </c>
      <c r="Q4" s="212">
        <v>10</v>
      </c>
    </row>
    <row r="5" spans="2:17" ht="28" x14ac:dyDescent="0.35">
      <c r="B5" s="213" t="s">
        <v>201</v>
      </c>
      <c r="C5" s="29" t="s">
        <v>83</v>
      </c>
      <c r="D5" s="29" t="s">
        <v>102</v>
      </c>
      <c r="E5" s="29" t="s">
        <v>103</v>
      </c>
      <c r="F5" s="29" t="s">
        <v>104</v>
      </c>
      <c r="G5" s="29" t="s">
        <v>105</v>
      </c>
      <c r="H5" s="30" t="s">
        <v>84</v>
      </c>
      <c r="I5" s="30" t="s">
        <v>85</v>
      </c>
      <c r="J5" s="30" t="s">
        <v>86</v>
      </c>
      <c r="K5" s="30" t="s">
        <v>87</v>
      </c>
      <c r="L5" s="30" t="s">
        <v>88</v>
      </c>
      <c r="M5" s="30" t="s">
        <v>89</v>
      </c>
      <c r="N5" s="30" t="s">
        <v>106</v>
      </c>
      <c r="O5" s="30" t="s">
        <v>107</v>
      </c>
      <c r="P5" s="30" t="s">
        <v>108</v>
      </c>
      <c r="Q5" s="30" t="s">
        <v>109</v>
      </c>
    </row>
    <row r="6" spans="2:17" x14ac:dyDescent="0.35">
      <c r="B6" s="212" t="s">
        <v>310</v>
      </c>
      <c r="C6" s="214"/>
      <c r="D6" s="214"/>
      <c r="E6" s="214"/>
      <c r="F6" s="214"/>
      <c r="G6" s="214"/>
      <c r="H6" s="215">
        <f>'Cash Flow'!H20</f>
        <v>17184.477925389496</v>
      </c>
      <c r="I6" s="215">
        <f>'Cash Flow'!I20</f>
        <v>11217.971933020246</v>
      </c>
      <c r="J6" s="215">
        <f>'Cash Flow'!J20</f>
        <v>12950.743294796675</v>
      </c>
      <c r="K6" s="215">
        <f>'Cash Flow'!K20</f>
        <v>14060.806626684429</v>
      </c>
      <c r="L6" s="215">
        <f>'Cash Flow'!L20</f>
        <v>15783.407503670884</v>
      </c>
      <c r="M6" s="215">
        <f>'Cash Flow'!M20</f>
        <v>16718.260540302057</v>
      </c>
      <c r="N6" s="215">
        <f>'Cash Flow'!N20</f>
        <v>18274.974862077113</v>
      </c>
      <c r="O6" s="215">
        <f>'Cash Flow'!O20</f>
        <v>19863.068556033042</v>
      </c>
      <c r="P6" s="215">
        <f>'Cash Flow'!P20</f>
        <v>21541.733078583849</v>
      </c>
      <c r="Q6" s="215">
        <f>'Cash Flow'!Q20</f>
        <v>23292.426298786784</v>
      </c>
    </row>
    <row r="7" spans="2:17" x14ac:dyDescent="0.35">
      <c r="B7" s="212" t="s">
        <v>324</v>
      </c>
      <c r="C7" s="214"/>
      <c r="D7" s="214"/>
      <c r="E7" s="214"/>
      <c r="F7" s="214"/>
      <c r="G7" s="214"/>
      <c r="H7" s="215"/>
      <c r="I7" s="215"/>
      <c r="J7" s="215"/>
      <c r="K7" s="215"/>
      <c r="L7" s="215"/>
      <c r="M7" s="215"/>
      <c r="N7" s="215"/>
      <c r="O7" s="215"/>
      <c r="P7" s="215"/>
      <c r="Q7" s="215">
        <f>(Q6*(1+C3))/(Q9-C3)</f>
        <v>165731.12890314628</v>
      </c>
    </row>
    <row r="8" spans="2:17" x14ac:dyDescent="0.35">
      <c r="B8" s="212"/>
      <c r="C8" s="214"/>
      <c r="D8" s="214"/>
      <c r="E8" s="214"/>
      <c r="F8" s="214"/>
      <c r="G8" s="214"/>
      <c r="H8" s="215"/>
      <c r="I8" s="215"/>
      <c r="J8" s="216"/>
      <c r="K8" s="216"/>
      <c r="L8" s="216"/>
      <c r="M8" s="216"/>
      <c r="N8" s="216"/>
      <c r="O8" s="216"/>
      <c r="P8" s="216"/>
      <c r="Q8" s="216"/>
    </row>
    <row r="9" spans="2:17" x14ac:dyDescent="0.35">
      <c r="B9" s="212" t="s">
        <v>325</v>
      </c>
      <c r="C9" s="214"/>
      <c r="D9" s="214"/>
      <c r="E9" s="214"/>
      <c r="F9" s="214"/>
      <c r="G9" s="214"/>
      <c r="H9" s="217">
        <f>WACC!H24</f>
        <v>0.16873039832282566</v>
      </c>
      <c r="I9" s="217">
        <f>WACC!I24</f>
        <v>0.17028878358082955</v>
      </c>
      <c r="J9" s="217">
        <f>WACC!J24</f>
        <v>0.17156098779725018</v>
      </c>
      <c r="K9" s="217">
        <f>WACC!K24</f>
        <v>0.17258990937201907</v>
      </c>
      <c r="L9" s="217">
        <f>WACC!L24</f>
        <v>0.17343605497670223</v>
      </c>
      <c r="M9" s="217">
        <f>WACC!M24</f>
        <v>0.17411997985025846</v>
      </c>
      <c r="N9" s="217">
        <f>WACC!N24</f>
        <v>0.17468376949189798</v>
      </c>
      <c r="O9" s="217">
        <f>WACC!O24</f>
        <v>0.17515579736173292</v>
      </c>
      <c r="P9" s="217">
        <f>WACC!P24</f>
        <v>0.17555636571963895</v>
      </c>
      <c r="Q9" s="217">
        <f>WACC!Q24</f>
        <v>0.17590030734107476</v>
      </c>
    </row>
    <row r="10" spans="2:17" x14ac:dyDescent="0.35">
      <c r="B10" s="218" t="s">
        <v>326</v>
      </c>
      <c r="C10" s="219"/>
      <c r="D10" s="219"/>
      <c r="E10" s="219"/>
      <c r="F10" s="219"/>
      <c r="G10" s="219"/>
      <c r="H10" s="220">
        <f>H6/(1+H9)^H4</f>
        <v>14703.543220960028</v>
      </c>
      <c r="I10" s="220">
        <f t="shared" ref="I10:Q10" si="0">I6/(1+I9)^I4</f>
        <v>8190.836629972041</v>
      </c>
      <c r="J10" s="220">
        <f t="shared" si="0"/>
        <v>8053.7842344630235</v>
      </c>
      <c r="K10" s="220">
        <f t="shared" si="0"/>
        <v>7437.4768212293602</v>
      </c>
      <c r="L10" s="220">
        <f t="shared" si="0"/>
        <v>7094.2032748035044</v>
      </c>
      <c r="M10" s="220">
        <f t="shared" si="0"/>
        <v>6381.4036790282844</v>
      </c>
      <c r="N10" s="220">
        <f t="shared" si="0"/>
        <v>5921.2038242569088</v>
      </c>
      <c r="O10" s="220">
        <f t="shared" si="0"/>
        <v>5461.1331104011979</v>
      </c>
      <c r="P10" s="220">
        <f t="shared" si="0"/>
        <v>5024.4614932728546</v>
      </c>
      <c r="Q10" s="220">
        <f t="shared" si="0"/>
        <v>4607.9705118637003</v>
      </c>
    </row>
    <row r="11" spans="2:17" x14ac:dyDescent="0.35">
      <c r="B11" s="212" t="s">
        <v>327</v>
      </c>
      <c r="C11" s="214"/>
      <c r="D11" s="214"/>
      <c r="E11" s="214"/>
      <c r="F11" s="214"/>
      <c r="G11" s="214"/>
      <c r="H11" s="217"/>
      <c r="I11" s="217"/>
      <c r="J11" s="217"/>
      <c r="K11" s="217"/>
      <c r="L11" s="217"/>
      <c r="M11" s="217"/>
      <c r="N11" s="217"/>
      <c r="O11" s="217"/>
      <c r="P11" s="217"/>
      <c r="Q11" s="215">
        <f>Q7/(1+Q9)^Q4</f>
        <v>32786.80138716838</v>
      </c>
    </row>
    <row r="12" spans="2:17" x14ac:dyDescent="0.35"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</row>
    <row r="13" spans="2:17" x14ac:dyDescent="0.35">
      <c r="B13" s="235" t="s">
        <v>328</v>
      </c>
      <c r="C13" s="235"/>
      <c r="D13" s="235"/>
      <c r="E13" s="235"/>
      <c r="F13" s="235"/>
      <c r="G13" s="235"/>
      <c r="H13" s="235"/>
      <c r="I13" s="235"/>
      <c r="J13" s="235"/>
      <c r="K13" s="235"/>
      <c r="L13" s="212"/>
      <c r="M13" s="212"/>
      <c r="N13" s="212"/>
      <c r="O13" s="212"/>
      <c r="P13" s="212"/>
      <c r="Q13" s="212"/>
    </row>
    <row r="14" spans="2:17" x14ac:dyDescent="0.35">
      <c r="B14" s="212" t="s">
        <v>329</v>
      </c>
      <c r="C14" s="212"/>
      <c r="D14" s="212"/>
      <c r="E14" s="221"/>
      <c r="F14" s="221">
        <f>SUM(H10:Q10)</f>
        <v>72876.016800250916</v>
      </c>
      <c r="G14" s="222"/>
      <c r="H14" s="212"/>
      <c r="I14" s="212"/>
      <c r="J14" s="212"/>
      <c r="K14" s="212"/>
      <c r="L14" s="212"/>
      <c r="M14" s="212"/>
      <c r="N14" s="212"/>
      <c r="O14" s="212"/>
      <c r="P14" s="212"/>
      <c r="Q14" s="212"/>
    </row>
    <row r="15" spans="2:17" x14ac:dyDescent="0.35">
      <c r="B15" s="212" t="s">
        <v>330</v>
      </c>
      <c r="C15" s="212"/>
      <c r="D15" s="212"/>
      <c r="E15" s="221"/>
      <c r="F15" s="221">
        <f>Q7</f>
        <v>165731.12890314628</v>
      </c>
      <c r="G15" s="212"/>
      <c r="H15" s="212"/>
      <c r="I15" s="212"/>
      <c r="J15" s="212"/>
      <c r="K15" s="212"/>
      <c r="L15" s="212"/>
      <c r="M15" s="212"/>
      <c r="N15" s="212"/>
      <c r="O15" s="212"/>
      <c r="P15" s="212"/>
      <c r="Q15" s="212"/>
    </row>
    <row r="16" spans="2:17" x14ac:dyDescent="0.35">
      <c r="B16" s="212" t="s">
        <v>331</v>
      </c>
      <c r="C16" s="212"/>
      <c r="D16" s="212"/>
      <c r="E16" s="221"/>
      <c r="F16" s="221">
        <f>Q11</f>
        <v>32786.80138716838</v>
      </c>
      <c r="G16" s="222"/>
      <c r="H16" s="212"/>
      <c r="I16" s="212"/>
      <c r="J16" s="212"/>
      <c r="K16" s="212"/>
      <c r="L16" s="212"/>
      <c r="M16" s="212"/>
      <c r="N16" s="212"/>
      <c r="O16" s="212"/>
      <c r="P16" s="212"/>
      <c r="Q16" s="212"/>
    </row>
    <row r="17" spans="2:17" x14ac:dyDescent="0.35">
      <c r="B17" s="223" t="s">
        <v>332</v>
      </c>
      <c r="C17" s="223"/>
      <c r="D17" s="223"/>
      <c r="E17" s="224"/>
      <c r="F17" s="224">
        <f>F14+F16</f>
        <v>105662.8181874193</v>
      </c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</row>
    <row r="18" spans="2:17" x14ac:dyDescent="0.35">
      <c r="B18" s="225" t="s">
        <v>333</v>
      </c>
      <c r="C18" s="212"/>
      <c r="D18" s="212"/>
      <c r="E18" s="221"/>
      <c r="F18" s="221">
        <f>'Balance Sheet'!G5</f>
        <v>29094</v>
      </c>
      <c r="G18" s="221"/>
      <c r="H18" s="212"/>
      <c r="I18" s="212"/>
      <c r="J18" s="212"/>
      <c r="K18" s="212"/>
      <c r="L18" s="212"/>
      <c r="M18" s="212"/>
      <c r="N18" s="212"/>
      <c r="O18" s="212"/>
      <c r="P18" s="212"/>
      <c r="Q18" s="212"/>
    </row>
    <row r="19" spans="2:17" x14ac:dyDescent="0.35">
      <c r="B19" s="225" t="s">
        <v>334</v>
      </c>
      <c r="C19" s="212"/>
      <c r="D19" s="212"/>
      <c r="E19" s="221"/>
      <c r="F19" s="221">
        <f>'Balance Sheet'!G28</f>
        <v>6528</v>
      </c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</row>
    <row r="20" spans="2:17" x14ac:dyDescent="0.35">
      <c r="B20" s="223" t="s">
        <v>335</v>
      </c>
      <c r="C20" s="223"/>
      <c r="D20" s="223"/>
      <c r="E20" s="224"/>
      <c r="F20" s="224">
        <f>F17+F18-F19</f>
        <v>128228.8181874193</v>
      </c>
      <c r="G20" s="212"/>
      <c r="H20" s="212"/>
      <c r="I20" s="212"/>
      <c r="J20" s="212"/>
      <c r="K20" s="212"/>
      <c r="L20" s="212"/>
      <c r="M20" s="212"/>
      <c r="N20" s="212"/>
      <c r="O20" s="212"/>
      <c r="P20" s="212"/>
      <c r="Q20" s="212"/>
    </row>
    <row r="21" spans="2:17" x14ac:dyDescent="0.35">
      <c r="B21" s="212" t="s">
        <v>337</v>
      </c>
      <c r="C21" s="212"/>
      <c r="D21" s="212"/>
      <c r="E21" s="212"/>
      <c r="F21" s="221">
        <v>3176</v>
      </c>
      <c r="G21" s="212"/>
      <c r="H21" s="212"/>
      <c r="I21" s="212"/>
      <c r="J21" s="212"/>
      <c r="K21" s="212"/>
      <c r="L21" s="212"/>
      <c r="M21" s="212"/>
      <c r="N21" s="212"/>
      <c r="O21" s="212"/>
      <c r="P21" s="212"/>
      <c r="Q21" s="212"/>
    </row>
    <row r="22" spans="2:17" x14ac:dyDescent="0.35">
      <c r="B22" s="226" t="s">
        <v>336</v>
      </c>
      <c r="C22" s="226"/>
      <c r="D22" s="226"/>
      <c r="E22" s="226"/>
      <c r="F22" s="227">
        <f>F20/F21</f>
        <v>40.374313031303302</v>
      </c>
      <c r="G22" s="212"/>
      <c r="H22" s="236" t="s">
        <v>339</v>
      </c>
      <c r="I22" s="237"/>
      <c r="J22" s="237"/>
      <c r="K22" s="237"/>
      <c r="L22" s="237"/>
      <c r="M22" s="237"/>
      <c r="N22" s="237"/>
      <c r="O22" s="212"/>
      <c r="P22" s="212"/>
      <c r="Q22" s="212"/>
    </row>
    <row r="23" spans="2:17" x14ac:dyDescent="0.35">
      <c r="H23" s="237"/>
      <c r="I23" s="237"/>
      <c r="J23" s="237"/>
      <c r="K23" s="237"/>
      <c r="L23" s="237"/>
      <c r="M23" s="237"/>
      <c r="N23" s="237"/>
    </row>
    <row r="24" spans="2:17" x14ac:dyDescent="0.35">
      <c r="H24" s="238" t="s">
        <v>338</v>
      </c>
      <c r="I24" s="239"/>
      <c r="J24" s="239"/>
      <c r="K24" s="239"/>
      <c r="L24" s="239"/>
      <c r="M24" s="239"/>
      <c r="N24" s="239"/>
    </row>
    <row r="25" spans="2:17" x14ac:dyDescent="0.35">
      <c r="H25" s="239"/>
      <c r="I25" s="239"/>
      <c r="J25" s="239"/>
      <c r="K25" s="239"/>
      <c r="L25" s="239"/>
      <c r="M25" s="239"/>
      <c r="N25" s="239"/>
    </row>
  </sheetData>
  <mergeCells count="3">
    <mergeCell ref="B13:K13"/>
    <mergeCell ref="H22:N23"/>
    <mergeCell ref="H24:N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5817-21C4-43F4-A576-5EBB67DD2D64}">
  <dimension ref="B1:G48"/>
  <sheetViews>
    <sheetView showGridLines="0" topLeftCell="A10" workbookViewId="0">
      <selection activeCell="C29" sqref="C29"/>
    </sheetView>
  </sheetViews>
  <sheetFormatPr defaultRowHeight="14.5" x14ac:dyDescent="0.35"/>
  <cols>
    <col min="1" max="1" width="2.90625" customWidth="1"/>
    <col min="2" max="2" width="50.08984375" customWidth="1"/>
  </cols>
  <sheetData>
    <row r="1" spans="2:7" ht="21" x14ac:dyDescent="0.5">
      <c r="B1" s="4" t="s">
        <v>63</v>
      </c>
    </row>
    <row r="4" spans="2:7" ht="15.5" x14ac:dyDescent="0.35">
      <c r="B4" s="12" t="s">
        <v>26</v>
      </c>
      <c r="C4" s="10"/>
      <c r="D4" s="10"/>
      <c r="E4" s="10"/>
      <c r="F4" s="10"/>
      <c r="G4" s="10"/>
    </row>
    <row r="5" spans="2:7" x14ac:dyDescent="0.35">
      <c r="B5" s="11" t="s">
        <v>0</v>
      </c>
      <c r="C5" s="11">
        <v>2019</v>
      </c>
      <c r="D5" s="11">
        <v>2020</v>
      </c>
      <c r="E5" s="11">
        <v>2021</v>
      </c>
      <c r="F5" s="11">
        <v>2022</v>
      </c>
      <c r="G5" s="11">
        <v>2023</v>
      </c>
    </row>
    <row r="6" spans="2:7" x14ac:dyDescent="0.35">
      <c r="B6" t="s">
        <v>291</v>
      </c>
      <c r="C6">
        <v>6268</v>
      </c>
      <c r="D6">
        <v>19384</v>
      </c>
      <c r="E6">
        <v>17707</v>
      </c>
      <c r="F6">
        <v>22185</v>
      </c>
      <c r="G6">
        <v>29094</v>
      </c>
    </row>
    <row r="7" spans="2:7" x14ac:dyDescent="0.35">
      <c r="B7" t="s">
        <v>290</v>
      </c>
      <c r="C7">
        <v>246</v>
      </c>
      <c r="D7">
        <v>238</v>
      </c>
      <c r="E7">
        <v>345</v>
      </c>
      <c r="F7">
        <v>294</v>
      </c>
      <c r="G7">
        <v>543</v>
      </c>
    </row>
    <row r="8" spans="2:7" x14ac:dyDescent="0.35">
      <c r="B8" t="s">
        <v>27</v>
      </c>
      <c r="C8">
        <v>1324</v>
      </c>
      <c r="D8">
        <v>1886</v>
      </c>
      <c r="E8">
        <v>1913</v>
      </c>
      <c r="F8">
        <v>2952</v>
      </c>
      <c r="G8">
        <v>3508</v>
      </c>
    </row>
    <row r="9" spans="2:7" x14ac:dyDescent="0.35">
      <c r="B9" t="s">
        <v>48</v>
      </c>
      <c r="C9">
        <v>3552</v>
      </c>
      <c r="D9">
        <v>4101</v>
      </c>
      <c r="E9">
        <v>5757</v>
      </c>
      <c r="F9">
        <v>12839</v>
      </c>
      <c r="G9">
        <v>13626</v>
      </c>
    </row>
    <row r="10" spans="2:7" x14ac:dyDescent="0.35">
      <c r="B10" t="s">
        <v>49</v>
      </c>
      <c r="C10">
        <v>713</v>
      </c>
      <c r="D10">
        <v>1108</v>
      </c>
      <c r="E10">
        <v>1378</v>
      </c>
      <c r="F10">
        <v>2647</v>
      </c>
      <c r="G10">
        <v>2845</v>
      </c>
    </row>
    <row r="11" spans="2:7" x14ac:dyDescent="0.35">
      <c r="B11" s="13" t="s">
        <v>28</v>
      </c>
      <c r="C11" s="13">
        <f t="shared" ref="C11" si="0">SUM(C6:C10)</f>
        <v>12103</v>
      </c>
      <c r="D11" s="13">
        <f t="shared" ref="D11" si="1">SUM(D6:D10)</f>
        <v>26717</v>
      </c>
      <c r="E11" s="13">
        <f t="shared" ref="E11" si="2">SUM(E6:E10)</f>
        <v>27100</v>
      </c>
      <c r="F11" s="13">
        <f t="shared" ref="F11" si="3">SUM(F6:F10)</f>
        <v>40917</v>
      </c>
      <c r="G11" s="13">
        <f>SUM(G6:G10)</f>
        <v>49616</v>
      </c>
    </row>
    <row r="12" spans="2:7" x14ac:dyDescent="0.35">
      <c r="B12" s="9" t="s">
        <v>293</v>
      </c>
      <c r="C12" s="9">
        <v>10396</v>
      </c>
      <c r="D12" s="9">
        <v>12747</v>
      </c>
      <c r="E12" s="9">
        <v>18884</v>
      </c>
      <c r="F12" s="9">
        <v>23548</v>
      </c>
      <c r="G12" s="9">
        <v>29725</v>
      </c>
    </row>
    <row r="13" spans="2:7" ht="43.5" x14ac:dyDescent="0.35">
      <c r="B13" s="9" t="s">
        <v>292</v>
      </c>
      <c r="C13">
        <v>9803</v>
      </c>
      <c r="D13">
        <v>10628</v>
      </c>
      <c r="E13">
        <v>12292</v>
      </c>
      <c r="F13">
        <v>13087</v>
      </c>
      <c r="G13">
        <v>15398</v>
      </c>
    </row>
    <row r="14" spans="2:7" x14ac:dyDescent="0.35">
      <c r="B14" t="s">
        <v>29</v>
      </c>
      <c r="C14">
        <v>270</v>
      </c>
      <c r="D14">
        <v>279</v>
      </c>
      <c r="E14">
        <v>223</v>
      </c>
      <c r="F14">
        <v>377</v>
      </c>
      <c r="G14">
        <v>248</v>
      </c>
    </row>
    <row r="15" spans="2:7" x14ac:dyDescent="0.35">
      <c r="B15" t="s">
        <v>30</v>
      </c>
      <c r="C15">
        <v>402</v>
      </c>
      <c r="D15">
        <v>334</v>
      </c>
      <c r="E15">
        <v>299</v>
      </c>
      <c r="F15">
        <v>280</v>
      </c>
      <c r="G15">
        <v>266</v>
      </c>
    </row>
    <row r="16" spans="2:7" x14ac:dyDescent="0.35">
      <c r="B16" t="s">
        <v>31</v>
      </c>
      <c r="C16">
        <v>537</v>
      </c>
      <c r="D16">
        <v>520</v>
      </c>
      <c r="E16">
        <v>1717</v>
      </c>
      <c r="F16">
        <v>593</v>
      </c>
      <c r="G16">
        <v>615</v>
      </c>
    </row>
    <row r="17" spans="2:7" x14ac:dyDescent="0.35">
      <c r="B17" t="s">
        <v>61</v>
      </c>
      <c r="C17" s="169">
        <v>0</v>
      </c>
      <c r="D17" s="169">
        <v>0</v>
      </c>
      <c r="E17" s="169">
        <v>0</v>
      </c>
      <c r="F17" s="168">
        <v>328</v>
      </c>
      <c r="G17" s="168">
        <v>6733</v>
      </c>
    </row>
    <row r="18" spans="2:7" x14ac:dyDescent="0.35">
      <c r="B18" t="s">
        <v>32</v>
      </c>
      <c r="C18" s="168">
        <v>798</v>
      </c>
      <c r="D18" s="168">
        <v>923</v>
      </c>
      <c r="E18" s="168">
        <v>1616</v>
      </c>
      <c r="F18" s="168">
        <v>3208</v>
      </c>
      <c r="G18" s="168">
        <v>4017</v>
      </c>
    </row>
    <row r="19" spans="2:7" x14ac:dyDescent="0.35">
      <c r="B19" s="11" t="s">
        <v>33</v>
      </c>
      <c r="C19" s="11">
        <f>SUM(C11:C18)</f>
        <v>34309</v>
      </c>
      <c r="D19" s="11">
        <f t="shared" ref="D19:G19" si="4">SUM(D11:D18)</f>
        <v>52148</v>
      </c>
      <c r="E19" s="11">
        <f t="shared" si="4"/>
        <v>62131</v>
      </c>
      <c r="F19" s="11">
        <f t="shared" si="4"/>
        <v>82338</v>
      </c>
      <c r="G19" s="11">
        <f t="shared" si="4"/>
        <v>106618</v>
      </c>
    </row>
    <row r="21" spans="2:7" ht="15.5" x14ac:dyDescent="0.35">
      <c r="B21" s="12" t="s">
        <v>34</v>
      </c>
      <c r="C21" s="10"/>
      <c r="D21" s="10"/>
      <c r="E21" s="10"/>
      <c r="F21" s="10"/>
      <c r="G21" s="10"/>
    </row>
    <row r="22" spans="2:7" x14ac:dyDescent="0.35">
      <c r="B22" s="11" t="s">
        <v>35</v>
      </c>
      <c r="C22" s="11">
        <v>2019</v>
      </c>
      <c r="D22" s="11">
        <v>2020</v>
      </c>
      <c r="E22" s="11">
        <v>2021</v>
      </c>
      <c r="F22" s="11">
        <v>2022</v>
      </c>
      <c r="G22" s="11">
        <v>2023</v>
      </c>
    </row>
    <row r="23" spans="2:7" x14ac:dyDescent="0.35">
      <c r="B23" t="s">
        <v>36</v>
      </c>
      <c r="C23">
        <v>228</v>
      </c>
      <c r="D23">
        <v>286</v>
      </c>
      <c r="E23">
        <v>368</v>
      </c>
      <c r="F23">
        <v>485</v>
      </c>
      <c r="G23">
        <v>672</v>
      </c>
    </row>
    <row r="24" spans="2:7" x14ac:dyDescent="0.35">
      <c r="B24" t="s">
        <v>37</v>
      </c>
      <c r="C24">
        <v>1842</v>
      </c>
      <c r="D24">
        <v>2173</v>
      </c>
      <c r="E24">
        <v>1589</v>
      </c>
      <c r="F24">
        <v>1502</v>
      </c>
      <c r="G24">
        <v>2373</v>
      </c>
    </row>
    <row r="25" spans="2:7" x14ac:dyDescent="0.35">
      <c r="B25" t="s">
        <v>38</v>
      </c>
      <c r="C25">
        <v>3771</v>
      </c>
      <c r="D25">
        <v>6051</v>
      </c>
      <c r="E25">
        <v>10025</v>
      </c>
      <c r="F25">
        <v>15255</v>
      </c>
      <c r="G25">
        <v>14431</v>
      </c>
    </row>
    <row r="26" spans="2:7" x14ac:dyDescent="0.35">
      <c r="B26" t="s">
        <v>39</v>
      </c>
      <c r="C26">
        <v>611</v>
      </c>
      <c r="D26">
        <v>777</v>
      </c>
      <c r="E26">
        <v>1122</v>
      </c>
      <c r="F26">
        <v>1235</v>
      </c>
      <c r="G26">
        <v>1204</v>
      </c>
    </row>
    <row r="27" spans="2:7" x14ac:dyDescent="0.35">
      <c r="B27" t="s">
        <v>40</v>
      </c>
      <c r="C27">
        <v>4215</v>
      </c>
      <c r="D27">
        <v>4961</v>
      </c>
      <c r="E27">
        <v>6601</v>
      </c>
      <c r="F27">
        <v>8232</v>
      </c>
      <c r="G27">
        <v>10068</v>
      </c>
    </row>
    <row r="28" spans="2:7" x14ac:dyDescent="0.35">
      <c r="B28" s="13" t="s">
        <v>41</v>
      </c>
      <c r="C28" s="13">
        <f t="shared" ref="C28" si="5">SUM(C23:C27)</f>
        <v>10667</v>
      </c>
      <c r="D28" s="13">
        <f t="shared" ref="D28" si="6">SUM(D23:D27)</f>
        <v>14248</v>
      </c>
      <c r="E28" s="13">
        <f t="shared" ref="E28" si="7">SUM(E23:E27)</f>
        <v>19705</v>
      </c>
      <c r="F28" s="13">
        <f t="shared" ref="F28" si="8">SUM(F23:F27)</f>
        <v>26709</v>
      </c>
      <c r="G28" s="13">
        <f>SUM(G23:G27)</f>
        <v>28748</v>
      </c>
    </row>
    <row r="29" spans="2:7" x14ac:dyDescent="0.35">
      <c r="B29" t="s">
        <v>42</v>
      </c>
      <c r="C29">
        <v>12627</v>
      </c>
      <c r="D29">
        <v>10888</v>
      </c>
      <c r="E29">
        <v>6916</v>
      </c>
      <c r="F29">
        <v>3761</v>
      </c>
      <c r="G29">
        <v>6528</v>
      </c>
    </row>
    <row r="30" spans="2:7" x14ac:dyDescent="0.35">
      <c r="B30" t="s">
        <v>43</v>
      </c>
      <c r="C30">
        <v>581</v>
      </c>
      <c r="D30">
        <v>519</v>
      </c>
      <c r="E30">
        <v>133</v>
      </c>
      <c r="F30">
        <v>51</v>
      </c>
      <c r="G30">
        <v>3606</v>
      </c>
    </row>
    <row r="31" spans="2:7" x14ac:dyDescent="0.35">
      <c r="B31" t="s">
        <v>44</v>
      </c>
      <c r="C31">
        <v>66</v>
      </c>
      <c r="D31">
        <v>151</v>
      </c>
      <c r="E31">
        <v>24</v>
      </c>
      <c r="F31">
        <v>82</v>
      </c>
      <c r="G31" s="169">
        <v>0</v>
      </c>
    </row>
    <row r="32" spans="2:7" x14ac:dyDescent="0.35">
      <c r="B32" t="s">
        <v>45</v>
      </c>
      <c r="C32">
        <v>2258</v>
      </c>
      <c r="D32">
        <v>2663</v>
      </c>
      <c r="E32">
        <v>3770</v>
      </c>
      <c r="F32">
        <v>5837</v>
      </c>
      <c r="G32">
        <v>4127</v>
      </c>
    </row>
    <row r="33" spans="2:7" x14ac:dyDescent="0.35">
      <c r="B33" s="13" t="s">
        <v>46</v>
      </c>
      <c r="C33" s="13">
        <f t="shared" ref="C33" si="9">SUM(C28:C32)</f>
        <v>26199</v>
      </c>
      <c r="D33" s="13">
        <f t="shared" ref="D33" si="10">SUM(D28:D32)</f>
        <v>28469</v>
      </c>
      <c r="E33" s="13">
        <f t="shared" ref="E33" si="11">SUM(E28:E32)</f>
        <v>30548</v>
      </c>
      <c r="F33" s="13">
        <f t="shared" ref="F33" si="12">SUM(F28:F32)</f>
        <v>36440</v>
      </c>
      <c r="G33" s="13">
        <f>SUM(G28:G32)</f>
        <v>43009</v>
      </c>
    </row>
    <row r="34" spans="2:7" x14ac:dyDescent="0.35">
      <c r="B34" s="10" t="s">
        <v>47</v>
      </c>
      <c r="C34" s="10">
        <v>6618</v>
      </c>
      <c r="D34" s="10">
        <v>22225</v>
      </c>
      <c r="E34" s="10">
        <v>30189</v>
      </c>
      <c r="F34" s="10">
        <v>44704</v>
      </c>
      <c r="G34" s="10">
        <v>62634</v>
      </c>
    </row>
    <row r="35" spans="2:7" x14ac:dyDescent="0.35">
      <c r="B35" t="s">
        <v>50</v>
      </c>
      <c r="C35">
        <v>1492</v>
      </c>
      <c r="D35">
        <v>1454</v>
      </c>
      <c r="E35">
        <v>1394</v>
      </c>
      <c r="F35">
        <v>1194</v>
      </c>
      <c r="G35">
        <v>975</v>
      </c>
    </row>
    <row r="36" spans="2:7" x14ac:dyDescent="0.35">
      <c r="B36" s="11" t="s">
        <v>34</v>
      </c>
      <c r="C36" s="11">
        <f t="shared" ref="C36" si="13">SUM(C33:C35)</f>
        <v>34309</v>
      </c>
      <c r="D36" s="11">
        <f t="shared" ref="D36" si="14">SUM(D33:D35)</f>
        <v>52148</v>
      </c>
      <c r="E36" s="11">
        <f t="shared" ref="E36" si="15">SUM(E33:E35)</f>
        <v>62131</v>
      </c>
      <c r="F36" s="11">
        <f t="shared" ref="F36" si="16">SUM(F33:F35)</f>
        <v>82338</v>
      </c>
      <c r="G36" s="11">
        <f>SUM(G33:G35)</f>
        <v>106618</v>
      </c>
    </row>
    <row r="38" spans="2:7" x14ac:dyDescent="0.35">
      <c r="B38" s="5" t="s">
        <v>16</v>
      </c>
      <c r="C38" s="6"/>
      <c r="D38" s="6"/>
      <c r="E38" s="6"/>
      <c r="F38" s="6"/>
      <c r="G38" s="6"/>
    </row>
    <row r="39" spans="2:7" x14ac:dyDescent="0.35">
      <c r="B39" s="5" t="s">
        <v>51</v>
      </c>
      <c r="C39" s="6"/>
      <c r="D39" s="6"/>
      <c r="E39" s="6"/>
      <c r="F39" s="6"/>
      <c r="G39" s="6"/>
    </row>
    <row r="40" spans="2:7" x14ac:dyDescent="0.35">
      <c r="B40" s="7" t="s">
        <v>52</v>
      </c>
      <c r="C40" s="6">
        <f>C6/C28</f>
        <v>0.58760663729258455</v>
      </c>
      <c r="D40" s="6">
        <f>D6/D28</f>
        <v>1.360471645143178</v>
      </c>
      <c r="E40" s="6">
        <f>E6/E28</f>
        <v>0.89860441512306521</v>
      </c>
      <c r="F40" s="6">
        <f>F6/F28</f>
        <v>0.83061889250814336</v>
      </c>
      <c r="G40" s="6">
        <f>G6/G28</f>
        <v>1.0120356198692082</v>
      </c>
    </row>
    <row r="41" spans="2:7" x14ac:dyDescent="0.35">
      <c r="B41" s="7" t="s">
        <v>53</v>
      </c>
      <c r="C41" s="6">
        <f>C11/C28</f>
        <v>1.1346207931002157</v>
      </c>
      <c r="D41" s="6">
        <f>D11/D28</f>
        <v>1.8751403705783267</v>
      </c>
      <c r="E41" s="6">
        <f>E11/E28</f>
        <v>1.3752854605430094</v>
      </c>
      <c r="F41" s="6">
        <f>F11/F28</f>
        <v>1.53195552061103</v>
      </c>
      <c r="G41" s="6">
        <f>G11/G28</f>
        <v>1.7258939752330598</v>
      </c>
    </row>
    <row r="42" spans="2:7" x14ac:dyDescent="0.35">
      <c r="B42" s="7" t="s">
        <v>54</v>
      </c>
      <c r="C42" s="6">
        <f>C8/'P&amp;L Input'!C8*360</f>
        <v>19.392953047440802</v>
      </c>
      <c r="D42" s="6">
        <f>D8/'P&amp;L Input'!D8*360</f>
        <v>21.529680365296802</v>
      </c>
      <c r="E42" s="6">
        <f>E8/'P&amp;L Input'!E8*360</f>
        <v>12.795273396131766</v>
      </c>
      <c r="F42" s="6">
        <f>F8/'P&amp;L Input'!F8*360</f>
        <v>13.045591809678132</v>
      </c>
      <c r="G42" s="6">
        <f>G8/'P&amp;L Input'!G8*360</f>
        <v>13.049920949025038</v>
      </c>
    </row>
    <row r="43" spans="2:7" x14ac:dyDescent="0.35">
      <c r="B43" s="7" t="s">
        <v>55</v>
      </c>
      <c r="C43" s="6">
        <f>-C9/'P&amp;L Input'!C12*360</f>
        <v>62.34921254083573</v>
      </c>
      <c r="D43" s="6">
        <f>-D9/'P&amp;L Input'!D12*360</f>
        <v>59.277282582510239</v>
      </c>
      <c r="E43" s="6">
        <f>-E9/'P&amp;L Input'!E12*360</f>
        <v>51.533431136086726</v>
      </c>
      <c r="F43" s="6">
        <f>-F9/'P&amp;L Input'!F12*360</f>
        <v>76.259961391872494</v>
      </c>
      <c r="G43" s="6">
        <f>-G9/'P&amp;L Input'!G12*360</f>
        <v>62.004474612263479</v>
      </c>
    </row>
    <row r="44" spans="2:7" x14ac:dyDescent="0.35">
      <c r="B44" s="7" t="s">
        <v>56</v>
      </c>
      <c r="C44" s="6">
        <f>-C25/'P&amp;L Input'!C12*360</f>
        <v>66.193378516748751</v>
      </c>
      <c r="D44" s="6">
        <f>-D25/'P&amp;L Input'!D12*360</f>
        <v>87.463261864610942</v>
      </c>
      <c r="E44" s="6">
        <f>-E25/'P&amp;L Input'!E12*360</f>
        <v>89.738170425441979</v>
      </c>
      <c r="F44" s="6">
        <f>-F25/'P&amp;L Input'!F12*360</f>
        <v>90.610305400188096</v>
      </c>
      <c r="G44" s="6">
        <f>-G25/'P&amp;L Input'!G12*360</f>
        <v>65.667589397444161</v>
      </c>
    </row>
    <row r="45" spans="2:7" x14ac:dyDescent="0.35">
      <c r="B45" s="7" t="s">
        <v>57</v>
      </c>
      <c r="C45" s="6">
        <f>C42+C43-C44</f>
        <v>15.548787071527784</v>
      </c>
      <c r="D45" s="6">
        <f>D42+D43-D44</f>
        <v>-6.6562989168039053</v>
      </c>
      <c r="E45" s="6">
        <f>E42+E43-E44</f>
        <v>-25.409465893223484</v>
      </c>
      <c r="F45" s="6">
        <f t="shared" ref="F45" si="17">F42+F43-F44</f>
        <v>-1.3047521986374733</v>
      </c>
      <c r="G45" s="6">
        <f>G42+G43-G44</f>
        <v>9.386806163844355</v>
      </c>
    </row>
    <row r="46" spans="2:7" x14ac:dyDescent="0.35">
      <c r="B46" s="5" t="s">
        <v>58</v>
      </c>
      <c r="C46" s="6"/>
      <c r="D46" s="6"/>
      <c r="E46" s="6"/>
      <c r="F46" s="6"/>
      <c r="G46" s="6"/>
    </row>
    <row r="47" spans="2:7" x14ac:dyDescent="0.35">
      <c r="B47" s="7" t="s">
        <v>59</v>
      </c>
      <c r="C47" s="6">
        <f>C33/C19</f>
        <v>0.76361887551371366</v>
      </c>
      <c r="D47" s="6">
        <f>D33/D19</f>
        <v>0.54592697706527571</v>
      </c>
      <c r="E47" s="6">
        <f>E33/E19</f>
        <v>0.49167082454813216</v>
      </c>
      <c r="F47" s="6">
        <f t="shared" ref="F47" si="18">F33/F19</f>
        <v>0.44256600840438193</v>
      </c>
      <c r="G47" s="6">
        <f>G33/G19</f>
        <v>0.40339342324935751</v>
      </c>
    </row>
    <row r="48" spans="2:7" x14ac:dyDescent="0.35">
      <c r="B48" s="7" t="s">
        <v>60</v>
      </c>
      <c r="C48" s="8" t="s">
        <v>175</v>
      </c>
      <c r="D48" s="8" t="s">
        <v>175</v>
      </c>
      <c r="E48" s="8" t="s">
        <v>175</v>
      </c>
      <c r="F48" s="8" t="s">
        <v>175</v>
      </c>
      <c r="G48" s="8" t="s">
        <v>175</v>
      </c>
    </row>
  </sheetData>
  <phoneticPr fontId="3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9F86B-1FCF-476B-B3EB-3546169BD808}">
  <sheetPr>
    <tabColor theme="5" tint="-0.499984740745262"/>
  </sheetPr>
  <dimension ref="C11:K22"/>
  <sheetViews>
    <sheetView showGridLines="0" workbookViewId="0">
      <selection activeCell="G30" sqref="G30"/>
    </sheetView>
  </sheetViews>
  <sheetFormatPr defaultRowHeight="14.5" x14ac:dyDescent="0.35"/>
  <sheetData>
    <row r="11" spans="3:11" x14ac:dyDescent="0.35">
      <c r="C11" s="229" t="s">
        <v>79</v>
      </c>
      <c r="D11" s="229"/>
      <c r="E11" s="229"/>
      <c r="F11" s="229"/>
      <c r="G11" s="229"/>
      <c r="H11" s="229"/>
      <c r="I11" s="229"/>
      <c r="J11" s="229"/>
      <c r="K11" s="229"/>
    </row>
    <row r="12" spans="3:11" x14ac:dyDescent="0.35">
      <c r="C12" s="229"/>
      <c r="D12" s="229"/>
      <c r="E12" s="229"/>
      <c r="F12" s="229"/>
      <c r="G12" s="229"/>
      <c r="H12" s="229"/>
      <c r="I12" s="229"/>
      <c r="J12" s="229"/>
      <c r="K12" s="229"/>
    </row>
    <row r="13" spans="3:11" x14ac:dyDescent="0.35">
      <c r="C13" s="229"/>
      <c r="D13" s="229"/>
      <c r="E13" s="229"/>
      <c r="F13" s="229"/>
      <c r="G13" s="229"/>
      <c r="H13" s="229"/>
      <c r="I13" s="229"/>
      <c r="J13" s="229"/>
      <c r="K13" s="229"/>
    </row>
    <row r="14" spans="3:11" x14ac:dyDescent="0.35">
      <c r="C14" s="229"/>
      <c r="D14" s="229"/>
      <c r="E14" s="229"/>
      <c r="F14" s="229"/>
      <c r="G14" s="229"/>
      <c r="H14" s="229"/>
      <c r="I14" s="229"/>
      <c r="J14" s="229"/>
      <c r="K14" s="229"/>
    </row>
    <row r="15" spans="3:11" x14ac:dyDescent="0.35">
      <c r="C15" s="229"/>
      <c r="D15" s="229"/>
      <c r="E15" s="229"/>
      <c r="F15" s="229"/>
      <c r="G15" s="229"/>
      <c r="H15" s="229"/>
      <c r="I15" s="229"/>
      <c r="J15" s="229"/>
      <c r="K15" s="229"/>
    </row>
    <row r="16" spans="3:11" x14ac:dyDescent="0.35">
      <c r="C16" s="229"/>
      <c r="D16" s="229"/>
      <c r="E16" s="229"/>
      <c r="F16" s="229"/>
      <c r="G16" s="229"/>
      <c r="H16" s="229"/>
      <c r="I16" s="229"/>
      <c r="J16" s="229"/>
      <c r="K16" s="229"/>
    </row>
    <row r="17" spans="3:11" x14ac:dyDescent="0.35">
      <c r="C17" s="229"/>
      <c r="D17" s="229"/>
      <c r="E17" s="229"/>
      <c r="F17" s="229"/>
      <c r="G17" s="229"/>
      <c r="H17" s="229"/>
      <c r="I17" s="229"/>
      <c r="J17" s="229"/>
      <c r="K17" s="229"/>
    </row>
    <row r="18" spans="3:11" x14ac:dyDescent="0.35">
      <c r="C18" s="229"/>
      <c r="D18" s="229"/>
      <c r="E18" s="229"/>
      <c r="F18" s="229"/>
      <c r="G18" s="229"/>
      <c r="H18" s="229"/>
      <c r="I18" s="229"/>
      <c r="J18" s="229"/>
      <c r="K18" s="229"/>
    </row>
    <row r="19" spans="3:11" x14ac:dyDescent="0.35">
      <c r="C19" s="229"/>
      <c r="D19" s="229"/>
      <c r="E19" s="229"/>
      <c r="F19" s="229"/>
      <c r="G19" s="229"/>
      <c r="H19" s="229"/>
      <c r="I19" s="229"/>
      <c r="J19" s="229"/>
      <c r="K19" s="229"/>
    </row>
    <row r="20" spans="3:11" x14ac:dyDescent="0.35">
      <c r="C20" s="229"/>
      <c r="D20" s="229"/>
      <c r="E20" s="229"/>
      <c r="F20" s="229"/>
      <c r="G20" s="229"/>
      <c r="H20" s="229"/>
      <c r="I20" s="229"/>
      <c r="J20" s="229"/>
      <c r="K20" s="229"/>
    </row>
    <row r="21" spans="3:11" x14ac:dyDescent="0.35">
      <c r="C21" s="229"/>
      <c r="D21" s="229"/>
      <c r="E21" s="229"/>
      <c r="F21" s="229"/>
      <c r="G21" s="229"/>
      <c r="H21" s="229"/>
      <c r="I21" s="229"/>
      <c r="J21" s="229"/>
      <c r="K21" s="229"/>
    </row>
    <row r="22" spans="3:11" x14ac:dyDescent="0.35">
      <c r="C22" s="229"/>
      <c r="D22" s="229"/>
      <c r="E22" s="229"/>
      <c r="F22" s="229"/>
      <c r="G22" s="229"/>
      <c r="H22" s="229"/>
      <c r="I22" s="229"/>
      <c r="J22" s="229"/>
      <c r="K22" s="229"/>
    </row>
  </sheetData>
  <mergeCells count="1">
    <mergeCell ref="C11:K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BE62A-8014-4A81-8632-94153D1DEE2F}">
  <sheetPr>
    <tabColor theme="5" tint="-0.249977111117893"/>
  </sheetPr>
  <dimension ref="C11:K22"/>
  <sheetViews>
    <sheetView showGridLines="0" workbookViewId="0">
      <selection activeCell="C23" sqref="C23"/>
    </sheetView>
  </sheetViews>
  <sheetFormatPr defaultRowHeight="14.5" x14ac:dyDescent="0.35"/>
  <cols>
    <col min="5" max="5" width="26.36328125" customWidth="1"/>
    <col min="6" max="6" width="33.26953125" customWidth="1"/>
    <col min="8" max="8" width="33.08984375" customWidth="1"/>
    <col min="9" max="9" width="16.54296875" customWidth="1"/>
    <col min="10" max="10" width="14.7265625" customWidth="1"/>
    <col min="11" max="11" width="8.7265625" customWidth="1"/>
  </cols>
  <sheetData>
    <row r="11" spans="3:11" ht="14.5" customHeight="1" x14ac:dyDescent="0.35">
      <c r="C11" s="229" t="s">
        <v>301</v>
      </c>
      <c r="D11" s="229"/>
      <c r="E11" s="229"/>
      <c r="F11" s="229"/>
      <c r="G11" s="229"/>
      <c r="H11" s="229"/>
      <c r="I11" s="229"/>
      <c r="J11" s="229"/>
      <c r="K11" s="229"/>
    </row>
    <row r="12" spans="3:11" ht="14.5" customHeight="1" x14ac:dyDescent="0.35">
      <c r="C12" s="229"/>
      <c r="D12" s="229"/>
      <c r="E12" s="229"/>
      <c r="F12" s="229"/>
      <c r="G12" s="229"/>
      <c r="H12" s="229"/>
      <c r="I12" s="229"/>
      <c r="J12" s="229"/>
      <c r="K12" s="229"/>
    </row>
    <row r="13" spans="3:11" ht="14.5" customHeight="1" x14ac:dyDescent="0.35">
      <c r="C13" s="229"/>
      <c r="D13" s="229"/>
      <c r="E13" s="229"/>
      <c r="F13" s="229"/>
      <c r="G13" s="229"/>
      <c r="H13" s="229"/>
      <c r="I13" s="229"/>
      <c r="J13" s="229"/>
      <c r="K13" s="229"/>
    </row>
    <row r="14" spans="3:11" ht="14.5" customHeight="1" x14ac:dyDescent="0.35">
      <c r="C14" s="229"/>
      <c r="D14" s="229"/>
      <c r="E14" s="229"/>
      <c r="F14" s="229"/>
      <c r="G14" s="229"/>
      <c r="H14" s="229"/>
      <c r="I14" s="229"/>
      <c r="J14" s="229"/>
      <c r="K14" s="229"/>
    </row>
    <row r="15" spans="3:11" ht="14.5" customHeight="1" x14ac:dyDescent="0.35">
      <c r="C15" s="229"/>
      <c r="D15" s="229"/>
      <c r="E15" s="229"/>
      <c r="F15" s="229"/>
      <c r="G15" s="229"/>
      <c r="H15" s="229"/>
      <c r="I15" s="229"/>
      <c r="J15" s="229"/>
      <c r="K15" s="229"/>
    </row>
    <row r="16" spans="3:11" ht="14.5" customHeight="1" x14ac:dyDescent="0.35">
      <c r="C16" s="229"/>
      <c r="D16" s="229"/>
      <c r="E16" s="229"/>
      <c r="F16" s="229"/>
      <c r="G16" s="229"/>
      <c r="H16" s="229"/>
      <c r="I16" s="229"/>
      <c r="J16" s="229"/>
      <c r="K16" s="229"/>
    </row>
    <row r="17" spans="3:11" ht="14.5" customHeight="1" x14ac:dyDescent="0.35">
      <c r="C17" s="229"/>
      <c r="D17" s="229"/>
      <c r="E17" s="229"/>
      <c r="F17" s="229"/>
      <c r="G17" s="229"/>
      <c r="H17" s="229"/>
      <c r="I17" s="229"/>
      <c r="J17" s="229"/>
      <c r="K17" s="229"/>
    </row>
    <row r="18" spans="3:11" ht="14.5" customHeight="1" x14ac:dyDescent="0.35">
      <c r="C18" s="229"/>
      <c r="D18" s="229"/>
      <c r="E18" s="229"/>
      <c r="F18" s="229"/>
      <c r="G18" s="229"/>
      <c r="H18" s="229"/>
      <c r="I18" s="229"/>
      <c r="J18" s="229"/>
      <c r="K18" s="229"/>
    </row>
    <row r="19" spans="3:11" ht="14.5" customHeight="1" x14ac:dyDescent="0.35">
      <c r="C19" s="229"/>
      <c r="D19" s="229"/>
      <c r="E19" s="229"/>
      <c r="F19" s="229"/>
      <c r="G19" s="229"/>
      <c r="H19" s="229"/>
      <c r="I19" s="229"/>
      <c r="J19" s="229"/>
      <c r="K19" s="229"/>
    </row>
    <row r="20" spans="3:11" ht="14.5" customHeight="1" x14ac:dyDescent="0.35">
      <c r="C20" s="229"/>
      <c r="D20" s="229"/>
      <c r="E20" s="229"/>
      <c r="F20" s="229"/>
      <c r="G20" s="229"/>
      <c r="H20" s="229"/>
      <c r="I20" s="229"/>
      <c r="J20" s="229"/>
      <c r="K20" s="229"/>
    </row>
    <row r="21" spans="3:11" ht="14.5" customHeight="1" x14ac:dyDescent="0.35">
      <c r="C21" s="229"/>
      <c r="D21" s="229"/>
      <c r="E21" s="229"/>
      <c r="F21" s="229"/>
      <c r="G21" s="229"/>
      <c r="H21" s="229"/>
      <c r="I21" s="229"/>
      <c r="J21" s="229"/>
      <c r="K21" s="229"/>
    </row>
    <row r="22" spans="3:11" ht="14.5" customHeight="1" x14ac:dyDescent="0.35">
      <c r="C22" s="229"/>
      <c r="D22" s="229"/>
      <c r="E22" s="229"/>
      <c r="F22" s="229"/>
      <c r="G22" s="229"/>
      <c r="H22" s="229"/>
      <c r="I22" s="229"/>
      <c r="J22" s="229"/>
      <c r="K22" s="229"/>
    </row>
  </sheetData>
  <mergeCells count="1">
    <mergeCell ref="C11:K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C72B-324D-4A18-8899-D1BE29E32F51}">
  <sheetPr>
    <tabColor theme="5" tint="0.39997558519241921"/>
  </sheetPr>
  <dimension ref="C11:K22"/>
  <sheetViews>
    <sheetView showGridLines="0" workbookViewId="0">
      <selection activeCell="C33" sqref="C33"/>
    </sheetView>
  </sheetViews>
  <sheetFormatPr defaultRowHeight="14.5" x14ac:dyDescent="0.35"/>
  <cols>
    <col min="6" max="6" width="12.1796875" customWidth="1"/>
    <col min="7" max="7" width="14.453125" customWidth="1"/>
  </cols>
  <sheetData>
    <row r="11" spans="3:11" x14ac:dyDescent="0.35">
      <c r="C11" s="229" t="s">
        <v>302</v>
      </c>
      <c r="D11" s="229"/>
      <c r="E11" s="229"/>
      <c r="F11" s="229"/>
      <c r="G11" s="229"/>
      <c r="H11" s="229"/>
      <c r="I11" s="229"/>
      <c r="J11" s="229"/>
      <c r="K11" s="229"/>
    </row>
    <row r="12" spans="3:11" x14ac:dyDescent="0.35">
      <c r="C12" s="229"/>
      <c r="D12" s="229"/>
      <c r="E12" s="229"/>
      <c r="F12" s="229"/>
      <c r="G12" s="229"/>
      <c r="H12" s="229"/>
      <c r="I12" s="229"/>
      <c r="J12" s="229"/>
      <c r="K12" s="229"/>
    </row>
    <row r="13" spans="3:11" x14ac:dyDescent="0.35">
      <c r="C13" s="229"/>
      <c r="D13" s="229"/>
      <c r="E13" s="229"/>
      <c r="F13" s="229"/>
      <c r="G13" s="229"/>
      <c r="H13" s="229"/>
      <c r="I13" s="229"/>
      <c r="J13" s="229"/>
      <c r="K13" s="229"/>
    </row>
    <row r="14" spans="3:11" x14ac:dyDescent="0.35">
      <c r="C14" s="229"/>
      <c r="D14" s="229"/>
      <c r="E14" s="229"/>
      <c r="F14" s="229"/>
      <c r="G14" s="229"/>
      <c r="H14" s="229"/>
      <c r="I14" s="229"/>
      <c r="J14" s="229"/>
      <c r="K14" s="229"/>
    </row>
    <row r="15" spans="3:11" x14ac:dyDescent="0.35">
      <c r="C15" s="229"/>
      <c r="D15" s="229"/>
      <c r="E15" s="229"/>
      <c r="F15" s="229"/>
      <c r="G15" s="229"/>
      <c r="H15" s="229"/>
      <c r="I15" s="229"/>
      <c r="J15" s="229"/>
      <c r="K15" s="229"/>
    </row>
    <row r="16" spans="3:11" x14ac:dyDescent="0.35">
      <c r="C16" s="229"/>
      <c r="D16" s="229"/>
      <c r="E16" s="229"/>
      <c r="F16" s="229"/>
      <c r="G16" s="229"/>
      <c r="H16" s="229"/>
      <c r="I16" s="229"/>
      <c r="J16" s="229"/>
      <c r="K16" s="229"/>
    </row>
    <row r="17" spans="3:11" x14ac:dyDescent="0.35">
      <c r="C17" s="229"/>
      <c r="D17" s="229"/>
      <c r="E17" s="229"/>
      <c r="F17" s="229"/>
      <c r="G17" s="229"/>
      <c r="H17" s="229"/>
      <c r="I17" s="229"/>
      <c r="J17" s="229"/>
      <c r="K17" s="229"/>
    </row>
    <row r="18" spans="3:11" x14ac:dyDescent="0.35">
      <c r="C18" s="229"/>
      <c r="D18" s="229"/>
      <c r="E18" s="229"/>
      <c r="F18" s="229"/>
      <c r="G18" s="229"/>
      <c r="H18" s="229"/>
      <c r="I18" s="229"/>
      <c r="J18" s="229"/>
      <c r="K18" s="229"/>
    </row>
    <row r="19" spans="3:11" x14ac:dyDescent="0.35">
      <c r="C19" s="229"/>
      <c r="D19" s="229"/>
      <c r="E19" s="229"/>
      <c r="F19" s="229"/>
      <c r="G19" s="229"/>
      <c r="H19" s="229"/>
      <c r="I19" s="229"/>
      <c r="J19" s="229"/>
      <c r="K19" s="229"/>
    </row>
    <row r="20" spans="3:11" x14ac:dyDescent="0.35">
      <c r="C20" s="229"/>
      <c r="D20" s="229"/>
      <c r="E20" s="229"/>
      <c r="F20" s="229"/>
      <c r="G20" s="229"/>
      <c r="H20" s="229"/>
      <c r="I20" s="229"/>
      <c r="J20" s="229"/>
      <c r="K20" s="229"/>
    </row>
    <row r="21" spans="3:11" x14ac:dyDescent="0.35">
      <c r="C21" s="229"/>
      <c r="D21" s="229"/>
      <c r="E21" s="229"/>
      <c r="F21" s="229"/>
      <c r="G21" s="229"/>
      <c r="H21" s="229"/>
      <c r="I21" s="229"/>
      <c r="J21" s="229"/>
      <c r="K21" s="229"/>
    </row>
    <row r="22" spans="3:11" x14ac:dyDescent="0.35">
      <c r="C22" s="229"/>
      <c r="D22" s="229"/>
      <c r="E22" s="229"/>
      <c r="F22" s="229"/>
      <c r="G22" s="229"/>
      <c r="H22" s="229"/>
      <c r="I22" s="229"/>
      <c r="J22" s="229"/>
      <c r="K22" s="229"/>
    </row>
  </sheetData>
  <mergeCells count="1">
    <mergeCell ref="C11:K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7F263-7F70-4930-9B0D-5AEF54956630}">
  <dimension ref="B1:R27"/>
  <sheetViews>
    <sheetView showGridLines="0" workbookViewId="0">
      <pane xSplit="2" topLeftCell="C1" activePane="topRight" state="frozen"/>
      <selection pane="topRight" activeCell="H28" sqref="H28"/>
    </sheetView>
  </sheetViews>
  <sheetFormatPr defaultRowHeight="14.5" x14ac:dyDescent="0.35"/>
  <cols>
    <col min="1" max="1" width="2.90625" customWidth="1"/>
    <col min="2" max="2" width="31" bestFit="1" customWidth="1"/>
    <col min="3" max="3" width="13.7265625" bestFit="1" customWidth="1"/>
    <col min="4" max="5" width="11.81640625" bestFit="1" customWidth="1"/>
    <col min="6" max="7" width="12.453125" bestFit="1" customWidth="1"/>
    <col min="8" max="8" width="11.26953125" customWidth="1"/>
    <col min="9" max="9" width="11.36328125" customWidth="1"/>
    <col min="10" max="17" width="11.54296875" bestFit="1" customWidth="1"/>
    <col min="18" max="18" width="17.453125" customWidth="1"/>
  </cols>
  <sheetData>
    <row r="1" spans="2:18" ht="15.5" x14ac:dyDescent="0.35">
      <c r="B1" s="16" t="s">
        <v>80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</row>
    <row r="2" spans="2:18" ht="15.5" x14ac:dyDescent="0.35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8" x14ac:dyDescent="0.35">
      <c r="B3" s="27"/>
      <c r="C3" s="230" t="s">
        <v>81</v>
      </c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</row>
    <row r="4" spans="2:18" ht="28" x14ac:dyDescent="0.35">
      <c r="B4" s="28" t="s">
        <v>82</v>
      </c>
      <c r="C4" s="29" t="s">
        <v>83</v>
      </c>
      <c r="D4" s="29" t="s">
        <v>102</v>
      </c>
      <c r="E4" s="29" t="s">
        <v>103</v>
      </c>
      <c r="F4" s="29" t="s">
        <v>104</v>
      </c>
      <c r="G4" s="29" t="s">
        <v>105</v>
      </c>
      <c r="H4" s="30" t="s">
        <v>84</v>
      </c>
      <c r="I4" s="30" t="s">
        <v>85</v>
      </c>
      <c r="J4" s="30" t="s">
        <v>86</v>
      </c>
      <c r="K4" s="30" t="s">
        <v>87</v>
      </c>
      <c r="L4" s="30" t="s">
        <v>88</v>
      </c>
      <c r="M4" s="30" t="s">
        <v>89</v>
      </c>
      <c r="N4" s="30" t="s">
        <v>106</v>
      </c>
      <c r="O4" s="30" t="s">
        <v>107</v>
      </c>
      <c r="P4" s="30" t="s">
        <v>108</v>
      </c>
      <c r="Q4" s="30" t="s">
        <v>109</v>
      </c>
      <c r="R4" s="74" t="s">
        <v>158</v>
      </c>
    </row>
    <row r="5" spans="2:18" x14ac:dyDescent="0.35">
      <c r="B5" s="27" t="s">
        <v>90</v>
      </c>
      <c r="C5" s="31">
        <v>300857</v>
      </c>
      <c r="D5" s="31">
        <v>358261</v>
      </c>
      <c r="E5" s="31">
        <v>476356</v>
      </c>
      <c r="F5" s="31">
        <v>485984</v>
      </c>
      <c r="G5" s="31">
        <v>548225</v>
      </c>
      <c r="H5" s="32">
        <f>G5*(1+H15)</f>
        <v>603047.5</v>
      </c>
      <c r="I5" s="32">
        <f t="shared" ref="I5:P5" si="0">H5*(1+I15)</f>
        <v>663352.25</v>
      </c>
      <c r="J5" s="32">
        <f t="shared" si="0"/>
        <v>729687.47500000009</v>
      </c>
      <c r="K5" s="32">
        <f t="shared" si="0"/>
        <v>788062.47300000011</v>
      </c>
      <c r="L5" s="32">
        <f t="shared" si="0"/>
        <v>851107.4708400002</v>
      </c>
      <c r="M5" s="32">
        <f t="shared" si="0"/>
        <v>885151.76967360021</v>
      </c>
      <c r="N5" s="32">
        <f>M5*(1+N15)</f>
        <v>920557.84046054422</v>
      </c>
      <c r="O5" s="32">
        <f t="shared" si="0"/>
        <v>957380.15407896601</v>
      </c>
      <c r="P5" s="32">
        <f t="shared" si="0"/>
        <v>995675.36024212465</v>
      </c>
      <c r="Q5" s="32">
        <f>P5*(1+Q15)</f>
        <v>1035502.3746518097</v>
      </c>
      <c r="R5" s="90">
        <f>'Average Prices'!F7</f>
        <v>48168.333333333328</v>
      </c>
    </row>
    <row r="6" spans="2:18" x14ac:dyDescent="0.35">
      <c r="B6" s="27" t="s">
        <v>91</v>
      </c>
      <c r="C6" s="31">
        <v>66771</v>
      </c>
      <c r="D6" s="31">
        <v>57085</v>
      </c>
      <c r="E6" s="31">
        <v>24980</v>
      </c>
      <c r="F6" s="31">
        <v>66705</v>
      </c>
      <c r="G6" s="31">
        <v>68874</v>
      </c>
      <c r="H6" s="32">
        <f>G6*(1+H16)</f>
        <v>71628.960000000006</v>
      </c>
      <c r="I6" s="32">
        <f t="shared" ref="I6:Q6" si="1">H6*(1+I16)</f>
        <v>74494.118400000007</v>
      </c>
      <c r="J6" s="32">
        <f t="shared" si="1"/>
        <v>77473.883136000004</v>
      </c>
      <c r="K6" s="32">
        <f t="shared" si="1"/>
        <v>80572.838461440013</v>
      </c>
      <c r="L6" s="32">
        <f t="shared" si="1"/>
        <v>83795.75199989762</v>
      </c>
      <c r="M6" s="32">
        <f t="shared" si="1"/>
        <v>87147.582079893531</v>
      </c>
      <c r="N6" s="32">
        <f t="shared" si="1"/>
        <v>90633.485363089276</v>
      </c>
      <c r="O6" s="32">
        <f>N6*(1+O16)</f>
        <v>94258.824777612856</v>
      </c>
      <c r="P6" s="32">
        <f t="shared" si="1"/>
        <v>98029.177768717374</v>
      </c>
      <c r="Q6" s="32">
        <f t="shared" si="1"/>
        <v>101950.34487946608</v>
      </c>
      <c r="R6" s="90">
        <f>'Average Prices'!F16</f>
        <v>114427.5</v>
      </c>
    </row>
    <row r="7" spans="2:18" x14ac:dyDescent="0.35">
      <c r="B7" s="27" t="s">
        <v>92</v>
      </c>
      <c r="C7" s="31">
        <v>0</v>
      </c>
      <c r="D7" s="31">
        <v>84167</v>
      </c>
      <c r="E7" s="31">
        <v>434790</v>
      </c>
      <c r="F7" s="31">
        <v>761162</v>
      </c>
      <c r="G7" s="31">
        <v>1200000</v>
      </c>
      <c r="H7" s="32">
        <f>G7*(1+H17)</f>
        <v>1320000</v>
      </c>
      <c r="I7" s="32">
        <f t="shared" ref="H7:Q10" si="2">H7*(1+I17)</f>
        <v>1452000.0000000002</v>
      </c>
      <c r="J7" s="32">
        <f t="shared" si="2"/>
        <v>1597200.0000000005</v>
      </c>
      <c r="K7" s="32">
        <f t="shared" si="2"/>
        <v>1724976.0000000007</v>
      </c>
      <c r="L7" s="32">
        <f t="shared" si="2"/>
        <v>1862974.0800000008</v>
      </c>
      <c r="M7" s="32">
        <f t="shared" si="2"/>
        <v>1937493.0432000009</v>
      </c>
      <c r="N7" s="32">
        <f t="shared" si="2"/>
        <v>2014992.764928001</v>
      </c>
      <c r="O7" s="32">
        <f t="shared" si="2"/>
        <v>2095592.4755251212</v>
      </c>
      <c r="P7" s="32">
        <f t="shared" si="2"/>
        <v>2179416.1745461263</v>
      </c>
      <c r="Q7" s="32">
        <f t="shared" si="2"/>
        <v>2266592.8215279714</v>
      </c>
      <c r="R7" s="90">
        <f>'Average Prices'!F11</f>
        <v>52355.833333333328</v>
      </c>
    </row>
    <row r="8" spans="2:18" x14ac:dyDescent="0.35">
      <c r="B8" s="27" t="s">
        <v>93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2">
        <v>0</v>
      </c>
      <c r="I8" s="32">
        <v>500</v>
      </c>
      <c r="J8" s="32">
        <f t="shared" si="2"/>
        <v>1000</v>
      </c>
      <c r="K8" s="32">
        <f t="shared" si="2"/>
        <v>1500</v>
      </c>
      <c r="L8" s="32">
        <f t="shared" si="2"/>
        <v>1650.0000000000002</v>
      </c>
      <c r="M8" s="32">
        <f t="shared" si="2"/>
        <v>1815.0000000000005</v>
      </c>
      <c r="N8" s="32">
        <f t="shared" si="2"/>
        <v>1960.2000000000007</v>
      </c>
      <c r="O8" s="32">
        <f t="shared" si="2"/>
        <v>2117.016000000001</v>
      </c>
      <c r="P8" s="32">
        <f t="shared" si="2"/>
        <v>2201.696640000001</v>
      </c>
      <c r="Q8" s="32">
        <f t="shared" si="2"/>
        <v>2289.764505600001</v>
      </c>
      <c r="R8" s="90">
        <f>'Average Prices'!F21</f>
        <v>225000</v>
      </c>
    </row>
    <row r="9" spans="2:18" x14ac:dyDescent="0.35">
      <c r="B9" s="27" t="s">
        <v>94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2">
        <v>29200</v>
      </c>
      <c r="I9" s="32">
        <v>48500</v>
      </c>
      <c r="J9" s="32">
        <f t="shared" si="2"/>
        <v>97000</v>
      </c>
      <c r="K9" s="32">
        <f t="shared" si="2"/>
        <v>106700.00000000001</v>
      </c>
      <c r="L9" s="32">
        <f t="shared" si="2"/>
        <v>117370.00000000003</v>
      </c>
      <c r="M9" s="32">
        <f t="shared" si="2"/>
        <v>126759.60000000003</v>
      </c>
      <c r="N9" s="32">
        <f t="shared" si="2"/>
        <v>136900.36800000005</v>
      </c>
      <c r="O9" s="32">
        <f t="shared" si="2"/>
        <v>142376.38272000005</v>
      </c>
      <c r="P9" s="32">
        <f t="shared" si="2"/>
        <v>148071.43802880007</v>
      </c>
      <c r="Q9" s="32">
        <f t="shared" si="2"/>
        <v>153994.29554995208</v>
      </c>
      <c r="R9" s="90">
        <f>'Average Prices'!F19</f>
        <v>58400</v>
      </c>
    </row>
    <row r="10" spans="2:18" x14ac:dyDescent="0.35">
      <c r="B10" s="27" t="s">
        <v>95</v>
      </c>
      <c r="C10" s="31">
        <v>0</v>
      </c>
      <c r="D10" s="31">
        <v>0</v>
      </c>
      <c r="E10" s="31">
        <v>0</v>
      </c>
      <c r="F10" s="31">
        <v>0</v>
      </c>
      <c r="G10" s="31">
        <v>100</v>
      </c>
      <c r="H10" s="32">
        <f t="shared" si="2"/>
        <v>516.58013235591147</v>
      </c>
      <c r="I10" s="32">
        <f t="shared" si="2"/>
        <v>904.34730951560584</v>
      </c>
      <c r="J10" s="32">
        <f t="shared" si="2"/>
        <v>1397.2221892190526</v>
      </c>
      <c r="K10" s="32">
        <f t="shared" si="2"/>
        <v>1844.3332897691494</v>
      </c>
      <c r="L10" s="32">
        <f t="shared" si="2"/>
        <v>2028.7666187460645</v>
      </c>
      <c r="M10" s="32">
        <f t="shared" si="2"/>
        <v>2231.6432806206712</v>
      </c>
      <c r="N10" s="32">
        <f t="shared" si="2"/>
        <v>2410.1747430703249</v>
      </c>
      <c r="O10" s="32">
        <f t="shared" si="2"/>
        <v>2602.9887225159509</v>
      </c>
      <c r="P10" s="32">
        <f t="shared" si="2"/>
        <v>2707.1082714165891</v>
      </c>
      <c r="Q10" s="32">
        <f t="shared" si="2"/>
        <v>2815.3926022732526</v>
      </c>
      <c r="R10" s="90">
        <f>'Average Prices'!F22</f>
        <v>175000</v>
      </c>
    </row>
    <row r="11" spans="2:18" ht="15" thickBot="1" x14ac:dyDescent="0.4">
      <c r="B11" s="33" t="s">
        <v>96</v>
      </c>
      <c r="C11" s="34">
        <f>SUM(C5:C10)</f>
        <v>367628</v>
      </c>
      <c r="D11" s="34">
        <f>SUM(D5:D10)</f>
        <v>499513</v>
      </c>
      <c r="E11" s="34">
        <f>SUM(E5:E10)</f>
        <v>936126</v>
      </c>
      <c r="F11" s="34">
        <f>SUM(F5:F10)</f>
        <v>1313851</v>
      </c>
      <c r="G11" s="34">
        <f>SUM(G5:G10)</f>
        <v>1817199</v>
      </c>
      <c r="H11" s="34">
        <f t="shared" ref="H11:Q11" si="3">SUM(H5:H10)</f>
        <v>2024393.0401323559</v>
      </c>
      <c r="I11" s="34">
        <f t="shared" si="3"/>
        <v>2239750.7157095158</v>
      </c>
      <c r="J11" s="34">
        <f t="shared" si="3"/>
        <v>2503758.5803252198</v>
      </c>
      <c r="K11" s="34">
        <f t="shared" si="3"/>
        <v>2703655.6447512098</v>
      </c>
      <c r="L11" s="34">
        <f>SUM(L5:L10)</f>
        <v>2918926.0694586444</v>
      </c>
      <c r="M11" s="34">
        <f t="shared" si="3"/>
        <v>3040598.6382341157</v>
      </c>
      <c r="N11" s="34">
        <f t="shared" si="3"/>
        <v>3167454.8334947051</v>
      </c>
      <c r="O11" s="34">
        <f t="shared" si="3"/>
        <v>3294327.8418242158</v>
      </c>
      <c r="P11" s="34">
        <f t="shared" si="3"/>
        <v>3426100.9554971852</v>
      </c>
      <c r="Q11" s="34">
        <f t="shared" si="3"/>
        <v>3563144.9937170725</v>
      </c>
      <c r="R11" s="75"/>
    </row>
    <row r="12" spans="2:18" x14ac:dyDescent="0.35">
      <c r="B12" s="17"/>
      <c r="C12" s="17"/>
      <c r="D12" s="105">
        <f>D11/C11-1</f>
        <v>0.35874579738213619</v>
      </c>
      <c r="E12" s="105">
        <f t="shared" ref="E12:G12" si="4">E11/D11-1</f>
        <v>0.87407735134020537</v>
      </c>
      <c r="F12" s="105">
        <f t="shared" si="4"/>
        <v>0.40349803338439494</v>
      </c>
      <c r="G12" s="105">
        <f t="shared" si="4"/>
        <v>0.38310889134308224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2:18" x14ac:dyDescent="0.35">
      <c r="B13" s="22" t="s">
        <v>97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2:18" x14ac:dyDescent="0.35">
      <c r="B14" s="22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spans="2:18" x14ac:dyDescent="0.35">
      <c r="B15" s="23" t="s">
        <v>90</v>
      </c>
      <c r="C15" s="24" t="s">
        <v>98</v>
      </c>
      <c r="D15" s="36">
        <f>D5/C5-1</f>
        <v>0.19080161006724117</v>
      </c>
      <c r="E15" s="36">
        <f t="shared" ref="E15:G15" si="5">E5/D5-1</f>
        <v>0.32963398192937543</v>
      </c>
      <c r="F15" s="36">
        <f t="shared" si="5"/>
        <v>2.0211774387222992E-2</v>
      </c>
      <c r="G15" s="36">
        <f t="shared" si="5"/>
        <v>0.12807211760057946</v>
      </c>
      <c r="H15" s="37">
        <v>0.1</v>
      </c>
      <c r="I15" s="25">
        <v>0.1</v>
      </c>
      <c r="J15" s="25">
        <v>0.1</v>
      </c>
      <c r="K15" s="25">
        <v>0.08</v>
      </c>
      <c r="L15" s="25">
        <v>0.08</v>
      </c>
      <c r="M15" s="25">
        <v>0.04</v>
      </c>
      <c r="N15" s="25">
        <v>0.04</v>
      </c>
      <c r="O15" s="25">
        <v>0.04</v>
      </c>
      <c r="P15" s="25">
        <v>0.04</v>
      </c>
      <c r="Q15" s="25">
        <v>0.04</v>
      </c>
    </row>
    <row r="16" spans="2:18" x14ac:dyDescent="0.35">
      <c r="B16" s="23" t="s">
        <v>91</v>
      </c>
      <c r="C16" s="24" t="s">
        <v>98</v>
      </c>
      <c r="D16" s="3">
        <f>D6/C6-1</f>
        <v>-0.1450629764418685</v>
      </c>
      <c r="E16" s="3">
        <f>E6/D6-1</f>
        <v>-0.56240693702373656</v>
      </c>
      <c r="F16" s="3">
        <f t="shared" ref="F16:G16" si="6">F6/E6-1</f>
        <v>1.6703362690152121</v>
      </c>
      <c r="G16" s="3">
        <f t="shared" si="6"/>
        <v>3.251630312570275E-2</v>
      </c>
      <c r="H16" s="26">
        <v>0.04</v>
      </c>
      <c r="I16" s="26">
        <v>0.04</v>
      </c>
      <c r="J16" s="26">
        <v>0.04</v>
      </c>
      <c r="K16" s="26">
        <v>0.04</v>
      </c>
      <c r="L16" s="26">
        <v>0.04</v>
      </c>
      <c r="M16" s="26">
        <v>0.04</v>
      </c>
      <c r="N16" s="26">
        <v>0.04</v>
      </c>
      <c r="O16" s="26">
        <v>0.04</v>
      </c>
      <c r="P16" s="26">
        <v>0.04</v>
      </c>
      <c r="Q16" s="26">
        <v>0.04</v>
      </c>
    </row>
    <row r="17" spans="2:17" x14ac:dyDescent="0.35">
      <c r="B17" s="23" t="s">
        <v>92</v>
      </c>
      <c r="C17" s="24" t="s">
        <v>98</v>
      </c>
      <c r="D17" s="24" t="s">
        <v>98</v>
      </c>
      <c r="E17" s="3">
        <f t="shared" ref="E17:G17" si="7">E7/D7-1</f>
        <v>4.1658013235591147</v>
      </c>
      <c r="F17" s="3">
        <f t="shared" si="7"/>
        <v>0.75064283907173568</v>
      </c>
      <c r="G17" s="3">
        <f t="shared" si="7"/>
        <v>0.5765369264361595</v>
      </c>
      <c r="H17" s="25">
        <v>0.1</v>
      </c>
      <c r="I17" s="26">
        <v>0.1</v>
      </c>
      <c r="J17" s="26">
        <v>0.1</v>
      </c>
      <c r="K17" s="26">
        <v>0.08</v>
      </c>
      <c r="L17" s="26">
        <v>0.08</v>
      </c>
      <c r="M17" s="26">
        <v>0.04</v>
      </c>
      <c r="N17" s="26">
        <v>0.04</v>
      </c>
      <c r="O17" s="26">
        <v>0.04</v>
      </c>
      <c r="P17" s="26">
        <v>0.04</v>
      </c>
      <c r="Q17" s="26">
        <v>0.04</v>
      </c>
    </row>
    <row r="18" spans="2:17" x14ac:dyDescent="0.35">
      <c r="B18" s="23" t="s">
        <v>93</v>
      </c>
      <c r="C18" s="24" t="s">
        <v>98</v>
      </c>
      <c r="D18" s="24" t="s">
        <v>98</v>
      </c>
      <c r="E18" s="24" t="s">
        <v>98</v>
      </c>
      <c r="F18" s="24" t="s">
        <v>98</v>
      </c>
      <c r="G18" s="24" t="s">
        <v>98</v>
      </c>
      <c r="H18" s="24" t="s">
        <v>98</v>
      </c>
      <c r="I18" s="24" t="s">
        <v>98</v>
      </c>
      <c r="J18" s="25">
        <v>1</v>
      </c>
      <c r="K18" s="26">
        <v>0.5</v>
      </c>
      <c r="L18" s="26">
        <v>0.1</v>
      </c>
      <c r="M18" s="26">
        <v>0.1</v>
      </c>
      <c r="N18" s="26">
        <v>0.08</v>
      </c>
      <c r="O18" s="26">
        <v>0.08</v>
      </c>
      <c r="P18" s="26">
        <v>0.04</v>
      </c>
      <c r="Q18" s="26">
        <v>0.04</v>
      </c>
    </row>
    <row r="19" spans="2:17" x14ac:dyDescent="0.35">
      <c r="B19" s="23" t="s">
        <v>94</v>
      </c>
      <c r="C19" s="24" t="s">
        <v>98</v>
      </c>
      <c r="D19" s="24" t="s">
        <v>98</v>
      </c>
      <c r="E19" s="24" t="s">
        <v>98</v>
      </c>
      <c r="F19" s="24" t="s">
        <v>98</v>
      </c>
      <c r="G19" s="24" t="s">
        <v>98</v>
      </c>
      <c r="H19" s="24" t="s">
        <v>98</v>
      </c>
      <c r="I19" s="36">
        <f t="shared" ref="I19" si="8">I9/H9-1</f>
        <v>0.66095890410958913</v>
      </c>
      <c r="J19" s="26">
        <v>1</v>
      </c>
      <c r="K19" s="26">
        <v>0.1</v>
      </c>
      <c r="L19" s="26">
        <v>0.1</v>
      </c>
      <c r="M19" s="26">
        <v>0.08</v>
      </c>
      <c r="N19" s="26">
        <v>0.08</v>
      </c>
      <c r="O19" s="26">
        <v>0.04</v>
      </c>
      <c r="P19" s="26">
        <v>0.04</v>
      </c>
      <c r="Q19" s="26">
        <v>0.04</v>
      </c>
    </row>
    <row r="20" spans="2:17" x14ac:dyDescent="0.35">
      <c r="B20" s="23" t="s">
        <v>95</v>
      </c>
      <c r="C20" s="24" t="s">
        <v>98</v>
      </c>
      <c r="D20" s="24" t="s">
        <v>98</v>
      </c>
      <c r="E20" s="24" t="s">
        <v>98</v>
      </c>
      <c r="F20" s="24" t="s">
        <v>98</v>
      </c>
      <c r="G20" s="24" t="s">
        <v>98</v>
      </c>
      <c r="H20" s="25">
        <v>4.1658013235591147</v>
      </c>
      <c r="I20" s="25">
        <v>0.75064283907173568</v>
      </c>
      <c r="J20" s="25">
        <v>0.54500618790743616</v>
      </c>
      <c r="K20" s="25">
        <v>0.32</v>
      </c>
      <c r="L20" s="26">
        <v>0.1</v>
      </c>
      <c r="M20" s="26">
        <v>0.1</v>
      </c>
      <c r="N20" s="26">
        <v>0.08</v>
      </c>
      <c r="O20" s="26">
        <v>0.08</v>
      </c>
      <c r="P20" s="26">
        <v>0.04</v>
      </c>
      <c r="Q20" s="26">
        <v>0.04</v>
      </c>
    </row>
    <row r="21" spans="2:17" x14ac:dyDescent="0.35">
      <c r="B21" s="23" t="s">
        <v>96</v>
      </c>
      <c r="C21" s="24" t="s">
        <v>98</v>
      </c>
      <c r="D21" s="36">
        <f>D11/C11-1</f>
        <v>0.35874579738213619</v>
      </c>
      <c r="E21" s="36">
        <f t="shared" ref="E21:Q21" si="9">E11/D11-1</f>
        <v>0.87407735134020537</v>
      </c>
      <c r="F21" s="36">
        <f t="shared" si="9"/>
        <v>0.40349803338439494</v>
      </c>
      <c r="G21" s="36">
        <f t="shared" si="9"/>
        <v>0.38310889134308224</v>
      </c>
      <c r="H21" s="36">
        <f t="shared" si="9"/>
        <v>0.11401835469442578</v>
      </c>
      <c r="I21" s="36">
        <f t="shared" si="9"/>
        <v>0.10638135545214067</v>
      </c>
      <c r="J21" s="36">
        <f t="shared" si="9"/>
        <v>0.11787377173895464</v>
      </c>
      <c r="K21" s="36">
        <f t="shared" si="9"/>
        <v>7.9838793562926114E-2</v>
      </c>
      <c r="L21" s="36">
        <f t="shared" si="9"/>
        <v>7.9621983341463531E-2</v>
      </c>
      <c r="M21" s="36">
        <f t="shared" si="9"/>
        <v>4.1684018669934098E-2</v>
      </c>
      <c r="N21" s="36">
        <f t="shared" si="9"/>
        <v>4.1720795920063836E-2</v>
      </c>
      <c r="O21" s="36">
        <f t="shared" si="9"/>
        <v>4.005519099684518E-2</v>
      </c>
      <c r="P21" s="36">
        <f t="shared" si="9"/>
        <v>4.0000000000000258E-2</v>
      </c>
      <c r="Q21" s="36">
        <f t="shared" si="9"/>
        <v>4.0000000000000036E-2</v>
      </c>
    </row>
    <row r="22" spans="2:17" x14ac:dyDescent="0.35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2:17" x14ac:dyDescent="0.35">
      <c r="B23" s="17"/>
      <c r="C23" s="17"/>
      <c r="D23" s="17"/>
      <c r="E23" s="17"/>
      <c r="F23" s="38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2:17" x14ac:dyDescent="0.35">
      <c r="B24" s="27" t="s">
        <v>99</v>
      </c>
      <c r="C24" s="27"/>
      <c r="D24" s="27"/>
      <c r="E24" s="27"/>
      <c r="F24" s="39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</row>
    <row r="25" spans="2:17" x14ac:dyDescent="0.35">
      <c r="B25" s="27" t="s">
        <v>100</v>
      </c>
      <c r="C25" s="35">
        <v>0.1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2:17" x14ac:dyDescent="0.35">
      <c r="B26" s="27" t="s">
        <v>100</v>
      </c>
      <c r="C26" s="35">
        <v>0.08</v>
      </c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 spans="2:17" x14ac:dyDescent="0.35">
      <c r="B27" s="27" t="s">
        <v>101</v>
      </c>
      <c r="C27" s="35">
        <v>0.04</v>
      </c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</sheetData>
  <mergeCells count="1">
    <mergeCell ref="C3:Q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01B4D-3D8C-4FE6-9965-6A45433181C6}">
  <dimension ref="A1"/>
  <sheetViews>
    <sheetView showGridLines="0" topLeftCell="A7" workbookViewId="0">
      <selection activeCell="A7" sqref="A1:A1048576"/>
    </sheetView>
  </sheetViews>
  <sheetFormatPr defaultRowHeight="14.5" x14ac:dyDescent="0.35"/>
  <cols>
    <col min="1" max="1" width="2.90625" customWidth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J Z d 9 W D + 0 p + S k A A A A 9 g A A A B I A H A B D b 2 5 m a W c v U G F j a 2 F n Z S 5 4 b W w g o h g A K K A U A A A A A A A A A A A A A A A A A A A A A A A A A A A A h Y 9 B D o I w F E S v Q r q n L T V R Q z 5 l 4 V Y S E 6 J x S 2 q F R v g Y W i x 3 c + G R v I I Y R d 2 5 n D d v M X O / 3 i A d m j q 4 6 M 6 a F h M S U U 4 C j a o 9 G C w T 0 r t j u C S p h E 2 h T k W p g 1 F G G w / 2 k J D K u X P M m P e e + h l t u 5 I J z i O 2 z 9 a 5 q n R T k I 9 s / s u h Q e s K V J p I 2 L 3 G S E E j M a d C L C g H N k H I D H 4 F M e 5 9 t j 8 Q V n 3 t + k 5 L j e E 2 B z Z F Y O 8 P 8 g F Q S w M E F A A C A A g A J Z d 9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W X f V j s N B Q J U w E A A E M D A A A T A B w A R m 9 y b X V s Y X M v U 2 V j d G l v b j E u b S C i G A A o o B Q A A A A A A A A A A A A A A A A A A A A A A A A A A A B 1 k V 1 L w z A U h u 8 L / Q 8 h 3 r R Y i v F b R y 9 k U x R v h B a 8 2 I Z k 7 d k W l i a S p K O j 7 L + b r c W 5 m e Y m 8 J w 3 5 5 y H a M g N k w K l 7 U 0 G v u d 7 e k k V F G g E n K 1 B M d A o Q R y M 7 y F 7 U l m p H C x 5 r n P g 8 a d U q 5 m U q + C F c Y i H U h g Q R g d 4 9 D i Z M 0 F F z i h H p S y A c y Y W k w w 0 p 2 h N e U V 3 8 y Y k P j + M + Z r B X C q I a 6 5 r H E Z I V J x H y K g K w q g d / i e b L g G M X a P d p x m / G S g T f A j g 6 J 2 J I s H 7 H J 5 u x y N q 6 L T r c 4 Y / l C y l s Z a v Q A t Q G t t W G Z 1 Z h 6 7 S 8 e B 0 Z I T G X e K J 8 z S n n C q d 7 H a c h r / N h 0 s q F r Z 3 t v m G Q + N M U a G t Y D m U v C r F r q g D x y Z R 0 + A 2 Q r D V t z F E x W Y b o e Z I r 6 0 Y q M 2 + 1 L 6 4 O n 3 R 4 m s 3 v n H j W z e + c + N 7 N 3 5 w Y 3 L R w / + 5 d v y y h / e Y k h 5 V 0 u N K e m T J k e 0 2 9 D 0 m n N 8 7 + A F Q S w E C L Q A U A A I A C A A l l 3 1 Y P 7 S n 5 K Q A A A D 2 A A A A E g A A A A A A A A A A A A A A A A A A A A A A Q 2 9 u Z m l n L 1 B h Y 2 t h Z 2 U u e G 1 s U E s B A i 0 A F A A C A A g A J Z d 9 W A / K 6 a u k A A A A 6 Q A A A B M A A A A A A A A A A A A A A A A A 8 A A A A F t D b 2 5 0 Z W 5 0 X 1 R 5 c G V z X S 5 4 b W x Q S w E C L Q A U A A I A C A A l l 3 1 Y 7 D Q U C V M B A A B D A w A A E w A A A A A A A A A A A A A A A A D h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E w A A A A A A A O E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Z W x p d m V y a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d m Z T E 5 M z I t M j g w Z C 0 0 Y z c 5 L W I y Z j Q t O T F l N D U z O W N l Z G U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O V Q x M z o y N j o z O C 4 2 N z Q x M T Q 2 W i I g L z 4 8 R W 5 0 c n k g V H l w Z T 0 i R m l s b E N v b H V t b l R 5 c G V z I i B W Y W x 1 Z T 0 i c 0 F B W U F B Q U F B Q U F B Q U F B Q U F B Q U F B Q U F B P S I g L z 4 8 R W 5 0 c n k g V H l w Z T 0 i R m l s b E N v b H V t b k 5 h b W V z I i B W Y W x 1 Z T 0 i c 1 s m c X V v d D t D b 2 x 1 b W 4 x J n F 1 b 3 Q 7 L C Z x d W 9 0 O 0 R l b G l 2 Z X J p Z X M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W x p d m V y a W V z L 0 F 1 d G 9 S Z W 1 v d m V k Q 2 9 s d W 1 u c z E u e 0 N v b H V t b j E s M H 0 m c X V v d D s s J n F 1 b 3 Q 7 U 2 V j d G l v b j E v R G V s a X Z l c m l l c y 9 B d X R v U m V t b 3 Z l Z E N v b H V t b n M x L n t E Z W x p d m V y a W V z L D F 9 J n F 1 b 3 Q 7 L C Z x d W 9 0 O 1 N l Y 3 R p b 2 4 x L 0 R l b G l 2 Z X J p Z X M v Q X V 0 b 1 J l b W 9 2 Z W R D b 2 x 1 b W 5 z M S 5 7 Q 2 9 s d W 1 u M y w y f S Z x d W 9 0 O y w m c X V v d D t T Z W N 0 a W 9 u M S 9 E Z W x p d m V y a W V z L 0 F 1 d G 9 S Z W 1 v d m V k Q 2 9 s d W 1 u c z E u e 0 N v b H V t b j Q s M 3 0 m c X V v d D s s J n F 1 b 3 Q 7 U 2 V j d G l v b j E v R G V s a X Z l c m l l c y 9 B d X R v U m V t b 3 Z l Z E N v b H V t b n M x L n t D b 2 x 1 b W 4 1 L D R 9 J n F 1 b 3 Q 7 L C Z x d W 9 0 O 1 N l Y 3 R p b 2 4 x L 0 R l b G l 2 Z X J p Z X M v Q X V 0 b 1 J l b W 9 2 Z W R D b 2 x 1 b W 5 z M S 5 7 Q 2 9 s d W 1 u N i w 1 f S Z x d W 9 0 O y w m c X V v d D t T Z W N 0 a W 9 u M S 9 E Z W x p d m V y a W V z L 0 F 1 d G 9 S Z W 1 v d m V k Q 2 9 s d W 1 u c z E u e 0 N v b H V t b j c s N n 0 m c X V v d D s s J n F 1 b 3 Q 7 U 2 V j d G l v b j E v R G V s a X Z l c m l l c y 9 B d X R v U m V t b 3 Z l Z E N v b H V t b n M x L n t D b 2 x 1 b W 4 4 L D d 9 J n F 1 b 3 Q 7 L C Z x d W 9 0 O 1 N l Y 3 R p b 2 4 x L 0 R l b G l 2 Z X J p Z X M v Q X V 0 b 1 J l b W 9 2 Z W R D b 2 x 1 b W 5 z M S 5 7 Q 2 9 s d W 1 u O S w 4 f S Z x d W 9 0 O y w m c X V v d D t T Z W N 0 a W 9 u M S 9 E Z W x p d m V y a W V z L 0 F 1 d G 9 S Z W 1 v d m V k Q 2 9 s d W 1 u c z E u e 0 N v b H V t b j E w L D l 9 J n F 1 b 3 Q 7 L C Z x d W 9 0 O 1 N l Y 3 R p b 2 4 x L 0 R l b G l 2 Z X J p Z X M v Q X V 0 b 1 J l b W 9 2 Z W R D b 2 x 1 b W 5 z M S 5 7 Q 2 9 s d W 1 u M T E s M T B 9 J n F 1 b 3 Q 7 L C Z x d W 9 0 O 1 N l Y 3 R p b 2 4 x L 0 R l b G l 2 Z X J p Z X M v Q X V 0 b 1 J l b W 9 2 Z W R D b 2 x 1 b W 5 z M S 5 7 Q 2 9 s d W 1 u M T I s M T F 9 J n F 1 b 3 Q 7 L C Z x d W 9 0 O 1 N l Y 3 R p b 2 4 x L 0 R l b G l 2 Z X J p Z X M v Q X V 0 b 1 J l b W 9 2 Z W R D b 2 x 1 b W 5 z M S 5 7 Q 2 9 s d W 1 u M T M s M T J 9 J n F 1 b 3 Q 7 L C Z x d W 9 0 O 1 N l Y 3 R p b 2 4 x L 0 R l b G l 2 Z X J p Z X M v Q X V 0 b 1 J l b W 9 2 Z W R D b 2 x 1 b W 5 z M S 5 7 Q 2 9 s d W 1 u M T Q s M T N 9 J n F 1 b 3 Q 7 L C Z x d W 9 0 O 1 N l Y 3 R p b 2 4 x L 0 R l b G l 2 Z X J p Z X M v Q X V 0 b 1 J l b W 9 2 Z W R D b 2 x 1 b W 5 z M S 5 7 Q 2 9 s d W 1 u M T U s M T R 9 J n F 1 b 3 Q 7 L C Z x d W 9 0 O 1 N l Y 3 R p b 2 4 x L 0 R l b G l 2 Z X J p Z X M v Q X V 0 b 1 J l b W 9 2 Z W R D b 2 x 1 b W 5 z M S 5 7 Q 2 9 s d W 1 u M T Y s M T V 9 J n F 1 b 3 Q 7 L C Z x d W 9 0 O 1 N l Y 3 R p b 2 4 x L 0 R l b G l 2 Z X J p Z X M v Q X V 0 b 1 J l b W 9 2 Z W R D b 2 x 1 b W 5 z M S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Z W x p d m V y a W V z L 0 F 1 d G 9 S Z W 1 v d m V k Q 2 9 s d W 1 u c z E u e 0 N v b H V t b j E s M H 0 m c X V v d D s s J n F 1 b 3 Q 7 U 2 V j d G l v b j E v R G V s a X Z l c m l l c y 9 B d X R v U m V t b 3 Z l Z E N v b H V t b n M x L n t E Z W x p d m V y a W V z L D F 9 J n F 1 b 3 Q 7 L C Z x d W 9 0 O 1 N l Y 3 R p b 2 4 x L 0 R l b G l 2 Z X J p Z X M v Q X V 0 b 1 J l b W 9 2 Z W R D b 2 x 1 b W 5 z M S 5 7 Q 2 9 s d W 1 u M y w y f S Z x d W 9 0 O y w m c X V v d D t T Z W N 0 a W 9 u M S 9 E Z W x p d m V y a W V z L 0 F 1 d G 9 S Z W 1 v d m V k Q 2 9 s d W 1 u c z E u e 0 N v b H V t b j Q s M 3 0 m c X V v d D s s J n F 1 b 3 Q 7 U 2 V j d G l v b j E v R G V s a X Z l c m l l c y 9 B d X R v U m V t b 3 Z l Z E N v b H V t b n M x L n t D b 2 x 1 b W 4 1 L D R 9 J n F 1 b 3 Q 7 L C Z x d W 9 0 O 1 N l Y 3 R p b 2 4 x L 0 R l b G l 2 Z X J p Z X M v Q X V 0 b 1 J l b W 9 2 Z W R D b 2 x 1 b W 5 z M S 5 7 Q 2 9 s d W 1 u N i w 1 f S Z x d W 9 0 O y w m c X V v d D t T Z W N 0 a W 9 u M S 9 E Z W x p d m V y a W V z L 0 F 1 d G 9 S Z W 1 v d m V k Q 2 9 s d W 1 u c z E u e 0 N v b H V t b j c s N n 0 m c X V v d D s s J n F 1 b 3 Q 7 U 2 V j d G l v b j E v R G V s a X Z l c m l l c y 9 B d X R v U m V t b 3 Z l Z E N v b H V t b n M x L n t D b 2 x 1 b W 4 4 L D d 9 J n F 1 b 3 Q 7 L C Z x d W 9 0 O 1 N l Y 3 R p b 2 4 x L 0 R l b G l 2 Z X J p Z X M v Q X V 0 b 1 J l b W 9 2 Z W R D b 2 x 1 b W 5 z M S 5 7 Q 2 9 s d W 1 u O S w 4 f S Z x d W 9 0 O y w m c X V v d D t T Z W N 0 a W 9 u M S 9 E Z W x p d m V y a W V z L 0 F 1 d G 9 S Z W 1 v d m V k Q 2 9 s d W 1 u c z E u e 0 N v b H V t b j E w L D l 9 J n F 1 b 3 Q 7 L C Z x d W 9 0 O 1 N l Y 3 R p b 2 4 x L 0 R l b G l 2 Z X J p Z X M v Q X V 0 b 1 J l b W 9 2 Z W R D b 2 x 1 b W 5 z M S 5 7 Q 2 9 s d W 1 u M T E s M T B 9 J n F 1 b 3 Q 7 L C Z x d W 9 0 O 1 N l Y 3 R p b 2 4 x L 0 R l b G l 2 Z X J p Z X M v Q X V 0 b 1 J l b W 9 2 Z W R D b 2 x 1 b W 5 z M S 5 7 Q 2 9 s d W 1 u M T I s M T F 9 J n F 1 b 3 Q 7 L C Z x d W 9 0 O 1 N l Y 3 R p b 2 4 x L 0 R l b G l 2 Z X J p Z X M v Q X V 0 b 1 J l b W 9 2 Z W R D b 2 x 1 b W 5 z M S 5 7 Q 2 9 s d W 1 u M T M s M T J 9 J n F 1 b 3 Q 7 L C Z x d W 9 0 O 1 N l Y 3 R p b 2 4 x L 0 R l b G l 2 Z X J p Z X M v Q X V 0 b 1 J l b W 9 2 Z W R D b 2 x 1 b W 5 z M S 5 7 Q 2 9 s d W 1 u M T Q s M T N 9 J n F 1 b 3 Q 7 L C Z x d W 9 0 O 1 N l Y 3 R p b 2 4 x L 0 R l b G l 2 Z X J p Z X M v Q X V 0 b 1 J l b W 9 2 Z W R D b 2 x 1 b W 5 z M S 5 7 Q 2 9 s d W 1 u M T U s M T R 9 J n F 1 b 3 Q 7 L C Z x d W 9 0 O 1 N l Y 3 R p b 2 4 x L 0 R l b G l 2 Z X J p Z X M v Q X V 0 b 1 J l b W 9 2 Z W R D b 2 x 1 b W 5 z M S 5 7 Q 2 9 s d W 1 u M T Y s M T V 9 J n F 1 b 3 Q 7 L C Z x d W 9 0 O 1 N l Y 3 R p b 2 4 x L 0 R l b G l 2 Z X J p Z X M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Z W x p d m V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2 Z X J p Z X M v R G V s a X Z l c m l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b G l 2 Z X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s a X Z l c m l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S A m w 2 u 4 J z T r + x M S m l 9 z j r A A A A A A I A A A A A A B B m A A A A A Q A A I A A A A O e K y A c i q Y m Y d e t o x + n 9 m 5 E i C k s i i 3 m b k I B h E N o H 8 O N h A A A A A A 6 A A A A A A g A A I A A A A N x h 1 l L f t P r H W x 1 t b M T k s T x e F w d H 4 2 u R A Z c x 2 W e p g c i M U A A A A L C 9 A v E D b r m 5 v f h O W j 2 f d a v N p 3 E M 3 6 S E U f h W K o a v a h o r r B e 7 R j j B b L Y W b N / 4 G K I X V N t h X X v H C G p v o 5 k 6 K C s t Q n N t a W t 6 V M u w 3 g 5 I f c B O X c p m Q A A A A C I S w c X t a A q N m 6 3 X i b S C l N 1 J 7 Q W I x e c V I 7 M e W B M 0 y j o 5 a V 9 R l o i I Z p m 5 b 6 1 F 2 L i o u x 9 h 7 X w b 3 q v F + 4 G R J 5 Q K v S 8 = < / D a t a M a s h u p > 
</file>

<file path=customXml/itemProps1.xml><?xml version="1.0" encoding="utf-8"?>
<ds:datastoreItem xmlns:ds="http://schemas.openxmlformats.org/officeDocument/2006/customXml" ds:itemID="{C4DB58C4-4D03-4230-92FD-52700A760E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Drivers</vt:lpstr>
      <vt:lpstr>RAW INPUT---&gt;</vt:lpstr>
      <vt:lpstr>P&amp;L Input</vt:lpstr>
      <vt:lpstr>Balance Sheet Input</vt:lpstr>
      <vt:lpstr>WORKINGS---&gt;</vt:lpstr>
      <vt:lpstr>Income Statement items---&gt;</vt:lpstr>
      <vt:lpstr>Automotive---&gt;</vt:lpstr>
      <vt:lpstr>Deliveries</vt:lpstr>
      <vt:lpstr>Deliveries development</vt:lpstr>
      <vt:lpstr>Deliveries comparables</vt:lpstr>
      <vt:lpstr>Average Prices</vt:lpstr>
      <vt:lpstr>Revenue automotive</vt:lpstr>
      <vt:lpstr>GP% automotive</vt:lpstr>
      <vt:lpstr>GP automotive</vt:lpstr>
      <vt:lpstr>Cost of sales automotive</vt:lpstr>
      <vt:lpstr>Revenue &amp; GP automotive</vt:lpstr>
      <vt:lpstr>Energy and Others---&gt;</vt:lpstr>
      <vt:lpstr>Revenue Energy &amp; Other</vt:lpstr>
      <vt:lpstr>Gross Profit Energy &amp; Other</vt:lpstr>
      <vt:lpstr>Cost of sales Energy &amp; Other</vt:lpstr>
      <vt:lpstr>Operating expenses---&gt;</vt:lpstr>
      <vt:lpstr>Opex comparables</vt:lpstr>
      <vt:lpstr>Opex</vt:lpstr>
      <vt:lpstr>Balance Sheet---&gt;</vt:lpstr>
      <vt:lpstr>PP&amp;E---&gt;</vt:lpstr>
      <vt:lpstr>PP&amp;E</vt:lpstr>
      <vt:lpstr>PP&amp;E Comparables</vt:lpstr>
      <vt:lpstr>Working capital---&gt;</vt:lpstr>
      <vt:lpstr>Working capital</vt:lpstr>
      <vt:lpstr>W C development</vt:lpstr>
      <vt:lpstr>Financials---&gt;</vt:lpstr>
      <vt:lpstr>Financing</vt:lpstr>
      <vt:lpstr>WACC</vt:lpstr>
      <vt:lpstr>OUTPUT---&gt;</vt:lpstr>
      <vt:lpstr>P&amp;L</vt:lpstr>
      <vt:lpstr>Balance Sheet</vt:lpstr>
      <vt:lpstr>Cash Flow</vt:lpstr>
      <vt:lpstr>DCF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swagat dash</dc:creator>
  <cp:lastModifiedBy>Swagat Dash</cp:lastModifiedBy>
  <dcterms:created xsi:type="dcterms:W3CDTF">2015-06-05T18:17:20Z</dcterms:created>
  <dcterms:modified xsi:type="dcterms:W3CDTF">2024-04-20T05:24:31Z</dcterms:modified>
</cp:coreProperties>
</file>