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4.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codeName="ThisWorkbook" defaultThemeVersion="166925"/>
  <mc:AlternateContent xmlns:mc="http://schemas.openxmlformats.org/markup-compatibility/2006">
    <mc:Choice Requires="x15">
      <x15ac:absPath xmlns:x15ac="http://schemas.microsoft.com/office/spreadsheetml/2010/11/ac" url="https://d.docs.live.net/67d4ad9bfc0021f7/Desktop/Financial Planning/"/>
    </mc:Choice>
  </mc:AlternateContent>
  <xr:revisionPtr revIDLastSave="0" documentId="8_{37DB938A-E374-5444-9474-808A1674359E}" xr6:coauthVersionLast="47" xr6:coauthVersionMax="47" xr10:uidLastSave="{00000000-0000-0000-0000-000000000000}"/>
  <bookViews>
    <workbookView xWindow="-120" yWindow="-120" windowWidth="20730" windowHeight="11040" tabRatio="966" firstSheet="1" activeTab="2" xr2:uid="{DC9D42CA-0E8B-FB48-9CDE-EF42EBA423EE}"/>
  </bookViews>
  <sheets>
    <sheet name="Cover" sheetId="12" state="veryHidden" r:id="rId1"/>
    <sheet name="Family Details" sheetId="1" r:id="rId2"/>
    <sheet name="Report" sheetId="13" r:id="rId3"/>
    <sheet name="Working" sheetId="10" state="veryHidden" r:id="rId4"/>
    <sheet name="Comprehension" sheetId="16" state="veryHidden" r:id="rId5"/>
    <sheet name="Retirement" sheetId="5" state="veryHidden" r:id="rId6"/>
    <sheet name="Insurance" sheetId="6" state="veryHidden" r:id="rId7"/>
    <sheet name="Education" sheetId="7" state="veryHidden" r:id="rId8"/>
    <sheet name="Marriage" sheetId="8" state="veryHidden" r:id="rId9"/>
    <sheet name="Summary" sheetId="11" state="veryHidden" r:id="rId10"/>
  </sheet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0</definedName>
    <definedName name="_AtRisk_SimSetting_ReportsList" hidden="1">0</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1</definedName>
    <definedName name="_AtRisk_SimSetting_StdRecalcWithoutRiskStatic" hidden="1">0</definedName>
    <definedName name="_AtRisk_SimSetting_StdRecalcWithoutRiskStaticPercentile" hidden="1">0.5</definedName>
    <definedName name="_xlcn.WorksheetConnection_T9A2C161" hidden="1">#REF!</definedName>
    <definedName name="Age">OFFSET(Working!$B$32,0,0,COUNT(Working!$B$32:$B$75),1)</definedName>
    <definedName name="Corpus_value">OFFSET(Working!$D$32,0,0,COUNT(Working!$B$32:$B$75),1)</definedName>
    <definedName name="Flowers">#REF!</definedName>
    <definedName name="Fruits">#REF!</definedName>
    <definedName name="_xlnm.Print_Area" localSheetId="4">Comprehension!$A$1:$E$30</definedName>
    <definedName name="_xlnm.Print_Area" localSheetId="0">Cover!$A$1:$C$34</definedName>
    <definedName name="_xlnm.Print_Area" localSheetId="7">Education!$A$1:$E$40</definedName>
    <definedName name="_xlnm.Print_Area" localSheetId="1">'Family Details'!$A$1:$D$35</definedName>
    <definedName name="_xlnm.Print_Area" localSheetId="6">Insurance!$A$1:$E$30</definedName>
    <definedName name="_xlnm.Print_Area" localSheetId="8">Marriage!$A$1:$E$36</definedName>
    <definedName name="_xlnm.Print_Area" localSheetId="2">Report!$A:$L</definedName>
    <definedName name="_xlnm.Print_Area" localSheetId="5">Retirement!$A$1:$E$29</definedName>
    <definedName name="_xlnm.Print_Area" localSheetId="9">Summary!$A$1</definedName>
    <definedName name="_xlnm.Print_Area" localSheetId="3">Working!$A$1:$A$35</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123</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TRUE</definedName>
    <definedName name="RiskUseMultipleCPUs" hidden="1">TRUE</definedName>
    <definedName name="validation">OFFSET(#REF!,,,COUNTIF(#REF!,"?*"))</definedName>
    <definedName name="Yearly_Expense">OFFSET(Working!$C$32,0,0,COUNT(Working!$B$32:$B$75),1)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35" i="13" l="1"/>
  <c r="E40" i="11"/>
  <c r="C104" i="13"/>
  <c r="D104" i="13"/>
  <c r="B104" i="13"/>
  <c r="B32" i="10"/>
  <c r="B195" i="13"/>
  <c r="B39" i="13"/>
  <c r="F36" i="13"/>
  <c r="F37" i="13"/>
  <c r="C36" i="13"/>
  <c r="C37" i="13"/>
  <c r="C35" i="13"/>
  <c r="F23" i="13"/>
  <c r="F25" i="13"/>
  <c r="F26" i="13"/>
  <c r="F28" i="13"/>
  <c r="F29" i="13"/>
  <c r="F31" i="13"/>
  <c r="F32" i="13"/>
  <c r="F22" i="13"/>
  <c r="F19" i="13"/>
  <c r="F18" i="13"/>
  <c r="F15" i="13"/>
  <c r="F14" i="13"/>
  <c r="F13" i="13"/>
  <c r="F12" i="13"/>
  <c r="F11" i="13"/>
  <c r="C34" i="13"/>
  <c r="C13" i="13"/>
  <c r="C32" i="13"/>
  <c r="C28" i="13"/>
  <c r="C29" i="13"/>
  <c r="C31" i="13"/>
  <c r="C23" i="13"/>
  <c r="C25" i="13"/>
  <c r="C26" i="13"/>
  <c r="C22" i="13"/>
  <c r="C12" i="13"/>
  <c r="C14" i="13"/>
  <c r="C15" i="13"/>
  <c r="C18" i="13"/>
  <c r="C19" i="13"/>
  <c r="C11" i="13"/>
  <c r="B1" i="13"/>
  <c r="G68" i="5"/>
  <c r="C2" i="13"/>
  <c r="B1" i="10"/>
  <c r="A33" i="10"/>
  <c r="A34" i="10"/>
  <c r="A35" i="10"/>
  <c r="A36" i="10"/>
  <c r="A37" i="10"/>
  <c r="A38" i="10"/>
  <c r="A39" i="10"/>
  <c r="A40" i="10"/>
  <c r="A41" i="10"/>
  <c r="A42" i="10"/>
  <c r="A43" i="10"/>
  <c r="A44" i="10"/>
  <c r="A45" i="10"/>
  <c r="A46" i="10"/>
  <c r="A47" i="10"/>
  <c r="A48" i="10"/>
  <c r="A49" i="10"/>
  <c r="A50" i="10"/>
  <c r="A51" i="10"/>
  <c r="A52" i="10"/>
  <c r="A53" i="10"/>
  <c r="A54" i="10"/>
  <c r="F140" i="13"/>
  <c r="F141" i="13"/>
  <c r="F142" i="13"/>
  <c r="F143" i="13"/>
  <c r="F144" i="13"/>
  <c r="F145" i="13"/>
  <c r="B251" i="13"/>
  <c r="D256" i="13"/>
  <c r="B13" i="10"/>
  <c r="B12" i="10"/>
  <c r="B11" i="10"/>
  <c r="B10" i="10"/>
  <c r="G37" i="5"/>
  <c r="C32" i="10"/>
  <c r="B148" i="13"/>
  <c r="B94" i="13"/>
  <c r="D25" i="10"/>
  <c r="D26" i="10"/>
  <c r="F106" i="13"/>
  <c r="F107" i="13"/>
  <c r="F108" i="13"/>
  <c r="F109" i="13"/>
  <c r="F110" i="13"/>
  <c r="F111" i="13"/>
  <c r="F112" i="13"/>
  <c r="F113" i="13"/>
  <c r="F114" i="13"/>
  <c r="F105" i="13"/>
  <c r="H104" i="13"/>
  <c r="J104" i="13"/>
  <c r="F104" i="13"/>
  <c r="C48" i="13"/>
  <c r="C45" i="13"/>
  <c r="B20" i="10"/>
  <c r="B209" i="13"/>
  <c r="B19" i="10"/>
  <c r="B208" i="13"/>
  <c r="B18" i="10"/>
  <c r="B207" i="13"/>
  <c r="B17" i="10"/>
  <c r="B206" i="13"/>
  <c r="C203" i="13"/>
  <c r="C201" i="13"/>
  <c r="C202" i="13"/>
  <c r="C200" i="13"/>
  <c r="I173" i="13"/>
  <c r="I169" i="13"/>
  <c r="I165" i="13"/>
  <c r="I161" i="13"/>
  <c r="B173" i="13"/>
  <c r="B169" i="13"/>
  <c r="B165" i="13"/>
  <c r="B161" i="13"/>
  <c r="K158" i="13"/>
  <c r="K157" i="13"/>
  <c r="K156" i="13"/>
  <c r="K155" i="13"/>
  <c r="C158" i="13"/>
  <c r="C157" i="13"/>
  <c r="C156" i="13"/>
  <c r="C155" i="13"/>
  <c r="E260" i="13"/>
  <c r="D260" i="13"/>
  <c r="C260" i="13"/>
  <c r="B260" i="13"/>
  <c r="F49" i="11"/>
  <c r="A55" i="10"/>
  <c r="B214" i="13"/>
  <c r="C105" i="13"/>
  <c r="B213" i="13"/>
  <c r="B215" i="13"/>
  <c r="B212" i="13"/>
  <c r="B33" i="10"/>
  <c r="D27" i="10"/>
  <c r="B261" i="13"/>
  <c r="B263" i="13"/>
  <c r="B264" i="13"/>
  <c r="B265" i="13"/>
  <c r="B268" i="13"/>
  <c r="B269" i="13"/>
  <c r="B270" i="13"/>
  <c r="B273" i="13"/>
  <c r="B274" i="13"/>
  <c r="B275" i="13"/>
  <c r="B278" i="13"/>
  <c r="B279" i="13"/>
  <c r="B280" i="13"/>
  <c r="D29" i="16"/>
  <c r="E55" i="11"/>
  <c r="H3" i="6"/>
  <c r="B106" i="13"/>
  <c r="C33" i="10"/>
  <c r="C106" i="13"/>
  <c r="A56" i="10"/>
  <c r="B34" i="10"/>
  <c r="L12" i="8"/>
  <c r="G12" i="8"/>
  <c r="L9" i="8"/>
  <c r="G9" i="8"/>
  <c r="G19" i="7"/>
  <c r="L28" i="7"/>
  <c r="J28" i="7"/>
  <c r="G28" i="7"/>
  <c r="L25" i="7"/>
  <c r="J25" i="7"/>
  <c r="G25" i="7"/>
  <c r="L13" i="7"/>
  <c r="J13" i="7"/>
  <c r="G13" i="7"/>
  <c r="L10" i="7"/>
  <c r="J10" i="7"/>
  <c r="G10" i="7"/>
  <c r="M31" i="11"/>
  <c r="E31" i="11"/>
  <c r="N40" i="11"/>
  <c r="L40" i="11"/>
  <c r="J40" i="11"/>
  <c r="B42" i="11"/>
  <c r="B10" i="6"/>
  <c r="B48" i="11"/>
  <c r="B17" i="6"/>
  <c r="G279" i="13"/>
  <c r="E22" i="11"/>
  <c r="E16" i="11"/>
  <c r="B31" i="12"/>
  <c r="B30" i="12"/>
  <c r="B29" i="12"/>
  <c r="B8" i="12"/>
  <c r="B7" i="12"/>
  <c r="B6" i="12"/>
  <c r="R7" i="11"/>
  <c r="K7" i="11"/>
  <c r="H9" i="11"/>
  <c r="C34" i="10"/>
  <c r="B107" i="13"/>
  <c r="A57" i="10"/>
  <c r="B35" i="10"/>
  <c r="D17" i="16"/>
  <c r="K9" i="8"/>
  <c r="D16" i="16"/>
  <c r="K25" i="7"/>
  <c r="M25" i="7"/>
  <c r="D15" i="16"/>
  <c r="K10" i="7"/>
  <c r="M10" i="7"/>
  <c r="D21" i="16"/>
  <c r="K12" i="8"/>
  <c r="K13" i="7"/>
  <c r="M13" i="7"/>
  <c r="D19" i="16"/>
  <c r="D20" i="16"/>
  <c r="K28" i="7"/>
  <c r="D8" i="16"/>
  <c r="K19" i="7"/>
  <c r="K162" i="13"/>
  <c r="I7" i="11"/>
  <c r="B108" i="13"/>
  <c r="C35" i="10"/>
  <c r="C107" i="13"/>
  <c r="A58" i="10"/>
  <c r="B36" i="10"/>
  <c r="K171" i="13"/>
  <c r="E16" i="16"/>
  <c r="C171" i="13"/>
  <c r="E15" i="16"/>
  <c r="C19" i="10"/>
  <c r="C208" i="13"/>
  <c r="C17" i="16"/>
  <c r="C275" i="13"/>
  <c r="D275" i="13"/>
  <c r="K170" i="13"/>
  <c r="C16" i="16"/>
  <c r="C170" i="13"/>
  <c r="C15" i="16"/>
  <c r="M9" i="8"/>
  <c r="D19" i="10"/>
  <c r="C214" i="13"/>
  <c r="M19" i="7"/>
  <c r="C175" i="13"/>
  <c r="E19" i="16"/>
  <c r="C20" i="10"/>
  <c r="C21" i="16"/>
  <c r="C280" i="13"/>
  <c r="D280" i="13"/>
  <c r="K174" i="13"/>
  <c r="C20" i="16"/>
  <c r="M28" i="7"/>
  <c r="C174" i="13"/>
  <c r="C19" i="16"/>
  <c r="M12" i="8"/>
  <c r="C8" i="16"/>
  <c r="B54" i="11"/>
  <c r="B23" i="6"/>
  <c r="G292" i="13"/>
  <c r="L6" i="8"/>
  <c r="G6" i="8"/>
  <c r="L3" i="8"/>
  <c r="G3" i="8"/>
  <c r="G22" i="7"/>
  <c r="L22" i="7"/>
  <c r="K25" i="11"/>
  <c r="J22" i="7"/>
  <c r="L19" i="7"/>
  <c r="K34" i="11"/>
  <c r="J19" i="7"/>
  <c r="M22" i="11"/>
  <c r="G7" i="7"/>
  <c r="L7" i="7"/>
  <c r="K19" i="11"/>
  <c r="J7" i="7"/>
  <c r="M16" i="11"/>
  <c r="L4" i="7"/>
  <c r="J4" i="7"/>
  <c r="G4" i="7"/>
  <c r="G3" i="6"/>
  <c r="G5" i="6"/>
  <c r="H3" i="5"/>
  <c r="G3" i="5"/>
  <c r="G28" i="5"/>
  <c r="G29" i="5"/>
  <c r="G30" i="5"/>
  <c r="G31" i="5"/>
  <c r="G32" i="5"/>
  <c r="G33" i="5"/>
  <c r="G34" i="5"/>
  <c r="G35" i="5"/>
  <c r="G36" i="5"/>
  <c r="G38" i="5"/>
  <c r="G22" i="5"/>
  <c r="E274" i="13"/>
  <c r="D12" i="10"/>
  <c r="E278" i="13"/>
  <c r="C13" i="10"/>
  <c r="K163" i="13"/>
  <c r="G34" i="11"/>
  <c r="E273" i="13"/>
  <c r="C12" i="10"/>
  <c r="B109" i="13"/>
  <c r="C36" i="10"/>
  <c r="C108" i="13"/>
  <c r="A59" i="10"/>
  <c r="B37" i="10"/>
  <c r="G6" i="5"/>
  <c r="K12" i="5"/>
  <c r="C274" i="13"/>
  <c r="D274" i="13"/>
  <c r="C278" i="13"/>
  <c r="D278" i="13"/>
  <c r="C264" i="13"/>
  <c r="D264" i="13"/>
  <c r="C279" i="13"/>
  <c r="D279" i="13"/>
  <c r="C273" i="13"/>
  <c r="D273" i="13"/>
  <c r="G39" i="5"/>
  <c r="F115" i="13"/>
  <c r="K22" i="7"/>
  <c r="D12" i="16"/>
  <c r="D11" i="16"/>
  <c r="K7" i="7"/>
  <c r="K16" i="11"/>
  <c r="K6" i="8"/>
  <c r="M6" i="8"/>
  <c r="D13" i="16"/>
  <c r="D5" i="16"/>
  <c r="D20" i="10"/>
  <c r="C215" i="13"/>
  <c r="E21" i="16"/>
  <c r="E280" i="13"/>
  <c r="E17" i="16"/>
  <c r="E275" i="13"/>
  <c r="K175" i="13"/>
  <c r="E20" i="16"/>
  <c r="C209" i="13"/>
  <c r="K4" i="7"/>
  <c r="D7" i="16"/>
  <c r="K3" i="8"/>
  <c r="C17" i="10"/>
  <c r="C206" i="13"/>
  <c r="D9" i="16"/>
  <c r="D27" i="16"/>
  <c r="H40" i="11"/>
  <c r="N7" i="11"/>
  <c r="J24" i="5"/>
  <c r="I22" i="5"/>
  <c r="E276" i="13"/>
  <c r="E279" i="13"/>
  <c r="E281" i="13"/>
  <c r="D13" i="10"/>
  <c r="B110" i="13"/>
  <c r="C37" i="10"/>
  <c r="C109" i="13"/>
  <c r="A60" i="10"/>
  <c r="B38" i="10"/>
  <c r="C281" i="13"/>
  <c r="I28" i="5"/>
  <c r="F7" i="11"/>
  <c r="C5" i="16"/>
  <c r="C276" i="13"/>
  <c r="H16" i="5"/>
  <c r="G40" i="5"/>
  <c r="F116" i="13"/>
  <c r="C166" i="13"/>
  <c r="C11" i="16"/>
  <c r="K166" i="13"/>
  <c r="C12" i="16"/>
  <c r="C26" i="10"/>
  <c r="D18" i="10"/>
  <c r="C213" i="13"/>
  <c r="E13" i="16"/>
  <c r="E270" i="13"/>
  <c r="C18" i="10"/>
  <c r="C207" i="13"/>
  <c r="C13" i="16"/>
  <c r="C270" i="13"/>
  <c r="D270" i="13"/>
  <c r="M7" i="7"/>
  <c r="M22" i="7"/>
  <c r="I34" i="11"/>
  <c r="C162" i="13"/>
  <c r="C25" i="10"/>
  <c r="M4" i="7"/>
  <c r="C163" i="13"/>
  <c r="M3" i="8"/>
  <c r="D17" i="10"/>
  <c r="C212" i="13"/>
  <c r="C261" i="13"/>
  <c r="D261" i="13"/>
  <c r="C9" i="16"/>
  <c r="C265" i="13"/>
  <c r="D265" i="13"/>
  <c r="C7" i="16"/>
  <c r="H16" i="11"/>
  <c r="B15" i="11"/>
  <c r="B5" i="7"/>
  <c r="H31" i="11"/>
  <c r="B39" i="11"/>
  <c r="B6" i="6"/>
  <c r="G263" i="13"/>
  <c r="K31" i="11"/>
  <c r="K22" i="11"/>
  <c r="H22" i="11"/>
  <c r="H28" i="5"/>
  <c r="P7" i="11"/>
  <c r="K22" i="5"/>
  <c r="L22" i="5"/>
  <c r="K16" i="5"/>
  <c r="L16" i="5"/>
  <c r="B111" i="13"/>
  <c r="D38" i="10"/>
  <c r="D111" i="13"/>
  <c r="D32" i="10"/>
  <c r="D33" i="10"/>
  <c r="D106" i="13"/>
  <c r="D34" i="10"/>
  <c r="D107" i="13"/>
  <c r="D35" i="10"/>
  <c r="D108" i="13"/>
  <c r="D36" i="10"/>
  <c r="D109" i="13"/>
  <c r="C38" i="10"/>
  <c r="C110" i="13"/>
  <c r="D37" i="10"/>
  <c r="D110" i="13"/>
  <c r="A61" i="10"/>
  <c r="B39" i="10"/>
  <c r="B6" i="11"/>
  <c r="B53" i="13"/>
  <c r="C269" i="13"/>
  <c r="D269" i="13"/>
  <c r="C263" i="13"/>
  <c r="C268" i="13"/>
  <c r="D268" i="13"/>
  <c r="E5" i="16"/>
  <c r="E261" i="13"/>
  <c r="E24" i="16"/>
  <c r="C27" i="10"/>
  <c r="C21" i="10"/>
  <c r="D208" i="13"/>
  <c r="D21" i="10"/>
  <c r="D213" i="13"/>
  <c r="G41" i="5"/>
  <c r="F117" i="13"/>
  <c r="K167" i="13"/>
  <c r="E12" i="16"/>
  <c r="E26" i="10"/>
  <c r="C167" i="13"/>
  <c r="E11" i="16"/>
  <c r="E25" i="10"/>
  <c r="H29" i="5"/>
  <c r="H105" i="13"/>
  <c r="E8" i="16"/>
  <c r="D10" i="10"/>
  <c r="E9" i="16"/>
  <c r="E7" i="16"/>
  <c r="C10" i="10"/>
  <c r="B30" i="11"/>
  <c r="B4" i="8"/>
  <c r="J28" i="5"/>
  <c r="B21" i="11"/>
  <c r="B17" i="7"/>
  <c r="I25" i="11"/>
  <c r="G25" i="11"/>
  <c r="G19" i="11"/>
  <c r="I19" i="11"/>
  <c r="F9" i="11"/>
  <c r="B8" i="11"/>
  <c r="B13" i="5"/>
  <c r="C266" i="13"/>
  <c r="D263" i="13"/>
  <c r="E269" i="13"/>
  <c r="D11" i="10"/>
  <c r="E268" i="13"/>
  <c r="C11" i="10"/>
  <c r="C39" i="10"/>
  <c r="C111" i="13"/>
  <c r="D39" i="10"/>
  <c r="D112" i="13"/>
  <c r="B112" i="13"/>
  <c r="A62" i="10"/>
  <c r="B40" i="10"/>
  <c r="D105" i="13"/>
  <c r="C271" i="13"/>
  <c r="B5" i="5"/>
  <c r="C4" i="10"/>
  <c r="B33" i="11"/>
  <c r="B10" i="8"/>
  <c r="H199" i="13"/>
  <c r="E27" i="10"/>
  <c r="G42" i="5"/>
  <c r="F118" i="13"/>
  <c r="I29" i="5"/>
  <c r="J105" i="13"/>
  <c r="H30" i="5"/>
  <c r="H106" i="13"/>
  <c r="E263" i="13"/>
  <c r="C5" i="10"/>
  <c r="E265" i="13"/>
  <c r="C7" i="10"/>
  <c r="E264" i="13"/>
  <c r="C6" i="10"/>
  <c r="E23" i="16"/>
  <c r="B24" i="11"/>
  <c r="B23" i="7"/>
  <c r="B18" i="11"/>
  <c r="B11" i="7"/>
  <c r="E271" i="13"/>
  <c r="D40" i="10"/>
  <c r="D113" i="13"/>
  <c r="B113" i="13"/>
  <c r="C40" i="10"/>
  <c r="C112" i="13"/>
  <c r="A63" i="10"/>
  <c r="B41" i="10"/>
  <c r="E266" i="13"/>
  <c r="G43" i="5"/>
  <c r="F119" i="13"/>
  <c r="H31" i="5"/>
  <c r="H107" i="13"/>
  <c r="J29" i="5"/>
  <c r="D6" i="10"/>
  <c r="E6" i="10"/>
  <c r="D5" i="10"/>
  <c r="E5" i="10"/>
  <c r="D4" i="10"/>
  <c r="E4" i="10"/>
  <c r="D7" i="10"/>
  <c r="E7" i="10"/>
  <c r="C41" i="10"/>
  <c r="C113" i="13"/>
  <c r="D41" i="10"/>
  <c r="D114" i="13"/>
  <c r="B114" i="13"/>
  <c r="A64" i="10"/>
  <c r="B42" i="10"/>
  <c r="G44" i="5"/>
  <c r="F120" i="13"/>
  <c r="I30" i="5"/>
  <c r="J106" i="13"/>
  <c r="H32" i="5"/>
  <c r="H108" i="13"/>
  <c r="B115" i="13"/>
  <c r="D42" i="10"/>
  <c r="D115" i="13"/>
  <c r="C42" i="10"/>
  <c r="C114" i="13"/>
  <c r="A65" i="10"/>
  <c r="B43" i="10"/>
  <c r="G45" i="5"/>
  <c r="F121" i="13"/>
  <c r="H33" i="5"/>
  <c r="H109" i="13"/>
  <c r="J30" i="5"/>
  <c r="B116" i="13"/>
  <c r="D43" i="10"/>
  <c r="D116" i="13"/>
  <c r="C43" i="10"/>
  <c r="C115" i="13"/>
  <c r="A66" i="10"/>
  <c r="B44" i="10"/>
  <c r="G46" i="5"/>
  <c r="F122" i="13"/>
  <c r="I31" i="5"/>
  <c r="J107" i="13"/>
  <c r="H34" i="5"/>
  <c r="H110" i="13"/>
  <c r="D44" i="10"/>
  <c r="D117" i="13"/>
  <c r="B117" i="13"/>
  <c r="C44" i="10"/>
  <c r="C116" i="13"/>
  <c r="A67" i="10"/>
  <c r="B45" i="10"/>
  <c r="G47" i="5"/>
  <c r="F123" i="13"/>
  <c r="H35" i="5"/>
  <c r="H111" i="13"/>
  <c r="J31" i="5"/>
  <c r="D45" i="10"/>
  <c r="D118" i="13"/>
  <c r="B118" i="13"/>
  <c r="C45" i="10"/>
  <c r="C117" i="13"/>
  <c r="A68" i="10"/>
  <c r="B46" i="10"/>
  <c r="G48" i="5"/>
  <c r="F124" i="13"/>
  <c r="I32" i="5"/>
  <c r="J108" i="13"/>
  <c r="H36" i="5"/>
  <c r="H112" i="13"/>
  <c r="D46" i="10"/>
  <c r="D119" i="13"/>
  <c r="B119" i="13"/>
  <c r="C46" i="10"/>
  <c r="C118" i="13"/>
  <c r="A69" i="10"/>
  <c r="B47" i="10"/>
  <c r="G49" i="5"/>
  <c r="F125" i="13"/>
  <c r="H37" i="5"/>
  <c r="H113" i="13"/>
  <c r="J32" i="5"/>
  <c r="B120" i="13"/>
  <c r="D47" i="10"/>
  <c r="D120" i="13"/>
  <c r="C47" i="10"/>
  <c r="C119" i="13"/>
  <c r="A70" i="10"/>
  <c r="B48" i="10"/>
  <c r="G50" i="5"/>
  <c r="F126" i="13"/>
  <c r="I33" i="5"/>
  <c r="J109" i="13"/>
  <c r="H38" i="5"/>
  <c r="H114" i="13"/>
  <c r="D48" i="10"/>
  <c r="D121" i="13"/>
  <c r="B121" i="13"/>
  <c r="C48" i="10"/>
  <c r="C120" i="13"/>
  <c r="A71" i="10"/>
  <c r="B49" i="10"/>
  <c r="G51" i="5"/>
  <c r="F127" i="13"/>
  <c r="H39" i="5"/>
  <c r="H115" i="13"/>
  <c r="J33" i="5"/>
  <c r="B122" i="13"/>
  <c r="D49" i="10"/>
  <c r="D122" i="13"/>
  <c r="C49" i="10"/>
  <c r="C121" i="13"/>
  <c r="A72" i="10"/>
  <c r="B50" i="10"/>
  <c r="G52" i="5"/>
  <c r="F128" i="13"/>
  <c r="I34" i="5"/>
  <c r="J110" i="13"/>
  <c r="H40" i="5"/>
  <c r="H116" i="13"/>
  <c r="D50" i="10"/>
  <c r="D123" i="13"/>
  <c r="B123" i="13"/>
  <c r="C50" i="10"/>
  <c r="C122" i="13"/>
  <c r="A73" i="10"/>
  <c r="B51" i="10"/>
  <c r="G53" i="5"/>
  <c r="F129" i="13"/>
  <c r="H41" i="5"/>
  <c r="H117" i="13"/>
  <c r="J34" i="5"/>
  <c r="B124" i="13"/>
  <c r="D51" i="10"/>
  <c r="D124" i="13"/>
  <c r="C51" i="10"/>
  <c r="C123" i="13"/>
  <c r="A74" i="10"/>
  <c r="B52" i="10"/>
  <c r="G54" i="5"/>
  <c r="F130" i="13"/>
  <c r="I35" i="5"/>
  <c r="J111" i="13"/>
  <c r="H42" i="5"/>
  <c r="H118" i="13"/>
  <c r="D52" i="10"/>
  <c r="D125" i="13"/>
  <c r="B125" i="13"/>
  <c r="C52" i="10"/>
  <c r="C124" i="13"/>
  <c r="A75" i="10"/>
  <c r="B53" i="10"/>
  <c r="G55" i="5"/>
  <c r="F131" i="13"/>
  <c r="H43" i="5"/>
  <c r="H119" i="13"/>
  <c r="J35" i="5"/>
  <c r="D53" i="10"/>
  <c r="D126" i="13"/>
  <c r="B126" i="13"/>
  <c r="C53" i="10"/>
  <c r="C125" i="13"/>
  <c r="B54" i="10"/>
  <c r="G56" i="5"/>
  <c r="F132" i="13"/>
  <c r="I36" i="5"/>
  <c r="J112" i="13"/>
  <c r="H44" i="5"/>
  <c r="H120" i="13"/>
  <c r="C54" i="10"/>
  <c r="C126" i="13"/>
  <c r="B127" i="13"/>
  <c r="D54" i="10"/>
  <c r="D127" i="13"/>
  <c r="B55" i="10"/>
  <c r="G57" i="5"/>
  <c r="F133" i="13"/>
  <c r="H45" i="5"/>
  <c r="H121" i="13"/>
  <c r="J36" i="5"/>
  <c r="D55" i="10"/>
  <c r="D128" i="13"/>
  <c r="B128" i="13"/>
  <c r="C55" i="10"/>
  <c r="C127" i="13"/>
  <c r="B56" i="10"/>
  <c r="B129" i="13"/>
  <c r="G58" i="5"/>
  <c r="F134" i="13"/>
  <c r="I37" i="5"/>
  <c r="J113" i="13"/>
  <c r="H46" i="5"/>
  <c r="H122" i="13"/>
  <c r="C56" i="10"/>
  <c r="C129" i="13"/>
  <c r="C128" i="13"/>
  <c r="D56" i="10"/>
  <c r="D129" i="13"/>
  <c r="B57" i="10"/>
  <c r="B130" i="13"/>
  <c r="G59" i="5"/>
  <c r="F135" i="13"/>
  <c r="H47" i="5"/>
  <c r="H123" i="13"/>
  <c r="J37" i="5"/>
  <c r="D57" i="10"/>
  <c r="D130" i="13"/>
  <c r="C57" i="10"/>
  <c r="C130" i="13"/>
  <c r="B58" i="10"/>
  <c r="B131" i="13"/>
  <c r="G60" i="5"/>
  <c r="F136" i="13"/>
  <c r="I38" i="5"/>
  <c r="J114" i="13"/>
  <c r="H48" i="5"/>
  <c r="H124" i="13"/>
  <c r="D58" i="10"/>
  <c r="D131" i="13"/>
  <c r="C58" i="10"/>
  <c r="C131" i="13"/>
  <c r="B59" i="10"/>
  <c r="B132" i="13"/>
  <c r="G61" i="5"/>
  <c r="F137" i="13"/>
  <c r="H49" i="5"/>
  <c r="H125" i="13"/>
  <c r="J38" i="5"/>
  <c r="C59" i="10"/>
  <c r="C132" i="13"/>
  <c r="D59" i="10"/>
  <c r="D132" i="13"/>
  <c r="B60" i="10"/>
  <c r="B133" i="13"/>
  <c r="G62" i="5"/>
  <c r="F138" i="13"/>
  <c r="I39" i="5"/>
  <c r="J115" i="13"/>
  <c r="H50" i="5"/>
  <c r="H126" i="13"/>
  <c r="D60" i="10"/>
  <c r="D133" i="13"/>
  <c r="C60" i="10"/>
  <c r="C133" i="13"/>
  <c r="B61" i="10"/>
  <c r="B134" i="13"/>
  <c r="G63" i="5"/>
  <c r="F139" i="13"/>
  <c r="H51" i="5"/>
  <c r="H127" i="13"/>
  <c r="J39" i="5"/>
  <c r="C61" i="10"/>
  <c r="C134" i="13"/>
  <c r="D61" i="10"/>
  <c r="D134" i="13"/>
  <c r="B62" i="10"/>
  <c r="B135" i="13"/>
  <c r="G64" i="5"/>
  <c r="H52" i="5"/>
  <c r="H128" i="13"/>
  <c r="I40" i="5"/>
  <c r="J116" i="13"/>
  <c r="D62" i="10"/>
  <c r="D135" i="13"/>
  <c r="C62" i="10"/>
  <c r="C135" i="13"/>
  <c r="B63" i="10"/>
  <c r="B136" i="13"/>
  <c r="G65" i="5"/>
  <c r="G66" i="5"/>
  <c r="G67" i="5"/>
  <c r="J40" i="5"/>
  <c r="H53" i="5"/>
  <c r="H129" i="13"/>
  <c r="D63" i="10"/>
  <c r="D136" i="13"/>
  <c r="C63" i="10"/>
  <c r="C136" i="13"/>
  <c r="B64" i="10"/>
  <c r="B137" i="13"/>
  <c r="H54" i="5"/>
  <c r="H130" i="13"/>
  <c r="I41" i="5"/>
  <c r="J117" i="13"/>
  <c r="D64" i="10"/>
  <c r="D137" i="13"/>
  <c r="C64" i="10"/>
  <c r="C137" i="13"/>
  <c r="B65" i="10"/>
  <c r="B138" i="13"/>
  <c r="J41" i="5"/>
  <c r="H55" i="5"/>
  <c r="H131" i="13"/>
  <c r="B66" i="10"/>
  <c r="B139" i="13"/>
  <c r="C65" i="10"/>
  <c r="C138" i="13"/>
  <c r="D65" i="10"/>
  <c r="D138" i="13"/>
  <c r="H56" i="5"/>
  <c r="H132" i="13"/>
  <c r="I42" i="5"/>
  <c r="J118" i="13"/>
  <c r="B67" i="10"/>
  <c r="B140" i="13"/>
  <c r="C66" i="10"/>
  <c r="C139" i="13"/>
  <c r="D66" i="10"/>
  <c r="D139" i="13"/>
  <c r="J42" i="5"/>
  <c r="H57" i="5"/>
  <c r="H133" i="13"/>
  <c r="B68" i="10"/>
  <c r="C67" i="10"/>
  <c r="C140" i="13"/>
  <c r="D67" i="10"/>
  <c r="D140" i="13"/>
  <c r="H58" i="5"/>
  <c r="H134" i="13"/>
  <c r="I43" i="5"/>
  <c r="J119" i="13"/>
  <c r="B69" i="10"/>
  <c r="D68" i="10"/>
  <c r="C68" i="10"/>
  <c r="J43" i="5"/>
  <c r="H59" i="5"/>
  <c r="H135" i="13"/>
  <c r="B70" i="10"/>
  <c r="C69" i="10"/>
  <c r="D69" i="10"/>
  <c r="H60" i="5"/>
  <c r="H136" i="13"/>
  <c r="I44" i="5"/>
  <c r="J120" i="13"/>
  <c r="B71" i="10"/>
  <c r="C70" i="10"/>
  <c r="D70" i="10"/>
  <c r="J44" i="5"/>
  <c r="H61" i="5"/>
  <c r="H137" i="13"/>
  <c r="B72" i="10"/>
  <c r="C71" i="10"/>
  <c r="D71" i="10"/>
  <c r="H62" i="5"/>
  <c r="H138" i="13"/>
  <c r="I45" i="5"/>
  <c r="J121" i="13"/>
  <c r="B73" i="10"/>
  <c r="D72" i="10"/>
  <c r="C72" i="10"/>
  <c r="J45" i="5"/>
  <c r="H63" i="5"/>
  <c r="H140" i="13"/>
  <c r="H139" i="13"/>
  <c r="B74" i="10"/>
  <c r="C73" i="10"/>
  <c r="D73" i="10"/>
  <c r="H64" i="5"/>
  <c r="H141" i="13"/>
  <c r="I46" i="5"/>
  <c r="J122" i="13"/>
  <c r="B75" i="10"/>
  <c r="C74" i="10"/>
  <c r="D74" i="10"/>
  <c r="J46" i="5"/>
  <c r="H65" i="5"/>
  <c r="D75" i="10"/>
  <c r="C75" i="10"/>
  <c r="G32" i="10" a="1"/>
  <c r="G32" i="10"/>
  <c r="F32" i="10" a="1"/>
  <c r="F32" i="10"/>
  <c r="B105" i="13"/>
  <c r="H32" i="10" a="1"/>
  <c r="H32" i="10"/>
  <c r="H66" i="5"/>
  <c r="H142" i="13"/>
  <c r="I47" i="5"/>
  <c r="J123" i="13"/>
  <c r="H67" i="5"/>
  <c r="H143" i="13"/>
  <c r="J47" i="5"/>
  <c r="H144" i="13"/>
  <c r="H68" i="5"/>
  <c r="H145" i="13"/>
  <c r="I48" i="5"/>
  <c r="J124" i="13"/>
  <c r="J48" i="5"/>
  <c r="I49" i="5"/>
  <c r="J125" i="13"/>
  <c r="J49" i="5"/>
  <c r="I50" i="5"/>
  <c r="J126" i="13"/>
  <c r="J50" i="5"/>
  <c r="I51" i="5"/>
  <c r="J127" i="13"/>
  <c r="J51" i="5"/>
  <c r="I52" i="5"/>
  <c r="J128" i="13"/>
  <c r="J52" i="5"/>
  <c r="I53" i="5"/>
  <c r="J129" i="13"/>
  <c r="J53" i="5"/>
  <c r="I54" i="5"/>
  <c r="J130" i="13"/>
  <c r="J54" i="5"/>
  <c r="I55" i="5"/>
  <c r="J131" i="13"/>
  <c r="J55" i="5"/>
  <c r="I56" i="5"/>
  <c r="J132" i="13"/>
  <c r="J56" i="5"/>
  <c r="I57" i="5"/>
  <c r="J133" i="13"/>
  <c r="J57" i="5"/>
  <c r="I58" i="5"/>
  <c r="J134" i="13"/>
  <c r="J58" i="5"/>
  <c r="I59" i="5"/>
  <c r="J135" i="13"/>
  <c r="J59" i="5"/>
  <c r="I60" i="5"/>
  <c r="J136" i="13"/>
  <c r="J60" i="5"/>
  <c r="I61" i="5"/>
  <c r="J137" i="13"/>
  <c r="J61" i="5"/>
  <c r="I62" i="5"/>
  <c r="J138" i="13"/>
  <c r="J62" i="5"/>
  <c r="I63" i="5"/>
  <c r="J139" i="13"/>
  <c r="J63" i="5"/>
  <c r="J140" i="13"/>
  <c r="I64" i="5"/>
  <c r="J64" i="5"/>
  <c r="J141" i="13"/>
  <c r="I65" i="5"/>
  <c r="J65" i="5"/>
  <c r="I66" i="5"/>
  <c r="J142" i="13"/>
  <c r="J66" i="5"/>
  <c r="I67" i="5"/>
  <c r="J143" i="13"/>
  <c r="J67" i="5"/>
  <c r="I68" i="5"/>
  <c r="J144" i="13"/>
  <c r="J68" i="5"/>
  <c r="J145" i="1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<sst xmlns="http://schemas.openxmlformats.org/spreadsheetml/2006/main" count="400" uniqueCount="229">
  <si>
    <t>Name of Client</t>
  </si>
  <si>
    <t>Name of Spouse</t>
  </si>
  <si>
    <t>Age of the Client</t>
  </si>
  <si>
    <t>Age of the Client's spouse</t>
  </si>
  <si>
    <t>Mobile number of the Client</t>
  </si>
  <si>
    <t>Email ID of the Client</t>
  </si>
  <si>
    <t>Present Age</t>
  </si>
  <si>
    <t>Present Expenses (Annual)</t>
  </si>
  <si>
    <t>Inflation</t>
  </si>
  <si>
    <t>Retirement Age</t>
  </si>
  <si>
    <t>Post-Retirement Return</t>
  </si>
  <si>
    <t>Life Expentancy</t>
  </si>
  <si>
    <t>Retirement Corpus Required</t>
  </si>
  <si>
    <t>Find the Level SIP reqd. given the current investments</t>
  </si>
  <si>
    <t>LUMPSUM + SIP CALCULATOR</t>
  </si>
  <si>
    <t>Present Investment</t>
  </si>
  <si>
    <t>Shortfall @ Retirement</t>
  </si>
  <si>
    <t>Amount reqd at the end of Year 1</t>
  </si>
  <si>
    <t>Starting SIP Reqd growing y-o-y</t>
  </si>
  <si>
    <t>Find the Lumpsum Investment reqd. given the current Level SIP</t>
  </si>
  <si>
    <t>SIP + LUMPSUM CALCULATOR</t>
  </si>
  <si>
    <t>Present Level SIP</t>
  </si>
  <si>
    <t>SIP Corpus at Retirement</t>
  </si>
  <si>
    <t>Present One-time Investment Required TODAY</t>
  </si>
  <si>
    <t>Cash-Flow of Requirement and Corpus Depletion</t>
  </si>
  <si>
    <t>Corpus Balance after Withdrawal</t>
  </si>
  <si>
    <t>Number of Withdrawals</t>
  </si>
  <si>
    <t xml:space="preserve">RETIREMENT CORPUS CALCULATOR </t>
  </si>
  <si>
    <t>Pre-retirement Inflation</t>
  </si>
  <si>
    <t>Post Retirement Inflation</t>
  </si>
  <si>
    <t>% of Pre-Retirement Lifestyle to be maintained</t>
  </si>
  <si>
    <t>Estate (At then value)</t>
  </si>
  <si>
    <t>Pre-Retirement Return (of present investments)</t>
  </si>
  <si>
    <t>Level SIP Strategy</t>
  </si>
  <si>
    <t>Growing/Top-up SIP Strategy</t>
  </si>
  <si>
    <t xml:space="preserve">Growth rate of SIP </t>
  </si>
  <si>
    <t>Pre-Retirement Return on SIP</t>
  </si>
  <si>
    <t>Pre-Retirement Return on Lumpsum Investments</t>
  </si>
  <si>
    <t>First Withdrawal at Retirement</t>
  </si>
  <si>
    <t>Observation Points</t>
  </si>
  <si>
    <t>B 48 TO 59</t>
  </si>
  <si>
    <t>Present Age of Dependent</t>
  </si>
  <si>
    <t>Claim Invested @ Return</t>
  </si>
  <si>
    <t>Sum Assured Required</t>
  </si>
  <si>
    <t>Age of Graduation</t>
  </si>
  <si>
    <t>Current Cost of Education</t>
  </si>
  <si>
    <t>Investment Return</t>
  </si>
  <si>
    <t>SIP Required</t>
  </si>
  <si>
    <t>Graduation</t>
  </si>
  <si>
    <t>Post-Graduation</t>
  </si>
  <si>
    <t>Child's Marriage Planning</t>
  </si>
  <si>
    <t>Child's Education Planning</t>
  </si>
  <si>
    <t>Retirement</t>
  </si>
  <si>
    <t>Target</t>
  </si>
  <si>
    <t>Financial Goals</t>
  </si>
  <si>
    <t>Time to Goal</t>
  </si>
  <si>
    <t>Total SIP Required</t>
  </si>
  <si>
    <t>Ways to Reduce Financial Risk</t>
  </si>
  <si>
    <t>Life Cover Required</t>
  </si>
  <si>
    <t>Health Cover</t>
  </si>
  <si>
    <t>Emergency Fund</t>
  </si>
  <si>
    <t>Goals and Investments</t>
  </si>
  <si>
    <t>Some Key Numbers</t>
  </si>
  <si>
    <t>Expected Marriage Cost</t>
  </si>
  <si>
    <t>Expected Cost of Graduation</t>
  </si>
  <si>
    <t>Expected Cost of Post Graduation</t>
  </si>
  <si>
    <t>Inflation: 5%, Post-retirement Return: 7%, Pre-retirement Return: 11%</t>
  </si>
  <si>
    <t>Assumptions Made</t>
  </si>
  <si>
    <t>Inflation: 10%, Investment Return: 11%, Current Cost: Rupees 500000</t>
  </si>
  <si>
    <t>Inflation: 5%, Investment Return: 11%, Current Cost: Rupees 1000000</t>
  </si>
  <si>
    <t>Education Inflation</t>
  </si>
  <si>
    <t>Are your Thoughts and Expectations different? How are you Financially-placed Today? Want to know how best to achieve Your Goals with lesser stress?</t>
  </si>
  <si>
    <t>SUM ASSURED CALCULATOR- Household Expense Coverage Method</t>
  </si>
  <si>
    <t>Retirement Planning</t>
  </si>
  <si>
    <t>Education Planning</t>
  </si>
  <si>
    <t>The current cost of graduation is considered as Rs. 5L. The future cost of Prateek’s graduation (B12 of Family Details sheet) is Rs 14.26 L (E4 of education sheet) and Aslia’s graduation (B12 of Family Details sheet) is Rs 22.97L (E7 of education sheet), considering an education inflation rate of 10%.
The monthly SIP that would be required for Prateek and Aslia’s graduation planning are Rs.5,740.66 (G4 of education sheet)  and Rs. 4,615 respectively (G7 of education sheet) in a growth oriented portfolio giving a return of 11%.
The current cost of post-graduation is considered as Rs. 10L. The future cost of Prateek’s post-graduation (B12 of Family Details sheet) is Rs 37.97 L (E13 of education sheet) and the future cost of Aslia’s post-graduation (B12 of Family Details sheet) is Rs 61.15L (E16 of education sheet), considering an education inflation rate of 10%.
The monthly SIP that would be required for Prateek and Aslia’s graduation planning are Rs.9,933 (G13 of education sheet)  and Rs. 8,455 respectively (G16 of education sheet) in a growth oriented portfolio giving a return of 11%.</t>
  </si>
  <si>
    <t>Marriage Planning</t>
  </si>
  <si>
    <t>The expected expenses of marriage if considered for today is considered at Rs. 10L. The future cost of Prateek’s marriage (B12 of Family Details sheet) is Rs 27.86 L (E3 of marriage sheet) and Aslia’s marriage (B12 of Family Details sheet) is Rs 35.56 (E6 of marriage sheet), considering an inflation rate of 5%.
The monthly SIP that would be required for Prateek and Aslia’s graduation planning are Rs.3,035 (G3 of marriage sheet)  and Rs. 2,187 respectively (G6 of marriage sheet) in a growth oriented portfolio giving a return of 11%.</t>
  </si>
  <si>
    <t>Ashwin needs have a life cover of Rs. 3.29 Cr (cell A5 of Insurance Sheet) which help provide for household expenses for Sumedha from her current age of 34 (A4 of Insurance Sheet) to her age of 85. The expenses are expected to grow with the inflation rate of 5% while the claim amount may be invested in a portfolio giving a return of 8%.
This calculation does not take into account other future financial goals such as higher education and marriage of children. This is based on the assumption that Sumedha is financially dependent on Ashwin.</t>
  </si>
  <si>
    <t>Health Insurance</t>
  </si>
  <si>
    <t>Ashwin and Sumedha should have a health insurance cover of Rs. 25 L for the family of 4. A floater policy with a cashless facility should be looked. This insurance cover should be in addition to any health cover that either of them may have from their employees.</t>
  </si>
  <si>
    <t>Emergency Funding</t>
  </si>
  <si>
    <t>An emergency fund of Rs. 12L (cell C21 of Comprehensive sheet), which is 12 times the monthly household expenses need to be created to take care of any exigencies, such loss of job, reduction in income, state of health leading to loss of income. This fund should ideally be in a liquid fund and should not be drawn from, except in any case of emergencies for which it was created.</t>
  </si>
  <si>
    <t>Ashwin and Sumedha would need to accumulate Rs. 7.73 Cr by Ashwin’s age of 60. This amount when invested in a 7% return portfolio will take care of 30 years of post-retirement household expenses. The current annual expenses of Rs. 12 L (Cell B3 of Retirement Sheet) will become Rs. 33.43 L (Cell D24 of Retirement Sheet) in the first year of retirement due to inflation and continue to grow by 5% through the years.
Ashwin and Sumedha need to start a SIP of Rs. 84,213 per month (Cell A6 of Retirement Sheet) in a growth oriented portfolio giving a return of 11% to achieve their retirement corpus, within a assumption that no investments are made towards retirement as yet.</t>
  </si>
  <si>
    <t xml:space="preserve"> and </t>
  </si>
  <si>
    <t xml:space="preserve"> would need to accumulate Rs. </t>
  </si>
  <si>
    <t xml:space="preserve"> Cr by </t>
  </si>
  <si>
    <t xml:space="preserve">’s age of </t>
  </si>
  <si>
    <t xml:space="preserve"> L will become Rs. </t>
  </si>
  <si>
    <t xml:space="preserve"> need to start a SIP of Rs. </t>
  </si>
  <si>
    <t xml:space="preserve"> per month in a growth oriented portfolio giving a return of </t>
  </si>
  <si>
    <t>% to achieve their retirement corpus, within a assumption that no investments are made towards retirement as yet.</t>
  </si>
  <si>
    <t xml:space="preserve">. This amount when invested in a </t>
  </si>
  <si>
    <t xml:space="preserve"> L in the first year of retirement due to inflation and continue to grow by </t>
  </si>
  <si>
    <t>% through the years.</t>
  </si>
  <si>
    <t>Text 1</t>
  </si>
  <si>
    <t>Text 2</t>
  </si>
  <si>
    <t>Text 3</t>
  </si>
  <si>
    <t>Text 4</t>
  </si>
  <si>
    <t>The monthly SIP that would be required for Prateek and Aslia’s graduation planning are Rs.5,740.66 (G4 of education sheet)  and Rs. 4,615 respectively (G7 of education sheet) in a growth oriented portfolio giving a return of 11%.</t>
  </si>
  <si>
    <t xml:space="preserve">The current cost of graduation is considered as Rs. </t>
  </si>
  <si>
    <t xml:space="preserve"> L. The future cost of </t>
  </si>
  <si>
    <t xml:space="preserve">’s graduation is Rs </t>
  </si>
  <si>
    <t>Goal Based Investment Plan</t>
  </si>
  <si>
    <t>Prepared for</t>
  </si>
  <si>
    <t>Prepared By</t>
  </si>
  <si>
    <t xml:space="preserve"> L and </t>
  </si>
  <si>
    <t>The current cost of graduation is considered as Rs. 5L. The future cost of Prateek’s graduation is Rs 14.26 L and Aslia’s graduation is Rs 22.97 L, considering an education inflation rate of 10%.</t>
  </si>
  <si>
    <t xml:space="preserve"> L, considering an education inflation rate of </t>
  </si>
  <si>
    <t xml:space="preserve">The monthly SIP that would be required for </t>
  </si>
  <si>
    <t>’s graduation planning are Rs.</t>
  </si>
  <si>
    <t xml:space="preserve"> and Rs. </t>
  </si>
  <si>
    <t xml:space="preserve"> respectively in a growth oriented portfolio giving a return of </t>
  </si>
  <si>
    <t xml:space="preserve"> %.</t>
  </si>
  <si>
    <t xml:space="preserve">The current cost of post-graduation is considered as Rs. </t>
  </si>
  <si>
    <t xml:space="preserve">’s post-graduation is Rs </t>
  </si>
  <si>
    <t xml:space="preserve"> L and the future cost of </t>
  </si>
  <si>
    <t>The current cost of post-graduation is considered as Rs. 10L. The future cost of Prateek’s post-graduation is Rs 37.97 L and the future cost of Aslia’s post-graduation is Rs 61.15L , considering an education inflation rate of 10%.</t>
  </si>
  <si>
    <t>The monthly SIP that would be required for Prateek and Aslia’s graduation planning are Rs.9,933 and Rs. 8,455 respectively in a growth oriented portfolio giving a return of 11%.</t>
  </si>
  <si>
    <t xml:space="preserve">The expected expenses of marriage if considered for today is considered at Rs. </t>
  </si>
  <si>
    <t xml:space="preserve">’s marriage is Rs </t>
  </si>
  <si>
    <t xml:space="preserve"> L, considering an inflation rate of </t>
  </si>
  <si>
    <t xml:space="preserve"> needs have a life cover of Rs. </t>
  </si>
  <si>
    <t xml:space="preserve"> from her current age of </t>
  </si>
  <si>
    <t xml:space="preserve"> to her age of </t>
  </si>
  <si>
    <t xml:space="preserve">. The expenses are expected to grow with the inflation rate of </t>
  </si>
  <si>
    <t xml:space="preserve"> % while the claim amount may be invested in a portfolio giving a return of </t>
  </si>
  <si>
    <t xml:space="preserve">This calculation does not take into account other future financial goals such as higher education and marriage of children. This is based on the assumption that </t>
  </si>
  <si>
    <t xml:space="preserve"> should have a health insurance cover of Rs. </t>
  </si>
  <si>
    <t xml:space="preserve">An emergency fund of Rs. </t>
  </si>
  <si>
    <t xml:space="preserve"> L, which is 12 times the monthly household expenses need to be created to take care of any exigencies, such loss of job, reduction in income, state of health leading to loss of income. This fund should ideally be in a liquid fund and should not be drawn from, except in any case of emergencies for which it was created.</t>
  </si>
  <si>
    <t xml:space="preserve"> is financially dependent on </t>
  </si>
  <si>
    <t>.</t>
  </si>
  <si>
    <t>Contingency Planning</t>
  </si>
  <si>
    <t>LIFE INSURANCE</t>
  </si>
  <si>
    <t>HEALTH INSURANCE</t>
  </si>
  <si>
    <t>EMERGENCY FUNDING</t>
  </si>
  <si>
    <t>Name of 1st child</t>
  </si>
  <si>
    <t>Name of 2nd child</t>
  </si>
  <si>
    <t>Age of the 1st child</t>
  </si>
  <si>
    <t>Age of the 2nd child</t>
  </si>
  <si>
    <t>Name of 3rd child</t>
  </si>
  <si>
    <t>Age of the 3rd child</t>
  </si>
  <si>
    <t>Name of 4th child</t>
  </si>
  <si>
    <t>Age of the 4th child</t>
  </si>
  <si>
    <t>Current Age of 1st Child</t>
  </si>
  <si>
    <t>Current Age of 2nd Child</t>
  </si>
  <si>
    <t>Current Age of 3rd Child</t>
  </si>
  <si>
    <t>Current Age of 4th Child</t>
  </si>
  <si>
    <t>1st Child's Graduation</t>
  </si>
  <si>
    <t>2nd Child's Post-Graduation</t>
  </si>
  <si>
    <t>1st Child's Post-Graduation</t>
  </si>
  <si>
    <t>2nd Child's Graduation</t>
  </si>
  <si>
    <t>3rd Child's Graduation</t>
  </si>
  <si>
    <t>3rd Child's Post-Graduation</t>
  </si>
  <si>
    <t>4th Child's Graduation</t>
  </si>
  <si>
    <t>4th Child's Post-Graduation</t>
  </si>
  <si>
    <t>1st Child's Marriage</t>
  </si>
  <si>
    <t>2nd Child's marriage</t>
  </si>
  <si>
    <t>3rd Child's Marriage</t>
  </si>
  <si>
    <t>4th Child's Marriage</t>
  </si>
  <si>
    <t>Inflation: 10%, Investment Return: 11%, Current Cost: Rupees 1000000</t>
  </si>
  <si>
    <t>PERSONAL DETAILS</t>
  </si>
  <si>
    <t>GOALS AND INVESTMENTS REQUIRED</t>
  </si>
  <si>
    <t>Children's Graduation</t>
  </si>
  <si>
    <t>Children's Post-Graduation</t>
  </si>
  <si>
    <t>Children's Marriage</t>
  </si>
  <si>
    <t>Corpus Balance 
(B-O-Y)</t>
  </si>
  <si>
    <t>Withdrawal Required 
(B-O-Y)</t>
  </si>
  <si>
    <t>Age Of Withdrawal 
(At end of each age)</t>
  </si>
  <si>
    <t>Age of Marriage</t>
  </si>
  <si>
    <t>Current Cost of Marriage</t>
  </si>
  <si>
    <t>RETIREMENT</t>
  </si>
  <si>
    <t>ASSUMPTIONS</t>
  </si>
  <si>
    <t xml:space="preserve"> Cr which will help provide for household expenses for </t>
  </si>
  <si>
    <t xml:space="preserve"> L for the family. A floater policy with a cashless facility should be looked. This insurance cover should be in addition to any health cover that either of them may have from their employees.</t>
  </si>
  <si>
    <t>CONTIGENCY PLANNING</t>
  </si>
  <si>
    <t>GRADUATION</t>
  </si>
  <si>
    <t>POST-GRADUATION</t>
  </si>
  <si>
    <t>Eduacation Inflation</t>
  </si>
  <si>
    <t>Expected Cost:</t>
  </si>
  <si>
    <t>CHILD'S EDUCATION PLANNING</t>
  </si>
  <si>
    <t>REQUIRED AMOUNT</t>
  </si>
  <si>
    <t>CHILD'S MARRIAGE PLANNING</t>
  </si>
  <si>
    <t>Expected Cost</t>
  </si>
  <si>
    <t>Post Graduation</t>
  </si>
  <si>
    <t>EXPECTED COST OF MARRIAGE</t>
  </si>
  <si>
    <t>No Investments are made towards retirement yet.</t>
  </si>
  <si>
    <t>Pre-Retirement Return</t>
  </si>
  <si>
    <t>Level SIP Reqd Starting Today</t>
  </si>
  <si>
    <t>CHILDERN</t>
  </si>
  <si>
    <t>% return portfolio will take care of 30 years of post-retirement household expenses.</t>
  </si>
  <si>
    <t xml:space="preserve">The current annual expenses of Rs. </t>
  </si>
  <si>
    <t>MARRIAGE</t>
  </si>
  <si>
    <t>Age</t>
  </si>
  <si>
    <t>Corpus value</t>
  </si>
  <si>
    <t>SIP Required for Children's Education</t>
  </si>
  <si>
    <t>Total Target Value</t>
  </si>
  <si>
    <t>GOAL BASED INVESTMENT PLAN</t>
  </si>
  <si>
    <t>DETAILS OF FAMILY MEMBERS</t>
  </si>
  <si>
    <t>SPOUSE DETAILS</t>
  </si>
  <si>
    <t>THANK YOU</t>
  </si>
  <si>
    <t>We would be glad to help you further and make your dreams come true</t>
  </si>
  <si>
    <t>SIP REQUIRED</t>
  </si>
  <si>
    <t>Total</t>
  </si>
  <si>
    <t>Present Monthly Expenses</t>
  </si>
  <si>
    <t xml:space="preserve">Today you are expected to start a SIP of </t>
  </si>
  <si>
    <t>Total Retirement Corpus Required</t>
  </si>
  <si>
    <t>Yearly Expense</t>
  </si>
  <si>
    <t>CASH FLOW OF REQUIREMENTS AND CORPUS CREATION PRE-RETIREMENT</t>
  </si>
  <si>
    <t>CASH-FLOW OF REQUIREMENT AND CORPUS DEPLETION POST RETIREMENT</t>
  </si>
  <si>
    <t>Increase in Expense and Corpus Pre-Retirement</t>
  </si>
  <si>
    <t>Total Expected Cost 
of Marriage</t>
  </si>
  <si>
    <t>akash@gmail.com</t>
  </si>
  <si>
    <t>Priyanka</t>
  </si>
  <si>
    <t>Sneha</t>
  </si>
  <si>
    <t>Amit</t>
  </si>
  <si>
    <t>Neekunj</t>
  </si>
  <si>
    <t>siddhimukim@gmail.com</t>
  </si>
  <si>
    <t>This is a preliminary financial report covering some basic, common goals and needs.</t>
  </si>
  <si>
    <t xml:space="preserve">We will be able to provide you with a comprehensive personal financial report with all your goals post a thorough financial health check up. </t>
  </si>
  <si>
    <t>CERTIFIED FINANCIAL GOAL PLANNER DETAILS</t>
  </si>
  <si>
    <t>Name</t>
  </si>
  <si>
    <t>Mobile Number</t>
  </si>
  <si>
    <t>Email ID</t>
  </si>
  <si>
    <t>Please let us know how we could 
support you at</t>
  </si>
  <si>
    <t>Akash Agarwal</t>
  </si>
  <si>
    <t>Reena</t>
  </si>
  <si>
    <t>Rakesh Agarwal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</si>
</sst>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5" formatCode="&quot;₹&quot;\ #,##0;&quot;₹&quot;\ \-#,##0"/>
    <numFmt numFmtId="6" formatCode="&quot;₹&quot;\ #,##0;[Red]&quot;₹&quot;\ \-#,##0"/>
    <numFmt numFmtId="8" formatCode="&quot;₹&quot;\ #,##0.00;[Red]&quot;₹&quot;\ \-#,##0.00"/>
    <numFmt numFmtId="164" formatCode="&quot;₹&quot;#,##0_);[Red]\(&quot;₹&quot;#,##0\)"/>
    <numFmt numFmtId="165" formatCode="&quot;₹&quot;#,##0.00_);[Red]\(&quot;₹&quot;#,##0.00\)"/>
    <numFmt numFmtId="166" formatCode="_(* #,##0.00_);_(* \(#,##0.00\);_(* &quot;-&quot;??_);_(@_)"/>
    <numFmt numFmtId="167" formatCode="#,##0;[Red]#,##0"/>
    <numFmt numFmtId="168" formatCode="&quot;$&quot;#,##0_);[Red]\(&quot;$&quot;#,##0\)"/>
    <numFmt numFmtId="169" formatCode="0\ &quot;years&quot;"/>
    <numFmt numFmtId="170" formatCode="&quot;₹&quot;#,##0_);\(&quot;₹&quot;#,##0\)"/>
  </numFmts>
  <fonts count="55" x14ac:knownFonts="1">
    <font>
      <sz val="12"/>
      <color theme="1"/>
      <name val="Calibri"/>
      <family val="2"/>
      <scheme val="minor"/>
    </font>
    <font>
      <sz val="11"/>
      <color theme="1"/>
      <name val="Calibri"/>
      <family val="2"/>
      <scheme val="minor"/>
    </font>
    <font>
      <sz val="12"/>
      <color theme="1"/>
      <name val="Calibri"/>
      <family val="2"/>
      <scheme val="minor"/>
    </font>
    <font>
      <sz val="18"/>
      <color theme="1"/>
      <name val="Calibri"/>
      <family val="2"/>
      <scheme val="minor"/>
    </font>
    <font>
      <sz val="18"/>
      <color rgb="FF000000"/>
      <name val="Calibri"/>
      <family val="2"/>
      <scheme val="minor"/>
    </font>
    <font>
      <sz val="16"/>
      <color theme="1"/>
      <name val="Calibri"/>
      <family val="2"/>
      <scheme val="minor"/>
    </font>
    <font>
      <b/>
      <sz val="16"/>
      <color theme="1"/>
      <name val="Calibri"/>
      <family val="2"/>
      <scheme val="minor"/>
    </font>
    <font>
      <b/>
      <sz val="18"/>
      <color theme="1"/>
      <name val="Calibri"/>
      <family val="2"/>
      <scheme val="minor"/>
    </font>
    <font>
      <sz val="18"/>
      <color rgb="FFFF0000"/>
      <name val="Calibri"/>
      <family val="2"/>
      <scheme val="minor"/>
    </font>
    <font>
      <b/>
      <sz val="24"/>
      <color theme="1"/>
      <name val="Calibri"/>
      <family val="2"/>
      <scheme val="minor"/>
    </font>
    <font>
      <b/>
      <sz val="12"/>
      <color theme="1"/>
      <name val="Calibri"/>
      <family val="2"/>
      <scheme val="minor"/>
    </font>
    <font>
      <b/>
      <sz val="20"/>
      <color rgb="FF002060"/>
      <name val="Calibri"/>
      <family val="2"/>
      <scheme val="minor"/>
    </font>
    <font>
      <sz val="12"/>
      <color rgb="FF002060"/>
      <name val="Calibri"/>
      <family val="2"/>
      <scheme val="minor"/>
    </font>
    <font>
      <b/>
      <sz val="28"/>
      <color rgb="FF002060"/>
      <name val="Calibri"/>
      <family val="2"/>
      <scheme val="minor"/>
    </font>
    <font>
      <sz val="14"/>
      <color rgb="FF002060"/>
      <name val="Calibri"/>
      <family val="2"/>
      <scheme val="minor"/>
    </font>
    <font>
      <sz val="16"/>
      <color rgb="FF002060"/>
      <name val="Calibri"/>
      <family val="2"/>
      <scheme val="minor"/>
    </font>
    <font>
      <b/>
      <sz val="16"/>
      <color rgb="FF002060"/>
      <name val="Calibri"/>
      <family val="2"/>
      <scheme val="minor"/>
    </font>
    <font>
      <sz val="20"/>
      <color rgb="FF002060"/>
      <name val="Calibri"/>
      <family val="2"/>
      <scheme val="minor"/>
    </font>
    <font>
      <b/>
      <sz val="24"/>
      <color rgb="FF002060"/>
      <name val="Calibri"/>
      <family val="2"/>
      <scheme val="minor"/>
    </font>
    <font>
      <sz val="18"/>
      <color rgb="FF002060"/>
      <name val="Calibri"/>
      <family val="2"/>
      <scheme val="minor"/>
    </font>
    <font>
      <b/>
      <sz val="18"/>
      <color rgb="FF002060"/>
      <name val="Calibri"/>
      <family val="2"/>
      <scheme val="minor"/>
    </font>
    <font>
      <sz val="12"/>
      <color theme="1"/>
      <name val="Tw Cen MT"/>
      <family val="2"/>
    </font>
    <font>
      <b/>
      <sz val="14"/>
      <color theme="0"/>
      <name val="Tw Cen MT"/>
      <family val="2"/>
    </font>
    <font>
      <b/>
      <sz val="22"/>
      <color theme="0"/>
      <name val="Tw Cen MT"/>
      <family val="2"/>
    </font>
    <font>
      <b/>
      <sz val="12"/>
      <color theme="1"/>
      <name val="Tw Cen MT"/>
      <family val="2"/>
    </font>
    <font>
      <b/>
      <sz val="14"/>
      <color theme="1"/>
      <name val="Tw Cen MT"/>
      <family val="2"/>
    </font>
    <font>
      <b/>
      <sz val="18"/>
      <color theme="1"/>
      <name val="Tw Cen MT"/>
      <family val="2"/>
    </font>
    <font>
      <u/>
      <sz val="11"/>
      <color theme="10"/>
      <name val="Calibri"/>
      <family val="2"/>
      <scheme val="minor"/>
    </font>
    <font>
      <sz val="14"/>
      <color theme="1"/>
      <name val="Tw Cen MT"/>
      <family val="2"/>
    </font>
    <font>
      <sz val="16"/>
      <color theme="1"/>
      <name val="Tw Cen MT"/>
      <family val="2"/>
    </font>
    <font>
      <b/>
      <sz val="16"/>
      <color theme="1"/>
      <name val="Tw Cen MT"/>
      <family val="2"/>
    </font>
    <font>
      <b/>
      <sz val="16"/>
      <color theme="0"/>
      <name val="Tw Cen MT"/>
      <family val="2"/>
    </font>
    <font>
      <sz val="18"/>
      <color theme="1"/>
      <name val="Tw Cen MT"/>
      <family val="2"/>
    </font>
    <font>
      <sz val="14"/>
      <color rgb="FFFF0000"/>
      <name val="Tw Cen MT"/>
      <family val="2"/>
    </font>
    <font>
      <b/>
      <sz val="28"/>
      <name val="Tw Cen MT"/>
      <family val="2"/>
    </font>
    <font>
      <b/>
      <sz val="20"/>
      <color theme="1"/>
      <name val="Tw Cen MT"/>
      <family val="2"/>
    </font>
    <font>
      <sz val="18"/>
      <color theme="0"/>
      <name val="Tw Cen MT"/>
      <family val="2"/>
    </font>
    <font>
      <b/>
      <sz val="36"/>
      <name val="Tw Cen MT"/>
      <family val="2"/>
    </font>
    <font>
      <b/>
      <sz val="48"/>
      <name val="Tw Cen MT"/>
      <family val="2"/>
    </font>
    <font>
      <sz val="22"/>
      <color theme="0"/>
      <name val="Tw Cen MT"/>
      <family val="2"/>
    </font>
    <font>
      <b/>
      <sz val="24"/>
      <color theme="0"/>
      <name val="Tw Cen MT"/>
      <family val="2"/>
    </font>
    <font>
      <sz val="20"/>
      <color theme="1"/>
      <name val="Tw Cen MT"/>
      <family val="2"/>
    </font>
    <font>
      <sz val="22"/>
      <color theme="1"/>
      <name val="Tw Cen MT"/>
      <family val="2"/>
    </font>
    <font>
      <sz val="24"/>
      <color theme="1"/>
      <name val="Tw Cen MT"/>
      <family val="2"/>
    </font>
    <font>
      <sz val="72"/>
      <color theme="1"/>
      <name val="Tw Cen MT"/>
      <family val="2"/>
    </font>
    <font>
      <b/>
      <sz val="26"/>
      <color theme="1"/>
      <name val="Tw Cen MT"/>
      <family val="2"/>
    </font>
    <font>
      <b/>
      <sz val="28"/>
      <color theme="0"/>
      <name val="Tw Cen MT"/>
      <family val="2"/>
    </font>
    <font>
      <i/>
      <sz val="18"/>
      <color theme="1"/>
      <name val="Tw Cen MT"/>
      <family val="2"/>
    </font>
    <font>
      <b/>
      <sz val="20"/>
      <color theme="0"/>
      <name val="Tw Cen MT"/>
      <family val="2"/>
    </font>
    <font>
      <sz val="20"/>
      <name val="Tw Cen MT"/>
      <family val="2"/>
    </font>
    <font>
      <sz val="26"/>
      <color theme="1"/>
      <name val="Tw Cen MT"/>
      <family val="2"/>
    </font>
    <font>
      <b/>
      <sz val="18"/>
      <color theme="0"/>
      <name val="Tw Cen MT"/>
      <family val="2"/>
    </font>
    <font>
      <b/>
      <sz val="26"/>
      <color theme="0"/>
      <name val="Tw Cen MT"/>
      <family val="2"/>
    </font>
    <font>
      <b/>
      <sz val="24"/>
      <color theme="1"/>
      <name val="Tw Cen MT"/>
      <family val="2"/>
    </font>
    <font>
      <u/>
      <sz val="12"/>
      <color theme="10"/>
      <name val="Calibri"/>
      <family val="2"/>
      <scheme val="minor"/>
    </font>
  </fonts>
  <fills count="19">
    <fill>
      <patternFill patternType="none"/>
    </fill>
    <fill>
      <patternFill patternType="gray125"/>
    </fill>
    <fill>
      <patternFill patternType="solid">
        <fgColor rgb="FF92D050"/>
        <bgColor indexed="64"/>
      </patternFill>
    </fill>
    <fill>
      <patternFill patternType="solid">
        <fgColor rgb="FFFFC000"/>
        <bgColor indexed="64"/>
      </patternFill>
    </fill>
    <fill>
      <patternFill patternType="solid">
        <fgColor rgb="FFFFFF00"/>
        <bgColor indexed="64"/>
      </patternFill>
    </fill>
    <fill>
      <patternFill patternType="solid">
        <fgColor theme="0"/>
        <bgColor indexed="64"/>
      </patternFill>
    </fill>
    <fill>
      <patternFill patternType="solid">
        <fgColor theme="8"/>
        <bgColor indexed="64"/>
      </patternFill>
    </fill>
    <fill>
      <patternFill patternType="solid">
        <fgColor rgb="FF00B0F0"/>
        <bgColor indexed="64"/>
      </patternFill>
    </fill>
    <fill>
      <patternFill patternType="solid">
        <fgColor rgb="FFFF0000"/>
        <bgColor indexed="64"/>
      </patternFill>
    </fill>
    <fill>
      <patternFill patternType="solid">
        <fgColor theme="9" tint="0.39997558519241921"/>
        <bgColor indexed="64"/>
      </patternFill>
    </fill>
    <fill>
      <patternFill patternType="solid">
        <fgColor rgb="FF00B050"/>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4" tint="-0.499984740745262"/>
        <bgColor indexed="64"/>
      </patternFill>
    </fill>
    <fill>
      <patternFill patternType="solid">
        <fgColor theme="5" tint="0.79998168889431442"/>
        <bgColor indexed="64"/>
      </patternFill>
    </fill>
    <fill>
      <patternFill patternType="solid">
        <fgColor theme="5" tint="-0.249977111117893"/>
        <bgColor indexed="64"/>
      </patternFill>
    </fill>
    <fill>
      <patternFill patternType="solid">
        <fgColor theme="7" tint="-0.249977111117893"/>
        <bgColor indexed="64"/>
      </patternFill>
    </fill>
    <fill>
      <patternFill patternType="solid">
        <fgColor theme="7" tint="0.59999389629810485"/>
        <bgColor indexed="64"/>
      </patternFill>
    </fill>
  </fills>
  <borders count="51">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thin">
        <color indexed="64"/>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bottom style="medium">
        <color indexed="64"/>
      </bottom>
      <diagonal/>
    </border>
    <border>
      <left/>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theme="0"/>
      </right>
      <top/>
      <bottom/>
      <diagonal/>
    </border>
  </borders>
  <cellStyleXfs count="6">
    <xf numFmtId="0" fontId="0" fillId="0" borderId="0"/>
    <xf numFmtId="166" fontId="2" fillId="0" borderId="0" applyFont="0" applyFill="0" applyBorder="0" applyAlignment="0" applyProtection="0"/>
    <xf numFmtId="9" fontId="2" fillId="0" borderId="0" applyFont="0" applyFill="0" applyBorder="0" applyAlignment="0" applyProtection="0"/>
    <xf numFmtId="0" fontId="1" fillId="0" borderId="0"/>
    <xf numFmtId="0" fontId="27" fillId="0" borderId="0" applyNumberFormat="0" applyFill="0" applyBorder="0" applyAlignment="0" applyProtection="0"/>
    <xf numFmtId="0" fontId="54" fillId="0" borderId="0" applyNumberFormat="0" applyFill="0" applyBorder="0" applyAlignment="0" applyProtection="0"/>
  </cellStyleXfs>
  <cellXfs count="455">
    <xf numFmtId="0" fontId="0" fillId="0" borderId="0" xfId="0"/>
    <xf numFmtId="0" fontId="0" fillId="0" borderId="0" xfId="0" applyAlignment="1">
      <alignment horizontal="center"/>
    </xf>
    <xf numFmtId="0" fontId="3" fillId="0" borderId="0" xfId="0" applyFont="1" applyAlignment="1">
      <alignment horizontal="center"/>
    </xf>
    <xf numFmtId="0" fontId="3" fillId="0" borderId="0" xfId="0" applyFont="1" applyAlignment="1">
      <alignment horizontal="center" vertical="center"/>
    </xf>
    <xf numFmtId="0" fontId="5" fillId="0" borderId="0" xfId="0" applyFont="1" applyFill="1" applyProtection="1">
      <protection locked="0"/>
    </xf>
    <xf numFmtId="0" fontId="6" fillId="2" borderId="1" xfId="0" applyFont="1" applyFill="1" applyBorder="1" applyAlignment="1" applyProtection="1">
      <alignment horizontal="center" vertical="center" wrapText="1"/>
      <protection locked="0"/>
    </xf>
    <xf numFmtId="0" fontId="6" fillId="2" borderId="4" xfId="0" applyFont="1" applyFill="1" applyBorder="1" applyAlignment="1" applyProtection="1">
      <alignment horizontal="center" vertical="center" wrapText="1"/>
      <protection locked="0"/>
    </xf>
    <xf numFmtId="0" fontId="6" fillId="3" borderId="5" xfId="0" applyFont="1" applyFill="1" applyBorder="1" applyAlignment="1" applyProtection="1">
      <alignment horizontal="center" vertical="center" wrapText="1"/>
      <protection locked="0"/>
    </xf>
    <xf numFmtId="0" fontId="6" fillId="3" borderId="1" xfId="0" applyFont="1" applyFill="1" applyBorder="1" applyAlignment="1" applyProtection="1">
      <alignment horizontal="center" vertical="center" wrapText="1"/>
      <protection locked="0"/>
    </xf>
    <xf numFmtId="0" fontId="6" fillId="3" borderId="4" xfId="0" applyFont="1" applyFill="1" applyBorder="1" applyAlignment="1" applyProtection="1">
      <alignment horizontal="center" vertical="center" wrapText="1"/>
      <protection locked="0"/>
    </xf>
    <xf numFmtId="0" fontId="5" fillId="0" borderId="4" xfId="0" applyFont="1" applyFill="1" applyBorder="1" applyAlignment="1" applyProtection="1">
      <alignment horizontal="center" vertical="center"/>
      <protection locked="0"/>
    </xf>
    <xf numFmtId="165" fontId="5" fillId="0" borderId="6" xfId="0" applyNumberFormat="1" applyFont="1" applyFill="1" applyBorder="1" applyAlignment="1" applyProtection="1">
      <alignment horizontal="center" vertical="center"/>
      <protection locked="0"/>
    </xf>
    <xf numFmtId="10" fontId="5" fillId="0" borderId="4" xfId="0" applyNumberFormat="1" applyFont="1" applyFill="1" applyBorder="1" applyAlignment="1" applyProtection="1">
      <alignment horizontal="center" vertical="center"/>
      <protection locked="0"/>
    </xf>
    <xf numFmtId="10" fontId="5" fillId="0" borderId="1" xfId="0" applyNumberFormat="1" applyFont="1" applyFill="1" applyBorder="1" applyAlignment="1" applyProtection="1">
      <alignment horizontal="center" vertical="center"/>
      <protection locked="0"/>
    </xf>
    <xf numFmtId="0" fontId="5" fillId="0" borderId="0" xfId="0" applyFont="1" applyFill="1" applyAlignment="1" applyProtection="1">
      <alignment horizontal="center" vertical="center"/>
      <protection locked="0"/>
    </xf>
    <xf numFmtId="165" fontId="6" fillId="0" borderId="0" xfId="0" applyNumberFormat="1" applyFont="1" applyFill="1" applyBorder="1" applyAlignment="1" applyProtection="1">
      <alignment horizontal="center" vertical="center"/>
      <protection locked="0"/>
    </xf>
    <xf numFmtId="165" fontId="6" fillId="5" borderId="0" xfId="0" applyNumberFormat="1" applyFont="1" applyFill="1" applyBorder="1" applyAlignment="1" applyProtection="1">
      <alignment horizontal="center" vertical="center"/>
      <protection locked="0"/>
    </xf>
    <xf numFmtId="38" fontId="6" fillId="0" borderId="0" xfId="0" applyNumberFormat="1" applyFont="1" applyFill="1" applyBorder="1" applyAlignment="1" applyProtection="1">
      <alignment horizontal="center" vertical="center"/>
      <protection locked="0"/>
    </xf>
    <xf numFmtId="0" fontId="6" fillId="0" borderId="0" xfId="0" applyFont="1" applyFill="1" applyBorder="1" applyAlignment="1" applyProtection="1">
      <alignment horizontal="center" vertical="center"/>
      <protection locked="0"/>
    </xf>
    <xf numFmtId="0" fontId="6" fillId="0" borderId="0" xfId="0" applyFont="1" applyFill="1" applyBorder="1" applyAlignment="1" applyProtection="1">
      <alignment horizontal="center" vertical="center" wrapText="1"/>
      <protection locked="0"/>
    </xf>
    <xf numFmtId="167" fontId="5" fillId="0" borderId="0" xfId="0" applyNumberFormat="1" applyFont="1" applyFill="1" applyBorder="1" applyAlignment="1" applyProtection="1">
      <alignment horizontal="center" vertical="center"/>
      <protection locked="0"/>
    </xf>
    <xf numFmtId="168" fontId="6" fillId="0" borderId="0" xfId="0" applyNumberFormat="1" applyFont="1" applyFill="1" applyBorder="1" applyAlignment="1" applyProtection="1">
      <alignment horizontal="center" vertical="center"/>
      <protection locked="0"/>
    </xf>
    <xf numFmtId="10" fontId="5" fillId="0" borderId="9" xfId="0" applyNumberFormat="1" applyFont="1" applyFill="1" applyBorder="1" applyAlignment="1" applyProtection="1">
      <alignment horizontal="center" vertical="center"/>
      <protection locked="0"/>
    </xf>
    <xf numFmtId="165" fontId="5" fillId="0" borderId="0" xfId="0" applyNumberFormat="1" applyFont="1" applyFill="1" applyBorder="1" applyAlignment="1" applyProtection="1">
      <alignment horizontal="center" vertical="center"/>
    </xf>
    <xf numFmtId="10" fontId="5" fillId="0" borderId="12" xfId="0" applyNumberFormat="1" applyFont="1" applyFill="1" applyBorder="1" applyAlignment="1" applyProtection="1">
      <alignment horizontal="center" vertical="center"/>
      <protection locked="0"/>
    </xf>
    <xf numFmtId="165" fontId="5" fillId="0" borderId="0" xfId="0" applyNumberFormat="1" applyFont="1" applyFill="1" applyBorder="1" applyAlignment="1" applyProtection="1">
      <alignment horizontal="center" vertical="center"/>
      <protection locked="0"/>
    </xf>
    <xf numFmtId="165" fontId="5" fillId="0" borderId="13" xfId="0" applyNumberFormat="1" applyFont="1" applyFill="1" applyBorder="1" applyAlignment="1" applyProtection="1">
      <alignment horizontal="center" vertical="center"/>
      <protection locked="0"/>
    </xf>
    <xf numFmtId="166" fontId="5" fillId="0" borderId="0" xfId="1" applyFont="1" applyFill="1" applyBorder="1" applyAlignment="1" applyProtection="1">
      <alignment horizontal="center" vertical="center"/>
      <protection locked="0"/>
    </xf>
    <xf numFmtId="0" fontId="6" fillId="0" borderId="0" xfId="0" applyFont="1" applyFill="1" applyAlignment="1" applyProtection="1">
      <alignment horizontal="center"/>
      <protection locked="0"/>
    </xf>
    <xf numFmtId="0" fontId="6" fillId="4" borderId="4" xfId="0" applyFont="1" applyFill="1" applyBorder="1" applyAlignment="1" applyProtection="1">
      <alignment horizontal="center" vertical="center" wrapText="1"/>
      <protection locked="0"/>
    </xf>
    <xf numFmtId="0" fontId="6" fillId="8" borderId="4" xfId="0" applyFont="1" applyFill="1" applyBorder="1" applyAlignment="1" applyProtection="1">
      <alignment horizontal="center" vertical="center" wrapText="1"/>
      <protection locked="0"/>
    </xf>
    <xf numFmtId="0" fontId="5" fillId="0" borderId="0" xfId="0" applyFont="1" applyFill="1" applyBorder="1" applyProtection="1">
      <protection locked="0"/>
    </xf>
    <xf numFmtId="165" fontId="5" fillId="0" borderId="10" xfId="0" applyNumberFormat="1" applyFont="1" applyFill="1" applyBorder="1" applyAlignment="1" applyProtection="1">
      <alignment horizontal="center" vertical="center"/>
      <protection locked="0"/>
    </xf>
    <xf numFmtId="167" fontId="5" fillId="0" borderId="4" xfId="0" applyNumberFormat="1" applyFont="1" applyFill="1" applyBorder="1" applyAlignment="1" applyProtection="1">
      <alignment horizontal="center" vertical="center"/>
    </xf>
    <xf numFmtId="165" fontId="6" fillId="0" borderId="0" xfId="0" applyNumberFormat="1" applyFont="1" applyFill="1" applyBorder="1" applyAlignment="1" applyProtection="1">
      <alignment horizontal="center" vertical="center"/>
    </xf>
    <xf numFmtId="10" fontId="5" fillId="0" borderId="0" xfId="0" applyNumberFormat="1" applyFont="1" applyFill="1" applyBorder="1" applyAlignment="1" applyProtection="1">
      <alignment horizontal="center" vertical="center"/>
      <protection locked="0"/>
    </xf>
    <xf numFmtId="0" fontId="6" fillId="3" borderId="16" xfId="0" applyFont="1" applyFill="1" applyBorder="1" applyAlignment="1" applyProtection="1">
      <alignment horizontal="center" vertical="center" wrapText="1"/>
      <protection locked="0"/>
    </xf>
    <xf numFmtId="0" fontId="6" fillId="2" borderId="17" xfId="0" applyFont="1" applyFill="1" applyBorder="1" applyAlignment="1" applyProtection="1">
      <alignment horizontal="center" vertical="center"/>
      <protection locked="0"/>
    </xf>
    <xf numFmtId="0" fontId="6" fillId="2" borderId="17" xfId="0" applyFont="1" applyFill="1" applyBorder="1" applyAlignment="1" applyProtection="1">
      <alignment horizontal="center" vertical="center" wrapText="1"/>
      <protection locked="0"/>
    </xf>
    <xf numFmtId="0" fontId="6" fillId="4" borderId="17" xfId="0" applyFont="1" applyFill="1" applyBorder="1" applyAlignment="1" applyProtection="1">
      <alignment horizontal="center" vertical="center" wrapText="1"/>
      <protection locked="0"/>
    </xf>
    <xf numFmtId="0" fontId="6" fillId="4" borderId="18" xfId="0" applyFont="1" applyFill="1" applyBorder="1" applyAlignment="1" applyProtection="1">
      <alignment horizontal="center" vertical="center" wrapText="1"/>
      <protection locked="0"/>
    </xf>
    <xf numFmtId="9" fontId="5" fillId="0" borderId="16" xfId="2" applyFont="1" applyFill="1" applyBorder="1" applyAlignment="1" applyProtection="1">
      <alignment horizontal="center" vertical="center"/>
      <protection locked="0"/>
    </xf>
    <xf numFmtId="0" fontId="5" fillId="0" borderId="17" xfId="0" applyFont="1" applyFill="1" applyBorder="1" applyAlignment="1" applyProtection="1">
      <alignment horizontal="center" vertical="center"/>
      <protection locked="0"/>
    </xf>
    <xf numFmtId="165" fontId="5" fillId="0" borderId="17" xfId="0" applyNumberFormat="1" applyFont="1" applyFill="1" applyBorder="1" applyAlignment="1" applyProtection="1">
      <alignment horizontal="center" vertical="center"/>
    </xf>
    <xf numFmtId="165" fontId="5" fillId="0" borderId="18" xfId="0" applyNumberFormat="1" applyFont="1" applyFill="1" applyBorder="1" applyAlignment="1" applyProtection="1">
      <alignment horizontal="center" vertical="center"/>
    </xf>
    <xf numFmtId="0" fontId="5" fillId="0" borderId="0" xfId="0" applyFont="1" applyFill="1" applyAlignment="1" applyProtection="1">
      <alignment vertical="center"/>
      <protection locked="0"/>
    </xf>
    <xf numFmtId="1" fontId="6" fillId="0" borderId="4" xfId="0" applyNumberFormat="1" applyFont="1" applyFill="1" applyBorder="1" applyAlignment="1" applyProtection="1">
      <alignment horizontal="center" vertical="center" wrapText="1"/>
      <protection locked="0"/>
    </xf>
    <xf numFmtId="1" fontId="6" fillId="0" borderId="3" xfId="0" applyNumberFormat="1" applyFont="1" applyFill="1" applyBorder="1" applyAlignment="1" applyProtection="1">
      <alignment horizontal="center" vertical="center" wrapText="1"/>
      <protection locked="0"/>
    </xf>
    <xf numFmtId="0" fontId="5" fillId="0" borderId="0" xfId="0" applyFont="1" applyFill="1" applyAlignment="1" applyProtection="1">
      <alignment wrapText="1"/>
      <protection locked="0"/>
    </xf>
    <xf numFmtId="1" fontId="5" fillId="0" borderId="19" xfId="0" applyNumberFormat="1" applyFont="1" applyFill="1" applyBorder="1" applyAlignment="1" applyProtection="1">
      <alignment horizontal="center"/>
    </xf>
    <xf numFmtId="1" fontId="5" fillId="0" borderId="20" xfId="0" applyNumberFormat="1" applyFont="1" applyFill="1" applyBorder="1" applyAlignment="1" applyProtection="1">
      <alignment horizontal="center"/>
    </xf>
    <xf numFmtId="1" fontId="5" fillId="0" borderId="21" xfId="0" applyNumberFormat="1" applyFont="1" applyFill="1" applyBorder="1" applyAlignment="1" applyProtection="1">
      <alignment horizontal="center"/>
    </xf>
    <xf numFmtId="1" fontId="5" fillId="0" borderId="22" xfId="0" applyNumberFormat="1" applyFont="1" applyFill="1" applyBorder="1" applyAlignment="1" applyProtection="1">
      <alignment horizontal="center"/>
    </xf>
    <xf numFmtId="1" fontId="5" fillId="0" borderId="23" xfId="0" applyNumberFormat="1" applyFont="1" applyFill="1" applyBorder="1" applyAlignment="1" applyProtection="1">
      <alignment horizontal="center"/>
    </xf>
    <xf numFmtId="1" fontId="5" fillId="0" borderId="24" xfId="0" applyNumberFormat="1" applyFont="1" applyFill="1" applyBorder="1" applyAlignment="1" applyProtection="1">
      <alignment horizontal="center"/>
    </xf>
    <xf numFmtId="1" fontId="5" fillId="0" borderId="0" xfId="0" applyNumberFormat="1" applyFont="1" applyFill="1" applyProtection="1">
      <protection locked="0"/>
    </xf>
    <xf numFmtId="0" fontId="5" fillId="0" borderId="26" xfId="0" applyFont="1" applyFill="1" applyBorder="1" applyAlignment="1" applyProtection="1">
      <alignment horizontal="center"/>
    </xf>
    <xf numFmtId="0" fontId="5" fillId="0" borderId="0" xfId="0" applyFont="1" applyFill="1" applyAlignment="1" applyProtection="1">
      <alignment horizontal="center"/>
      <protection locked="0"/>
    </xf>
    <xf numFmtId="0" fontId="3" fillId="0" borderId="0" xfId="0" applyFont="1" applyAlignment="1">
      <alignment vertical="center"/>
    </xf>
    <xf numFmtId="0" fontId="3" fillId="0" borderId="23" xfId="0" applyFont="1" applyBorder="1" applyAlignment="1">
      <alignment horizontal="center" vertical="center"/>
    </xf>
    <xf numFmtId="164" fontId="3" fillId="0" borderId="23" xfId="0" applyNumberFormat="1" applyFont="1" applyBorder="1" applyAlignment="1">
      <alignment horizontal="center" vertical="center"/>
    </xf>
    <xf numFmtId="0" fontId="3" fillId="0" borderId="12" xfId="0" applyFont="1" applyBorder="1" applyAlignment="1">
      <alignment vertical="center"/>
    </xf>
    <xf numFmtId="0" fontId="3" fillId="0" borderId="0" xfId="0" applyFont="1" applyBorder="1" applyAlignment="1">
      <alignment horizontal="center" vertical="center"/>
    </xf>
    <xf numFmtId="164" fontId="3" fillId="0" borderId="0" xfId="0" applyNumberFormat="1" applyFont="1" applyBorder="1" applyAlignment="1">
      <alignment horizontal="center" vertical="center"/>
    </xf>
    <xf numFmtId="0" fontId="7" fillId="4" borderId="16" xfId="0" applyFont="1" applyFill="1" applyBorder="1" applyAlignment="1">
      <alignment horizontal="center"/>
    </xf>
    <xf numFmtId="0" fontId="7" fillId="4" borderId="18" xfId="0" applyFont="1" applyFill="1" applyBorder="1" applyAlignment="1">
      <alignment horizontal="center"/>
    </xf>
    <xf numFmtId="0" fontId="3" fillId="0" borderId="0" xfId="0" applyFont="1" applyAlignment="1">
      <alignment horizontal="center" vertical="center"/>
    </xf>
    <xf numFmtId="164" fontId="3" fillId="0" borderId="24" xfId="0" applyNumberFormat="1" applyFont="1" applyBorder="1" applyAlignment="1">
      <alignment horizontal="center" vertical="center"/>
    </xf>
    <xf numFmtId="164" fontId="3" fillId="0" borderId="13" xfId="0" applyNumberFormat="1" applyFont="1" applyBorder="1" applyAlignment="1">
      <alignment horizontal="center" vertical="center"/>
    </xf>
    <xf numFmtId="0" fontId="3" fillId="2" borderId="22" xfId="0" applyFont="1" applyFill="1" applyBorder="1" applyAlignment="1">
      <alignment vertical="center"/>
    </xf>
    <xf numFmtId="0" fontId="3" fillId="0" borderId="16" xfId="0" applyFont="1" applyBorder="1" applyAlignment="1">
      <alignment horizontal="center"/>
    </xf>
    <xf numFmtId="0" fontId="3" fillId="0" borderId="17" xfId="0" applyFont="1" applyBorder="1" applyAlignment="1">
      <alignment horizontal="center"/>
    </xf>
    <xf numFmtId="10" fontId="3" fillId="0" borderId="17" xfId="2" applyNumberFormat="1" applyFont="1" applyBorder="1" applyAlignment="1">
      <alignment horizontal="center"/>
    </xf>
    <xf numFmtId="165" fontId="3" fillId="0" borderId="18" xfId="0" applyNumberFormat="1" applyFont="1" applyBorder="1" applyAlignment="1">
      <alignment horizontal="center"/>
    </xf>
    <xf numFmtId="0" fontId="7" fillId="0" borderId="16" xfId="0" applyFont="1" applyBorder="1" applyAlignment="1">
      <alignment horizontal="center"/>
    </xf>
    <xf numFmtId="0" fontId="7" fillId="0" borderId="17" xfId="0" applyFont="1" applyBorder="1" applyAlignment="1">
      <alignment horizontal="center"/>
    </xf>
    <xf numFmtId="0" fontId="7" fillId="4" borderId="17" xfId="0" applyFont="1" applyFill="1" applyBorder="1" applyAlignment="1">
      <alignment horizontal="center"/>
    </xf>
    <xf numFmtId="0" fontId="7" fillId="0" borderId="17" xfId="0" applyFont="1" applyFill="1" applyBorder="1" applyAlignment="1">
      <alignment horizontal="center"/>
    </xf>
    <xf numFmtId="0" fontId="3" fillId="0" borderId="0" xfId="0" applyFont="1" applyProtection="1">
      <protection locked="0"/>
    </xf>
    <xf numFmtId="0" fontId="7" fillId="0" borderId="1" xfId="0" applyFont="1" applyBorder="1" applyAlignment="1" applyProtection="1">
      <alignment horizontal="center" vertical="center" wrapText="1"/>
      <protection locked="0"/>
    </xf>
    <xf numFmtId="0" fontId="7" fillId="0" borderId="4" xfId="0" applyFont="1" applyBorder="1" applyAlignment="1" applyProtection="1">
      <alignment horizontal="center" vertical="center" wrapText="1"/>
      <protection locked="0"/>
    </xf>
    <xf numFmtId="0" fontId="7" fillId="0" borderId="5" xfId="0" applyFont="1" applyBorder="1" applyAlignment="1" applyProtection="1">
      <alignment horizontal="center" vertical="center" wrapText="1"/>
      <protection locked="0"/>
    </xf>
    <xf numFmtId="0" fontId="3" fillId="0" borderId="4" xfId="0" applyFont="1" applyBorder="1" applyAlignment="1" applyProtection="1">
      <alignment horizontal="center" vertical="center"/>
      <protection locked="0"/>
    </xf>
    <xf numFmtId="10" fontId="3" fillId="0" borderId="4" xfId="0" applyNumberFormat="1" applyFont="1" applyBorder="1" applyAlignment="1" applyProtection="1">
      <alignment horizontal="center" vertical="center"/>
      <protection locked="0"/>
    </xf>
    <xf numFmtId="0" fontId="3" fillId="0" borderId="0" xfId="0" applyFont="1" applyAlignment="1" applyProtection="1">
      <alignment horizontal="center" vertical="center"/>
      <protection locked="0"/>
    </xf>
    <xf numFmtId="0" fontId="7" fillId="0" borderId="35" xfId="0" applyFont="1" applyBorder="1" applyAlignment="1">
      <alignment horizontal="center"/>
    </xf>
    <xf numFmtId="164" fontId="3" fillId="0" borderId="6" xfId="0" applyNumberFormat="1" applyFont="1" applyFill="1" applyBorder="1" applyAlignment="1" applyProtection="1">
      <alignment horizontal="center" vertical="center"/>
      <protection locked="0"/>
    </xf>
    <xf numFmtId="164" fontId="5" fillId="0" borderId="6" xfId="0" applyNumberFormat="1" applyFont="1" applyFill="1" applyBorder="1" applyAlignment="1" applyProtection="1">
      <alignment horizontal="center" vertical="center"/>
      <protection locked="0"/>
    </xf>
    <xf numFmtId="164" fontId="6" fillId="0" borderId="15" xfId="0" applyNumberFormat="1" applyFont="1" applyFill="1" applyBorder="1" applyAlignment="1" applyProtection="1">
      <alignment horizontal="center" vertical="center"/>
    </xf>
    <xf numFmtId="164" fontId="6" fillId="0" borderId="14" xfId="0" applyNumberFormat="1" applyFont="1" applyFill="1" applyBorder="1" applyAlignment="1" applyProtection="1">
      <alignment horizontal="center" vertical="center"/>
    </xf>
    <xf numFmtId="164" fontId="7" fillId="0" borderId="3" xfId="0" applyNumberFormat="1" applyFont="1" applyFill="1" applyBorder="1" applyAlignment="1" applyProtection="1">
      <alignment horizontal="center" vertical="center"/>
      <protection locked="0"/>
    </xf>
    <xf numFmtId="164" fontId="7" fillId="13" borderId="3" xfId="0" applyNumberFormat="1" applyFont="1" applyFill="1" applyBorder="1" applyAlignment="1">
      <alignment horizontal="center" vertical="center"/>
    </xf>
    <xf numFmtId="0" fontId="7" fillId="4" borderId="16" xfId="0" applyFont="1" applyFill="1" applyBorder="1" applyAlignment="1">
      <alignment horizontal="center"/>
    </xf>
    <xf numFmtId="0" fontId="7" fillId="4" borderId="18" xfId="0" applyFont="1" applyFill="1" applyBorder="1" applyAlignment="1">
      <alignment horizontal="center"/>
    </xf>
    <xf numFmtId="0" fontId="0" fillId="0" borderId="0" xfId="0" applyAlignment="1">
      <alignment vertical="center"/>
    </xf>
    <xf numFmtId="0" fontId="0" fillId="0" borderId="0" xfId="0" applyAlignment="1">
      <alignment vertical="center" wrapText="1"/>
    </xf>
    <xf numFmtId="0" fontId="10" fillId="0" borderId="0" xfId="0" applyFont="1" applyAlignment="1">
      <alignment vertical="center"/>
    </xf>
    <xf numFmtId="10" fontId="0" fillId="0" borderId="0" xfId="0" applyNumberFormat="1"/>
    <xf numFmtId="0" fontId="0" fillId="0" borderId="0" xfId="0" applyFont="1" applyAlignment="1">
      <alignment vertical="center"/>
    </xf>
    <xf numFmtId="0" fontId="0" fillId="0" borderId="0" xfId="0" applyAlignment="1">
      <alignment horizontal="center" vertical="center"/>
    </xf>
    <xf numFmtId="0" fontId="0" fillId="0" borderId="7" xfId="0" applyBorder="1"/>
    <xf numFmtId="0" fontId="0" fillId="0" borderId="27" xfId="0" applyBorder="1" applyAlignment="1">
      <alignment horizontal="center" vertical="center"/>
    </xf>
    <xf numFmtId="0" fontId="0" fillId="0" borderId="8" xfId="0" applyBorder="1"/>
    <xf numFmtId="0" fontId="0" fillId="0" borderId="12" xfId="0" applyBorder="1"/>
    <xf numFmtId="0" fontId="0" fillId="0" borderId="13" xfId="0" applyBorder="1"/>
    <xf numFmtId="0" fontId="0" fillId="0" borderId="0" xfId="0" applyBorder="1" applyAlignment="1">
      <alignment horizontal="center" vertical="center"/>
    </xf>
    <xf numFmtId="0" fontId="15" fillId="0" borderId="0" xfId="0" applyFont="1" applyBorder="1" applyAlignment="1">
      <alignment horizontal="center" vertical="center"/>
    </xf>
    <xf numFmtId="0" fontId="16" fillId="0" borderId="0" xfId="0" applyFont="1" applyBorder="1" applyAlignment="1">
      <alignment horizontal="center" vertical="center"/>
    </xf>
    <xf numFmtId="0" fontId="12" fillId="0" borderId="0" xfId="0" applyFont="1" applyBorder="1" applyAlignment="1">
      <alignment horizontal="center" vertical="center"/>
    </xf>
    <xf numFmtId="0" fontId="0" fillId="0" borderId="9" xfId="0" applyBorder="1"/>
    <xf numFmtId="0" fontId="0" fillId="0" borderId="10" xfId="0" applyBorder="1" applyAlignment="1">
      <alignment horizontal="center" vertical="center"/>
    </xf>
    <xf numFmtId="0" fontId="0" fillId="0" borderId="11" xfId="0" applyBorder="1"/>
    <xf numFmtId="0" fontId="17" fillId="0" borderId="0" xfId="0" applyFont="1" applyBorder="1" applyAlignment="1">
      <alignment horizontal="center" vertical="center"/>
    </xf>
    <xf numFmtId="0" fontId="11" fillId="0" borderId="0" xfId="0" applyFont="1" applyBorder="1" applyAlignment="1">
      <alignment horizontal="center" vertical="center"/>
    </xf>
    <xf numFmtId="0" fontId="14" fillId="0" borderId="0" xfId="0" applyFont="1" applyBorder="1" applyAlignment="1">
      <alignment horizontal="center" vertical="center"/>
    </xf>
    <xf numFmtId="0" fontId="7" fillId="0" borderId="0" xfId="0" applyFont="1" applyFill="1" applyBorder="1" applyAlignment="1">
      <alignment horizontal="center" vertical="center"/>
    </xf>
    <xf numFmtId="0" fontId="3" fillId="0" borderId="0" xfId="0" applyFont="1" applyFill="1" applyBorder="1" applyAlignment="1">
      <alignment vertical="center"/>
    </xf>
    <xf numFmtId="164" fontId="3" fillId="0" borderId="0" xfId="0" applyNumberFormat="1" applyFont="1" applyFill="1" applyBorder="1" applyAlignment="1">
      <alignment horizontal="center" vertical="center"/>
    </xf>
    <xf numFmtId="164" fontId="7" fillId="0" borderId="0" xfId="0" applyNumberFormat="1" applyFont="1" applyFill="1" applyBorder="1" applyAlignment="1">
      <alignment horizontal="center" vertical="center"/>
    </xf>
    <xf numFmtId="0" fontId="3" fillId="0" borderId="0" xfId="0" applyFont="1" applyFill="1" applyBorder="1" applyAlignment="1">
      <alignment horizontal="center" vertical="center"/>
    </xf>
    <xf numFmtId="164" fontId="8" fillId="0" borderId="0" xfId="0" applyNumberFormat="1" applyFont="1" applyFill="1" applyBorder="1" applyAlignment="1">
      <alignment horizontal="center" vertical="center"/>
    </xf>
    <xf numFmtId="0" fontId="18" fillId="0" borderId="0" xfId="0" applyFont="1" applyBorder="1" applyAlignment="1">
      <alignment horizontal="center" vertical="center"/>
    </xf>
    <xf numFmtId="0" fontId="19" fillId="0" borderId="0" xfId="0" applyFont="1" applyBorder="1" applyAlignment="1">
      <alignment horizontal="left" vertical="center" wrapText="1"/>
    </xf>
    <xf numFmtId="0" fontId="13" fillId="0" borderId="36" xfId="0" applyFont="1" applyBorder="1" applyAlignment="1">
      <alignment horizontal="center" vertical="center"/>
    </xf>
    <xf numFmtId="38" fontId="0" fillId="0" borderId="0" xfId="0" applyNumberFormat="1"/>
    <xf numFmtId="0" fontId="7" fillId="4" borderId="19" xfId="0" applyFont="1" applyFill="1" applyBorder="1" applyAlignment="1">
      <alignment vertical="center"/>
    </xf>
    <xf numFmtId="0" fontId="7" fillId="4" borderId="20" xfId="0" applyFont="1" applyFill="1" applyBorder="1" applyAlignment="1">
      <alignment horizontal="center" vertical="center"/>
    </xf>
    <xf numFmtId="0" fontId="7" fillId="4" borderId="21" xfId="0" applyFont="1" applyFill="1" applyBorder="1" applyAlignment="1">
      <alignment horizontal="center" vertical="center"/>
    </xf>
    <xf numFmtId="0" fontId="5" fillId="0" borderId="7" xfId="0" applyFont="1" applyFill="1" applyBorder="1" applyProtection="1">
      <protection locked="0"/>
    </xf>
    <xf numFmtId="0" fontId="5" fillId="0" borderId="27" xfId="0" applyFont="1" applyFill="1" applyBorder="1" applyProtection="1">
      <protection locked="0"/>
    </xf>
    <xf numFmtId="0" fontId="5" fillId="0" borderId="8" xfId="0" applyFont="1" applyFill="1" applyBorder="1" applyProtection="1">
      <protection locked="0"/>
    </xf>
    <xf numFmtId="0" fontId="5" fillId="0" borderId="12" xfId="0" applyFont="1" applyFill="1" applyBorder="1" applyProtection="1">
      <protection locked="0"/>
    </xf>
    <xf numFmtId="0" fontId="18" fillId="0" borderId="13" xfId="0" applyFont="1" applyBorder="1" applyAlignment="1">
      <alignment horizontal="center" vertical="center"/>
    </xf>
    <xf numFmtId="0" fontId="0" fillId="0" borderId="12" xfId="0" applyBorder="1" applyAlignment="1">
      <alignment vertical="center"/>
    </xf>
    <xf numFmtId="0" fontId="5" fillId="0" borderId="13" xfId="0" applyFont="1" applyFill="1" applyBorder="1" applyProtection="1">
      <protection locked="0"/>
    </xf>
    <xf numFmtId="0" fontId="12" fillId="0" borderId="13" xfId="0" applyFont="1" applyBorder="1" applyAlignment="1">
      <alignment horizontal="left" vertical="center" wrapText="1"/>
    </xf>
    <xf numFmtId="0" fontId="12" fillId="0" borderId="12" xfId="0" applyFont="1" applyBorder="1" applyAlignment="1">
      <alignment vertical="center"/>
    </xf>
    <xf numFmtId="0" fontId="5" fillId="0" borderId="12" xfId="0" applyFont="1" applyFill="1" applyBorder="1" applyAlignment="1" applyProtection="1">
      <alignment wrapText="1"/>
      <protection locked="0"/>
    </xf>
    <xf numFmtId="0" fontId="5" fillId="0" borderId="0" xfId="0" applyFont="1" applyFill="1" applyBorder="1" applyAlignment="1" applyProtection="1">
      <alignment wrapText="1"/>
      <protection locked="0"/>
    </xf>
    <xf numFmtId="0" fontId="5" fillId="0" borderId="13" xfId="0" applyFont="1" applyFill="1" applyBorder="1" applyAlignment="1" applyProtection="1">
      <alignment wrapText="1"/>
      <protection locked="0"/>
    </xf>
    <xf numFmtId="0" fontId="5" fillId="0" borderId="9" xfId="0" applyFont="1" applyFill="1" applyBorder="1" applyProtection="1">
      <protection locked="0"/>
    </xf>
    <xf numFmtId="0" fontId="5" fillId="0" borderId="10" xfId="0" applyFont="1" applyFill="1" applyBorder="1" applyProtection="1">
      <protection locked="0"/>
    </xf>
    <xf numFmtId="0" fontId="5" fillId="0" borderId="11" xfId="0" applyFont="1" applyFill="1" applyBorder="1" applyProtection="1">
      <protection locked="0"/>
    </xf>
    <xf numFmtId="0" fontId="0" fillId="0" borderId="7" xfId="0" applyBorder="1" applyAlignment="1">
      <alignment horizontal="center"/>
    </xf>
    <xf numFmtId="0" fontId="0" fillId="0" borderId="27" xfId="0" applyBorder="1" applyAlignment="1">
      <alignment horizontal="center"/>
    </xf>
    <xf numFmtId="0" fontId="0" fillId="0" borderId="8" xfId="0" applyBorder="1" applyAlignment="1">
      <alignment horizontal="center"/>
    </xf>
    <xf numFmtId="0" fontId="0" fillId="0" borderId="12" xfId="0" applyBorder="1" applyAlignment="1">
      <alignment horizontal="center"/>
    </xf>
    <xf numFmtId="0" fontId="3" fillId="0" borderId="12" xfId="0" applyFont="1" applyBorder="1" applyProtection="1">
      <protection locked="0"/>
    </xf>
    <xf numFmtId="0" fontId="3" fillId="0" borderId="0" xfId="0" applyFont="1" applyBorder="1" applyProtection="1">
      <protection locked="0"/>
    </xf>
    <xf numFmtId="0" fontId="3" fillId="0" borderId="13" xfId="0" applyFont="1" applyBorder="1" applyProtection="1">
      <protection locked="0"/>
    </xf>
    <xf numFmtId="0" fontId="19" fillId="0" borderId="0" xfId="0" applyFont="1" applyBorder="1" applyProtection="1">
      <protection locked="0"/>
    </xf>
    <xf numFmtId="0" fontId="3" fillId="0" borderId="9" xfId="0" applyFont="1" applyBorder="1" applyProtection="1">
      <protection locked="0"/>
    </xf>
    <xf numFmtId="0" fontId="3" fillId="0" borderId="10" xfId="0" applyFont="1" applyBorder="1" applyProtection="1">
      <protection locked="0"/>
    </xf>
    <xf numFmtId="0" fontId="3" fillId="0" borderId="11" xfId="0" applyFont="1" applyBorder="1" applyProtection="1">
      <protection locked="0"/>
    </xf>
    <xf numFmtId="0" fontId="3" fillId="0" borderId="7" xfId="0" applyFont="1" applyBorder="1" applyAlignment="1">
      <alignment horizontal="center" vertical="center"/>
    </xf>
    <xf numFmtId="0" fontId="3" fillId="0" borderId="27" xfId="0" applyFont="1" applyBorder="1" applyAlignment="1">
      <alignment horizontal="center" vertical="center"/>
    </xf>
    <xf numFmtId="0" fontId="3" fillId="0" borderId="8" xfId="0" applyFont="1" applyBorder="1" applyAlignment="1">
      <alignment horizontal="center" vertical="center"/>
    </xf>
    <xf numFmtId="0" fontId="3" fillId="0" borderId="12" xfId="0" applyFont="1" applyBorder="1" applyAlignment="1">
      <alignment horizontal="center" vertical="center"/>
    </xf>
    <xf numFmtId="0" fontId="3" fillId="0" borderId="12" xfId="0" applyFont="1" applyBorder="1" applyAlignment="1">
      <alignment horizontal="center"/>
    </xf>
    <xf numFmtId="0" fontId="0" fillId="0" borderId="0" xfId="0" applyBorder="1"/>
    <xf numFmtId="0" fontId="3" fillId="0" borderId="0" xfId="0" applyFont="1" applyBorder="1" applyAlignment="1">
      <alignment horizontal="center"/>
    </xf>
    <xf numFmtId="0" fontId="3" fillId="0" borderId="13" xfId="0" applyFont="1" applyBorder="1" applyAlignment="1">
      <alignment horizontal="center"/>
    </xf>
    <xf numFmtId="0" fontId="3" fillId="0" borderId="13" xfId="0" applyFont="1" applyBorder="1" applyAlignment="1">
      <alignment horizontal="left" vertical="center" wrapText="1"/>
    </xf>
    <xf numFmtId="0" fontId="19" fillId="0" borderId="0" xfId="0" applyFont="1" applyBorder="1" applyAlignment="1">
      <alignment horizontal="center"/>
    </xf>
    <xf numFmtId="0" fontId="3" fillId="0" borderId="9" xfId="0" applyFont="1" applyBorder="1" applyAlignment="1">
      <alignment horizontal="center"/>
    </xf>
    <xf numFmtId="0" fontId="3" fillId="0" borderId="10" xfId="0" applyFont="1" applyBorder="1" applyAlignment="1">
      <alignment horizontal="center"/>
    </xf>
    <xf numFmtId="0" fontId="3" fillId="0" borderId="11" xfId="0" applyFont="1" applyBorder="1" applyAlignment="1">
      <alignment horizontal="center"/>
    </xf>
    <xf numFmtId="0" fontId="0" fillId="0" borderId="0" xfId="0" applyBorder="1" applyAlignment="1">
      <alignment horizontal="center"/>
    </xf>
    <xf numFmtId="0" fontId="0" fillId="0" borderId="13" xfId="0" applyBorder="1" applyAlignment="1">
      <alignment horizontal="center"/>
    </xf>
    <xf numFmtId="0" fontId="12" fillId="0" borderId="0" xfId="0" applyFont="1" applyBorder="1" applyAlignment="1">
      <alignment horizontal="center"/>
    </xf>
    <xf numFmtId="0" fontId="0" fillId="0" borderId="9" xfId="0"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0" fontId="7" fillId="2" borderId="33" xfId="0" applyFont="1" applyFill="1" applyBorder="1" applyAlignment="1">
      <alignment horizontal="center" vertical="center"/>
    </xf>
    <xf numFmtId="0" fontId="3" fillId="0" borderId="34" xfId="0" applyFont="1" applyBorder="1" applyAlignment="1">
      <alignment vertical="center"/>
    </xf>
    <xf numFmtId="0" fontId="3" fillId="0" borderId="25" xfId="0" applyFont="1" applyBorder="1" applyAlignment="1">
      <alignment vertical="center"/>
    </xf>
    <xf numFmtId="0" fontId="4" fillId="0" borderId="34" xfId="0" applyFont="1" applyBorder="1" applyAlignment="1">
      <alignment vertical="center"/>
    </xf>
    <xf numFmtId="0" fontId="3" fillId="0" borderId="0" xfId="0" applyFont="1" applyAlignment="1">
      <alignment horizontal="center" vertical="center"/>
    </xf>
    <xf numFmtId="0" fontId="3" fillId="4" borderId="15" xfId="0" applyFont="1" applyFill="1" applyBorder="1" applyAlignment="1">
      <alignment horizontal="center" vertical="center"/>
    </xf>
    <xf numFmtId="0" fontId="21" fillId="0" borderId="0" xfId="0" applyFont="1"/>
    <xf numFmtId="0" fontId="25" fillId="0" borderId="0" xfId="0" applyFont="1"/>
    <xf numFmtId="8" fontId="26" fillId="0" borderId="0" xfId="0" applyNumberFormat="1" applyFont="1"/>
    <xf numFmtId="170" fontId="3" fillId="0" borderId="0" xfId="0" applyNumberFormat="1" applyFont="1" applyAlignment="1">
      <alignment vertical="center"/>
    </xf>
    <xf numFmtId="9" fontId="3" fillId="0" borderId="0" xfId="0" applyNumberFormat="1" applyFont="1" applyAlignment="1">
      <alignment vertical="center"/>
    </xf>
    <xf numFmtId="0" fontId="21" fillId="0" borderId="0" xfId="0" applyFont="1" applyBorder="1"/>
    <xf numFmtId="9" fontId="21" fillId="0" borderId="0" xfId="0" applyNumberFormat="1" applyFont="1"/>
    <xf numFmtId="165" fontId="5" fillId="0" borderId="0" xfId="0" applyNumberFormat="1" applyFont="1" applyFill="1" applyProtection="1">
      <protection locked="0"/>
    </xf>
    <xf numFmtId="0" fontId="7" fillId="0" borderId="35" xfId="0" applyFont="1" applyBorder="1" applyAlignment="1">
      <alignment horizontal="center" wrapText="1"/>
    </xf>
    <xf numFmtId="0" fontId="7" fillId="0" borderId="6" xfId="0" applyFont="1" applyBorder="1" applyAlignment="1">
      <alignment horizontal="center" wrapText="1"/>
    </xf>
    <xf numFmtId="0" fontId="7" fillId="4" borderId="6" xfId="0" applyFont="1" applyFill="1" applyBorder="1" applyAlignment="1">
      <alignment horizontal="center" wrapText="1"/>
    </xf>
    <xf numFmtId="0" fontId="7" fillId="4" borderId="14" xfId="0" applyFont="1" applyFill="1" applyBorder="1" applyAlignment="1">
      <alignment horizontal="center" wrapText="1"/>
    </xf>
    <xf numFmtId="0" fontId="3" fillId="0" borderId="16" xfId="0" applyFont="1" applyBorder="1" applyAlignment="1">
      <alignment horizontal="center" wrapText="1"/>
    </xf>
    <xf numFmtId="0" fontId="3" fillId="0" borderId="17" xfId="0" applyFont="1" applyBorder="1" applyAlignment="1">
      <alignment horizontal="center" wrapText="1"/>
    </xf>
    <xf numFmtId="164" fontId="7" fillId="0" borderId="3" xfId="0" applyNumberFormat="1" applyFont="1" applyFill="1" applyBorder="1" applyAlignment="1" applyProtection="1">
      <alignment horizontal="center" vertical="center" wrapText="1"/>
      <protection locked="0"/>
    </xf>
    <xf numFmtId="10" fontId="3" fillId="0" borderId="17" xfId="2" applyNumberFormat="1" applyFont="1" applyBorder="1" applyAlignment="1">
      <alignment horizontal="center" wrapText="1"/>
    </xf>
    <xf numFmtId="165" fontId="3" fillId="0" borderId="18" xfId="0" applyNumberFormat="1" applyFont="1" applyBorder="1" applyAlignment="1">
      <alignment horizontal="center" wrapText="1"/>
    </xf>
    <xf numFmtId="0" fontId="3" fillId="0" borderId="0" xfId="0" applyFont="1" applyAlignment="1">
      <alignment horizontal="center" wrapText="1"/>
    </xf>
    <xf numFmtId="0" fontId="7" fillId="0" borderId="16" xfId="0" applyFont="1" applyBorder="1" applyAlignment="1">
      <alignment horizontal="center" wrapText="1"/>
    </xf>
    <xf numFmtId="0" fontId="7" fillId="0" borderId="17" xfId="0" applyFont="1" applyBorder="1" applyAlignment="1">
      <alignment horizontal="center" wrapText="1"/>
    </xf>
    <xf numFmtId="0" fontId="7" fillId="4" borderId="17" xfId="0" applyFont="1" applyFill="1" applyBorder="1" applyAlignment="1">
      <alignment horizontal="center" wrapText="1"/>
    </xf>
    <xf numFmtId="0" fontId="7" fillId="4" borderId="18" xfId="0" applyFont="1" applyFill="1" applyBorder="1" applyAlignment="1">
      <alignment horizontal="center" wrapText="1"/>
    </xf>
    <xf numFmtId="10" fontId="3" fillId="0" borderId="16" xfId="2" applyNumberFormat="1" applyFont="1" applyBorder="1" applyAlignment="1">
      <alignment horizontal="center" wrapText="1"/>
    </xf>
    <xf numFmtId="0" fontId="7" fillId="0" borderId="26" xfId="0" applyFont="1" applyBorder="1" applyAlignment="1">
      <alignment horizontal="center" wrapText="1"/>
    </xf>
    <xf numFmtId="9" fontId="21" fillId="0" borderId="0" xfId="0" applyNumberFormat="1" applyFont="1" applyAlignment="1"/>
    <xf numFmtId="0" fontId="24" fillId="0" borderId="0" xfId="0" applyFont="1"/>
    <xf numFmtId="0" fontId="21" fillId="0" borderId="0" xfId="0" applyFont="1" applyAlignment="1">
      <alignment vertical="top" wrapText="1"/>
    </xf>
    <xf numFmtId="0" fontId="28" fillId="0" borderId="0" xfId="0" applyFont="1"/>
    <xf numFmtId="6" fontId="21" fillId="0" borderId="0" xfId="0" applyNumberFormat="1" applyFont="1"/>
    <xf numFmtId="169" fontId="21" fillId="0" borderId="0" xfId="0" applyNumberFormat="1" applyFont="1" applyAlignment="1">
      <alignment horizontal="right" vertical="center"/>
    </xf>
    <xf numFmtId="169" fontId="21" fillId="0" borderId="0" xfId="0" applyNumberFormat="1" applyFont="1" applyAlignment="1"/>
    <xf numFmtId="6" fontId="21" fillId="0" borderId="0" xfId="0" applyNumberFormat="1" applyFont="1" applyAlignment="1"/>
    <xf numFmtId="6" fontId="3" fillId="0" borderId="0" xfId="0" applyNumberFormat="1" applyFont="1" applyAlignment="1">
      <alignment vertical="center"/>
    </xf>
    <xf numFmtId="169" fontId="28" fillId="0" borderId="0" xfId="0" applyNumberFormat="1" applyFont="1" applyAlignment="1">
      <alignment horizontal="right" vertical="center"/>
    </xf>
    <xf numFmtId="6" fontId="28" fillId="0" borderId="0" xfId="0" applyNumberFormat="1" applyFont="1"/>
    <xf numFmtId="9" fontId="28" fillId="0" borderId="0" xfId="0" applyNumberFormat="1" applyFont="1"/>
    <xf numFmtId="9" fontId="28" fillId="0" borderId="0" xfId="0" applyNumberFormat="1" applyFont="1" applyAlignment="1"/>
    <xf numFmtId="0" fontId="28" fillId="0" borderId="0" xfId="0" applyFont="1" applyAlignment="1"/>
    <xf numFmtId="0" fontId="25" fillId="0" borderId="0" xfId="0" applyFont="1" applyAlignment="1">
      <alignment vertical="center"/>
    </xf>
    <xf numFmtId="0" fontId="28" fillId="0" borderId="0" xfId="0" applyFont="1" applyAlignment="1">
      <alignment horizontal="left" vertical="center"/>
    </xf>
    <xf numFmtId="0" fontId="28" fillId="0" borderId="0" xfId="0" applyFont="1" applyAlignment="1">
      <alignment vertical="top" wrapText="1"/>
    </xf>
    <xf numFmtId="0" fontId="29" fillId="0" borderId="0" xfId="0" applyFont="1" applyAlignment="1">
      <alignment vertical="center"/>
    </xf>
    <xf numFmtId="169" fontId="29" fillId="0" borderId="0" xfId="0" applyNumberFormat="1" applyFont="1" applyAlignment="1">
      <alignment horizontal="left" vertical="center"/>
    </xf>
    <xf numFmtId="0" fontId="21" fillId="0" borderId="0" xfId="0" applyFont="1" applyAlignment="1">
      <alignment horizontal="center" vertical="center" wrapText="1"/>
    </xf>
    <xf numFmtId="9" fontId="21" fillId="0" borderId="0" xfId="0" applyNumberFormat="1" applyFont="1" applyAlignment="1">
      <alignment horizontal="center" vertical="center" wrapText="1"/>
    </xf>
    <xf numFmtId="0" fontId="28" fillId="0" borderId="0" xfId="0" applyFont="1" applyFill="1" applyBorder="1" applyAlignment="1">
      <alignment horizontal="left" vertical="center"/>
    </xf>
    <xf numFmtId="6" fontId="28" fillId="0" borderId="0" xfId="0" applyNumberFormat="1" applyFont="1" applyFill="1" applyBorder="1" applyAlignment="1">
      <alignment horizontal="right" vertical="center"/>
    </xf>
    <xf numFmtId="0" fontId="28" fillId="0" borderId="0" xfId="0" applyFont="1" applyFill="1" applyBorder="1" applyAlignment="1">
      <alignment horizontal="center" vertical="center"/>
    </xf>
    <xf numFmtId="5" fontId="28" fillId="0" borderId="0" xfId="0" applyNumberFormat="1" applyFont="1" applyFill="1" applyBorder="1" applyAlignment="1">
      <alignment horizontal="right" vertical="center"/>
    </xf>
    <xf numFmtId="0" fontId="25" fillId="15" borderId="0" xfId="0" applyFont="1" applyFill="1"/>
    <xf numFmtId="0" fontId="28" fillId="15" borderId="0" xfId="0" applyFont="1" applyFill="1"/>
    <xf numFmtId="169" fontId="28" fillId="15" borderId="0" xfId="0" applyNumberFormat="1" applyFont="1" applyFill="1" applyAlignment="1">
      <alignment horizontal="right" vertical="center"/>
    </xf>
    <xf numFmtId="169" fontId="28" fillId="15" borderId="0" xfId="0" applyNumberFormat="1" applyFont="1" applyFill="1" applyAlignment="1"/>
    <xf numFmtId="6" fontId="28" fillId="15" borderId="0" xfId="0" applyNumberFormat="1" applyFont="1" applyFill="1"/>
    <xf numFmtId="6" fontId="28" fillId="15" borderId="0" xfId="0" applyNumberFormat="1" applyFont="1" applyFill="1" applyAlignment="1"/>
    <xf numFmtId="9" fontId="28" fillId="15" borderId="0" xfId="0" applyNumberFormat="1" applyFont="1" applyFill="1"/>
    <xf numFmtId="9" fontId="28" fillId="15" borderId="0" xfId="0" applyNumberFormat="1" applyFont="1" applyFill="1" applyAlignment="1"/>
    <xf numFmtId="0" fontId="22" fillId="16" borderId="0" xfId="0" applyFont="1" applyFill="1" applyBorder="1" applyAlignment="1">
      <alignment horizontal="center" vertical="center" wrapText="1"/>
    </xf>
    <xf numFmtId="6" fontId="32" fillId="0" borderId="0" xfId="0" applyNumberFormat="1" applyFont="1" applyAlignment="1">
      <alignment vertical="top"/>
    </xf>
    <xf numFmtId="8" fontId="3" fillId="0" borderId="0" xfId="0" applyNumberFormat="1" applyFont="1" applyAlignment="1">
      <alignment vertical="center"/>
    </xf>
    <xf numFmtId="0" fontId="33" fillId="0" borderId="0" xfId="0" applyFont="1" applyFill="1" applyAlignment="1">
      <alignment wrapText="1"/>
    </xf>
    <xf numFmtId="6" fontId="33" fillId="0" borderId="0" xfId="0" applyNumberFormat="1" applyFont="1" applyFill="1" applyAlignment="1">
      <alignment horizontal="right" vertical="center"/>
    </xf>
    <xf numFmtId="0" fontId="28" fillId="0" borderId="0" xfId="0" applyFont="1" applyAlignment="1">
      <alignment horizontal="left" vertical="top" wrapText="1"/>
    </xf>
    <xf numFmtId="6" fontId="28" fillId="0" borderId="0" xfId="0" applyNumberFormat="1" applyFont="1" applyBorder="1"/>
    <xf numFmtId="6" fontId="25" fillId="0" borderId="0" xfId="0" applyNumberFormat="1" applyFont="1" applyFill="1" applyBorder="1" applyAlignment="1">
      <alignment horizontal="right" vertical="center"/>
    </xf>
    <xf numFmtId="0" fontId="25" fillId="0" borderId="0" xfId="0" applyFont="1" applyFill="1" applyBorder="1" applyAlignment="1">
      <alignment horizontal="center" vertical="center"/>
    </xf>
    <xf numFmtId="5" fontId="25" fillId="0" borderId="0" xfId="0" applyNumberFormat="1" applyFont="1" applyFill="1" applyBorder="1" applyAlignment="1">
      <alignment horizontal="right" vertical="center"/>
    </xf>
    <xf numFmtId="164" fontId="3" fillId="0" borderId="0" xfId="0" applyNumberFormat="1" applyFont="1" applyAlignment="1">
      <alignment horizontal="center" vertical="center"/>
    </xf>
    <xf numFmtId="0" fontId="35" fillId="0" borderId="0" xfId="0" applyFont="1" applyAlignment="1"/>
    <xf numFmtId="0" fontId="34" fillId="5" borderId="0" xfId="0" applyFont="1" applyFill="1" applyAlignment="1">
      <alignment vertical="center"/>
    </xf>
    <xf numFmtId="0" fontId="23" fillId="0" borderId="0" xfId="0" applyFont="1" applyFill="1" applyAlignment="1">
      <alignment horizontal="center" vertical="center"/>
    </xf>
    <xf numFmtId="0" fontId="32" fillId="0" borderId="0" xfId="0" applyFont="1" applyBorder="1"/>
    <xf numFmtId="0" fontId="32" fillId="0" borderId="0" xfId="0" applyFont="1" applyFill="1" applyBorder="1"/>
    <xf numFmtId="0" fontId="36" fillId="16" borderId="0" xfId="0" applyFont="1" applyFill="1" applyBorder="1"/>
    <xf numFmtId="0" fontId="26" fillId="0" borderId="0" xfId="0" applyFont="1" applyBorder="1" applyAlignment="1">
      <alignment horizontal="center" vertical="center"/>
    </xf>
    <xf numFmtId="0" fontId="32" fillId="0" borderId="0" xfId="0" applyFont="1" applyBorder="1" applyAlignment="1">
      <alignment horizontal="center" vertical="center"/>
    </xf>
    <xf numFmtId="0" fontId="26" fillId="15" borderId="0" xfId="0" applyFont="1" applyFill="1" applyBorder="1" applyAlignment="1">
      <alignment horizontal="center" vertical="center"/>
    </xf>
    <xf numFmtId="0" fontId="32" fillId="15" borderId="0" xfId="0" applyFont="1" applyFill="1" applyBorder="1" applyAlignment="1">
      <alignment horizontal="center" vertical="center"/>
    </xf>
    <xf numFmtId="164" fontId="26" fillId="15" borderId="0" xfId="0" applyNumberFormat="1" applyFont="1" applyFill="1" applyBorder="1" applyAlignment="1" applyProtection="1">
      <alignment horizontal="center" vertical="center"/>
      <protection locked="0"/>
    </xf>
    <xf numFmtId="0" fontId="36" fillId="17" borderId="0" xfId="0" applyFont="1" applyFill="1" applyBorder="1"/>
    <xf numFmtId="0" fontId="26" fillId="18" borderId="0" xfId="0" applyFont="1" applyFill="1" applyBorder="1" applyAlignment="1">
      <alignment horizontal="center" vertical="center"/>
    </xf>
    <xf numFmtId="0" fontId="32" fillId="18" borderId="0" xfId="0" applyFont="1" applyFill="1" applyBorder="1" applyAlignment="1">
      <alignment horizontal="center" vertical="center"/>
    </xf>
    <xf numFmtId="0" fontId="21" fillId="0" borderId="0" xfId="0" applyFont="1" applyAlignment="1">
      <alignment horizontal="center"/>
    </xf>
    <xf numFmtId="0" fontId="28" fillId="0" borderId="0" xfId="0" applyFont="1" applyAlignment="1">
      <alignment horizontal="center" vertical="center"/>
    </xf>
    <xf numFmtId="0" fontId="28" fillId="0" borderId="0" xfId="0" applyFont="1" applyFill="1" applyAlignment="1">
      <alignment wrapText="1"/>
    </xf>
    <xf numFmtId="0" fontId="28" fillId="0" borderId="0" xfId="0" applyFont="1" applyFill="1" applyAlignment="1">
      <alignment horizontal="right" vertical="center"/>
    </xf>
    <xf numFmtId="0" fontId="21" fillId="0" borderId="0" xfId="0" applyFont="1" applyFill="1"/>
    <xf numFmtId="0" fontId="29" fillId="0" borderId="0" xfId="0" applyFont="1" applyFill="1" applyAlignment="1">
      <alignment vertical="center"/>
    </xf>
    <xf numFmtId="0" fontId="29" fillId="0" borderId="0" xfId="0" applyFont="1" applyFill="1"/>
    <xf numFmtId="0" fontId="29" fillId="0" borderId="0" xfId="0" applyFont="1" applyFill="1" applyAlignment="1">
      <alignment horizontal="right" vertical="center"/>
    </xf>
    <xf numFmtId="169" fontId="29" fillId="0" borderId="0" xfId="0" applyNumberFormat="1" applyFont="1" applyFill="1" applyAlignment="1">
      <alignment horizontal="left" vertical="center"/>
    </xf>
    <xf numFmtId="0" fontId="30" fillId="0" borderId="0" xfId="0" applyFont="1" applyFill="1" applyAlignment="1">
      <alignment horizontal="left" vertical="center"/>
    </xf>
    <xf numFmtId="1" fontId="29" fillId="0" borderId="0" xfId="0" applyNumberFormat="1" applyFont="1" applyFill="1" applyAlignment="1">
      <alignment horizontal="right" vertical="center"/>
    </xf>
    <xf numFmtId="0" fontId="21" fillId="0" borderId="10" xfId="0" applyFont="1" applyBorder="1"/>
    <xf numFmtId="0" fontId="23" fillId="0" borderId="0" xfId="0" applyFont="1" applyFill="1" applyAlignment="1">
      <alignment vertical="center"/>
    </xf>
    <xf numFmtId="0" fontId="31" fillId="0" borderId="0" xfId="0" applyFont="1" applyFill="1" applyAlignment="1">
      <alignment vertical="center"/>
    </xf>
    <xf numFmtId="0" fontId="28" fillId="0" borderId="0" xfId="0" applyFont="1" applyFill="1"/>
    <xf numFmtId="0" fontId="41" fillId="0" borderId="0" xfId="0" applyFont="1"/>
    <xf numFmtId="0" fontId="42" fillId="0" borderId="0" xfId="0" applyFont="1"/>
    <xf numFmtId="9" fontId="28" fillId="0" borderId="0" xfId="0" applyNumberFormat="1" applyFont="1" applyFill="1"/>
    <xf numFmtId="0" fontId="32" fillId="0" borderId="0" xfId="0" applyFont="1" applyAlignment="1">
      <alignment vertical="top" wrapText="1"/>
    </xf>
    <xf numFmtId="0" fontId="21" fillId="0" borderId="0" xfId="0" applyFont="1" applyAlignment="1">
      <alignment horizontal="center"/>
    </xf>
    <xf numFmtId="0" fontId="28" fillId="0" borderId="0" xfId="0" applyFont="1" applyAlignment="1">
      <alignment horizontal="center" vertical="center"/>
    </xf>
    <xf numFmtId="6" fontId="35" fillId="0" borderId="0" xfId="0" applyNumberFormat="1" applyFont="1" applyAlignment="1"/>
    <xf numFmtId="0" fontId="41" fillId="0" borderId="0" xfId="0" applyFont="1" applyFill="1"/>
    <xf numFmtId="0" fontId="41" fillId="0" borderId="0" xfId="0" applyFont="1" applyFill="1" applyAlignment="1"/>
    <xf numFmtId="0" fontId="48" fillId="0" borderId="0" xfId="0" applyFont="1" applyFill="1" applyAlignment="1">
      <alignment vertical="center"/>
    </xf>
    <xf numFmtId="0" fontId="49" fillId="0" borderId="0" xfId="0" applyFont="1" applyFill="1" applyAlignment="1">
      <alignment vertical="center"/>
    </xf>
    <xf numFmtId="0" fontId="41" fillId="0" borderId="0" xfId="0" applyFont="1" applyFill="1" applyAlignment="1">
      <alignment horizontal="left"/>
    </xf>
    <xf numFmtId="0" fontId="41" fillId="0" borderId="0" xfId="0" applyFont="1" applyAlignment="1">
      <alignment vertical="center"/>
    </xf>
    <xf numFmtId="169" fontId="41" fillId="0" borderId="0" xfId="0" applyNumberFormat="1" applyFont="1" applyAlignment="1">
      <alignment horizontal="left" vertical="center"/>
    </xf>
    <xf numFmtId="169" fontId="42" fillId="0" borderId="0" xfId="0" applyNumberFormat="1" applyFont="1" applyAlignment="1">
      <alignment horizontal="left" vertical="center"/>
    </xf>
    <xf numFmtId="0" fontId="32" fillId="15" borderId="0" xfId="0" applyFont="1" applyFill="1" applyAlignment="1">
      <alignment wrapText="1"/>
    </xf>
    <xf numFmtId="169" fontId="32" fillId="15" borderId="0" xfId="0" applyNumberFormat="1" applyFont="1" applyFill="1" applyAlignment="1">
      <alignment horizontal="right" vertical="center"/>
    </xf>
    <xf numFmtId="9" fontId="32" fillId="15" borderId="0" xfId="0" applyNumberFormat="1" applyFont="1" applyFill="1" applyAlignment="1">
      <alignment horizontal="right" vertical="center"/>
    </xf>
    <xf numFmtId="0" fontId="32" fillId="15" borderId="0" xfId="0" applyFont="1" applyFill="1" applyAlignment="1">
      <alignment horizontal="right" vertical="center"/>
    </xf>
    <xf numFmtId="0" fontId="43" fillId="0" borderId="0" xfId="0" applyFont="1" applyAlignment="1">
      <alignment vertical="top" wrapText="1"/>
    </xf>
    <xf numFmtId="0" fontId="32" fillId="0" borderId="0" xfId="0" applyFont="1" applyFill="1" applyAlignment="1">
      <alignment horizontal="left" wrapText="1"/>
    </xf>
    <xf numFmtId="169" fontId="32" fillId="0" borderId="0" xfId="0" applyNumberFormat="1" applyFont="1" applyFill="1" applyAlignment="1">
      <alignment horizontal="right" vertical="center"/>
    </xf>
    <xf numFmtId="9" fontId="32" fillId="0" borderId="0" xfId="0" applyNumberFormat="1" applyFont="1" applyFill="1" applyAlignment="1">
      <alignment horizontal="right" vertical="center"/>
    </xf>
    <xf numFmtId="0" fontId="50" fillId="0" borderId="0" xfId="0" applyFont="1" applyAlignment="1">
      <alignment horizontal="center" vertical="top" wrapText="1"/>
    </xf>
    <xf numFmtId="0" fontId="29" fillId="0" borderId="0" xfId="0" applyFont="1"/>
    <xf numFmtId="0" fontId="51" fillId="16" borderId="0" xfId="0" applyFont="1" applyFill="1" applyBorder="1" applyAlignment="1">
      <alignment horizontal="center" vertical="center" wrapText="1"/>
    </xf>
    <xf numFmtId="0" fontId="29" fillId="0" borderId="0" xfId="0" applyFont="1" applyAlignment="1">
      <alignment horizontal="center"/>
    </xf>
    <xf numFmtId="6" fontId="29" fillId="0" borderId="0" xfId="0" applyNumberFormat="1" applyFont="1" applyAlignment="1">
      <alignment horizontal="center"/>
    </xf>
    <xf numFmtId="1" fontId="29" fillId="0" borderId="0" xfId="0" applyNumberFormat="1" applyFont="1" applyAlignment="1">
      <alignment horizontal="center" vertical="center" wrapText="1"/>
    </xf>
    <xf numFmtId="6" fontId="29" fillId="0" borderId="0" xfId="0" applyNumberFormat="1" applyFont="1" applyAlignment="1">
      <alignment horizontal="center" vertical="center" wrapText="1"/>
    </xf>
    <xf numFmtId="6" fontId="29" fillId="0" borderId="0" xfId="0" applyNumberFormat="1" applyFont="1" applyAlignment="1">
      <alignment horizontal="right" vertical="center" wrapText="1"/>
    </xf>
    <xf numFmtId="6" fontId="29" fillId="0" borderId="0" xfId="0" applyNumberFormat="1" applyFont="1"/>
    <xf numFmtId="6" fontId="43" fillId="0" borderId="0" xfId="0" applyNumberFormat="1" applyFont="1" applyAlignment="1"/>
    <xf numFmtId="6" fontId="53" fillId="0" borderId="0" xfId="0" applyNumberFormat="1" applyFont="1" applyAlignment="1">
      <alignment vertical="center" wrapText="1"/>
    </xf>
    <xf numFmtId="0" fontId="54" fillId="15" borderId="0" xfId="5" applyFill="1" applyBorder="1" applyAlignment="1">
      <alignment horizontal="center" vertical="center"/>
    </xf>
    <xf numFmtId="0" fontId="54" fillId="18" borderId="0" xfId="5" applyFill="1" applyBorder="1" applyAlignment="1">
      <alignment horizontal="center" vertical="center"/>
    </xf>
    <xf numFmtId="0" fontId="23" fillId="14" borderId="0" xfId="0" applyFont="1" applyFill="1" applyAlignment="1">
      <alignment horizontal="center" vertical="center"/>
    </xf>
    <xf numFmtId="0" fontId="37" fillId="5" borderId="0" xfId="0" applyFont="1" applyFill="1" applyAlignment="1">
      <alignment horizontal="left" vertical="center" wrapText="1"/>
    </xf>
    <xf numFmtId="0" fontId="42" fillId="0" borderId="0" xfId="0" applyFont="1" applyFill="1" applyAlignment="1">
      <alignment horizontal="left" vertical="center"/>
    </xf>
    <xf numFmtId="6" fontId="29" fillId="0" borderId="0" xfId="0" applyNumberFormat="1" applyFont="1" applyAlignment="1">
      <alignment horizontal="center" vertical="center"/>
    </xf>
    <xf numFmtId="6" fontId="29" fillId="0" borderId="0" xfId="0" applyNumberFormat="1" applyFont="1" applyAlignment="1">
      <alignment horizontal="center"/>
    </xf>
    <xf numFmtId="0" fontId="50" fillId="0" borderId="0" xfId="0" applyFont="1" applyAlignment="1">
      <alignment horizontal="center" vertical="top" wrapText="1"/>
    </xf>
    <xf numFmtId="6" fontId="53" fillId="0" borderId="0" xfId="0" applyNumberFormat="1" applyFont="1" applyAlignment="1">
      <alignment horizontal="center" wrapText="1"/>
    </xf>
    <xf numFmtId="6" fontId="43" fillId="0" borderId="0" xfId="0" applyNumberFormat="1" applyFont="1" applyAlignment="1">
      <alignment horizontal="center"/>
    </xf>
    <xf numFmtId="6" fontId="43" fillId="0" borderId="0" xfId="0" applyNumberFormat="1" applyFont="1" applyAlignment="1">
      <alignment horizontal="center" vertical="top" wrapText="1"/>
    </xf>
    <xf numFmtId="6" fontId="43" fillId="0" borderId="0" xfId="0" applyNumberFormat="1" applyFont="1" applyAlignment="1">
      <alignment horizontal="center" wrapText="1"/>
    </xf>
    <xf numFmtId="0" fontId="32" fillId="0" borderId="0" xfId="0" applyFont="1" applyAlignment="1">
      <alignment horizontal="left" vertical="top" wrapText="1"/>
    </xf>
    <xf numFmtId="1" fontId="29" fillId="0" borderId="0" xfId="0" applyNumberFormat="1" applyFont="1" applyAlignment="1">
      <alignment horizontal="center" vertical="center"/>
    </xf>
    <xf numFmtId="0" fontId="52" fillId="14" borderId="0" xfId="0" applyFont="1" applyFill="1" applyBorder="1" applyAlignment="1">
      <alignment horizontal="center" vertical="center" wrapText="1"/>
    </xf>
    <xf numFmtId="0" fontId="52" fillId="14" borderId="50" xfId="0" applyFont="1" applyFill="1" applyBorder="1" applyAlignment="1">
      <alignment horizontal="center" vertical="center" wrapText="1"/>
    </xf>
    <xf numFmtId="0" fontId="51" fillId="16" borderId="0" xfId="0" applyFont="1" applyFill="1" applyBorder="1" applyAlignment="1">
      <alignment horizontal="center" vertical="center" wrapText="1"/>
    </xf>
    <xf numFmtId="0" fontId="51" fillId="16" borderId="50" xfId="0" applyFont="1" applyFill="1" applyBorder="1" applyAlignment="1">
      <alignment horizontal="center" vertical="center" wrapText="1"/>
    </xf>
    <xf numFmtId="0" fontId="28" fillId="0" borderId="0" xfId="0" applyFont="1" applyAlignment="1">
      <alignment horizontal="center" vertical="center"/>
    </xf>
    <xf numFmtId="0" fontId="21" fillId="0" borderId="0" xfId="0" applyFont="1" applyAlignment="1">
      <alignment horizontal="center"/>
    </xf>
    <xf numFmtId="0" fontId="52" fillId="14" borderId="0" xfId="0" applyFont="1" applyFill="1" applyAlignment="1">
      <alignment horizontal="center" vertical="center" wrapText="1"/>
    </xf>
    <xf numFmtId="0" fontId="28" fillId="0" borderId="0" xfId="0" applyFont="1" applyAlignment="1">
      <alignment horizontal="left" vertical="top" wrapText="1"/>
    </xf>
    <xf numFmtId="0" fontId="31" fillId="16" borderId="0" xfId="0" applyFont="1" applyFill="1" applyAlignment="1">
      <alignment horizontal="center" vertical="center" wrapText="1"/>
    </xf>
    <xf numFmtId="6" fontId="43" fillId="0" borderId="0" xfId="0" applyNumberFormat="1" applyFont="1" applyAlignment="1">
      <alignment horizontal="center" vertical="top"/>
    </xf>
    <xf numFmtId="0" fontId="40" fillId="16" borderId="0" xfId="0" applyFont="1" applyFill="1" applyAlignment="1">
      <alignment horizontal="left" vertical="center"/>
    </xf>
    <xf numFmtId="0" fontId="47" fillId="0" borderId="0" xfId="0" applyFont="1" applyAlignment="1">
      <alignment horizontal="center"/>
    </xf>
    <xf numFmtId="0" fontId="39" fillId="14" borderId="0" xfId="0" applyFont="1" applyFill="1" applyAlignment="1">
      <alignment horizontal="left" vertical="center"/>
    </xf>
    <xf numFmtId="0" fontId="39" fillId="17" borderId="0" xfId="0" applyFont="1" applyFill="1" applyAlignment="1">
      <alignment horizontal="left" vertical="center"/>
    </xf>
    <xf numFmtId="0" fontId="43" fillId="0" borderId="0" xfId="0" applyFont="1" applyAlignment="1">
      <alignment horizontal="center" vertical="top" wrapText="1"/>
    </xf>
    <xf numFmtId="0" fontId="48" fillId="16" borderId="0" xfId="0" applyFont="1" applyFill="1" applyAlignment="1">
      <alignment horizontal="center" vertical="center"/>
    </xf>
    <xf numFmtId="1" fontId="29" fillId="0" borderId="0" xfId="0" applyNumberFormat="1" applyFont="1" applyFill="1" applyAlignment="1">
      <alignment horizontal="right" vertical="center"/>
    </xf>
    <xf numFmtId="6" fontId="41" fillId="0" borderId="0" xfId="0" applyNumberFormat="1" applyFont="1" applyFill="1" applyAlignment="1">
      <alignment horizontal="left"/>
    </xf>
    <xf numFmtId="0" fontId="41" fillId="0" borderId="0" xfId="0" applyFont="1" applyFill="1" applyAlignment="1">
      <alignment horizontal="left"/>
    </xf>
    <xf numFmtId="169" fontId="41" fillId="0" borderId="0" xfId="0" applyNumberFormat="1" applyFont="1" applyFill="1" applyAlignment="1">
      <alignment horizontal="left" vertical="center"/>
    </xf>
    <xf numFmtId="0" fontId="42" fillId="0" borderId="0" xfId="0" applyFont="1" applyFill="1" applyAlignment="1">
      <alignment horizontal="left" wrapText="1"/>
    </xf>
    <xf numFmtId="0" fontId="42" fillId="0" borderId="0" xfId="0" applyFont="1" applyFill="1" applyAlignment="1">
      <alignment horizontal="left" vertical="center" wrapText="1"/>
    </xf>
    <xf numFmtId="0" fontId="38" fillId="5" borderId="10" xfId="0" applyFont="1" applyFill="1" applyBorder="1" applyAlignment="1">
      <alignment horizontal="center" vertical="center" wrapText="1"/>
    </xf>
    <xf numFmtId="0" fontId="45" fillId="0" borderId="0" xfId="0" applyFont="1" applyAlignment="1">
      <alignment horizontal="center" wrapText="1"/>
    </xf>
    <xf numFmtId="0" fontId="42" fillId="0" borderId="0" xfId="0" applyFont="1" applyAlignment="1">
      <alignment horizontal="center" wrapText="1"/>
    </xf>
    <xf numFmtId="0" fontId="42" fillId="0" borderId="0" xfId="0" applyFont="1" applyAlignment="1">
      <alignment horizontal="center" vertical="center" wrapText="1"/>
    </xf>
    <xf numFmtId="0" fontId="43" fillId="0" borderId="0" xfId="0" applyFont="1" applyAlignment="1">
      <alignment horizontal="center"/>
    </xf>
    <xf numFmtId="0" fontId="43" fillId="0" borderId="0" xfId="0" applyFont="1" applyAlignment="1">
      <alignment horizontal="center" vertical="top"/>
    </xf>
    <xf numFmtId="0" fontId="44" fillId="0" borderId="0" xfId="0" applyFont="1" applyAlignment="1">
      <alignment horizontal="center"/>
    </xf>
    <xf numFmtId="6" fontId="45" fillId="0" borderId="0" xfId="0" applyNumberFormat="1" applyFont="1" applyAlignment="1">
      <alignment horizontal="center"/>
    </xf>
    <xf numFmtId="0" fontId="46" fillId="14" borderId="0" xfId="0" applyFont="1" applyFill="1" applyAlignment="1">
      <alignment horizontal="center" vertical="center"/>
    </xf>
    <xf numFmtId="0" fontId="32" fillId="15" borderId="0" xfId="0" applyFont="1" applyFill="1" applyAlignment="1">
      <alignment horizontal="left" wrapText="1"/>
    </xf>
    <xf numFmtId="0" fontId="31" fillId="16" borderId="0" xfId="0" applyFont="1" applyFill="1" applyAlignment="1">
      <alignment horizontal="center" vertical="center"/>
    </xf>
    <xf numFmtId="0" fontId="28" fillId="0" borderId="0" xfId="0" applyFont="1" applyAlignment="1">
      <alignment horizontal="center"/>
    </xf>
    <xf numFmtId="0" fontId="28" fillId="0" borderId="43" xfId="0" applyFont="1" applyFill="1" applyBorder="1" applyAlignment="1">
      <alignment horizontal="left" vertical="center" wrapText="1"/>
    </xf>
    <xf numFmtId="0" fontId="28" fillId="0" borderId="44" xfId="0" applyFont="1" applyFill="1" applyBorder="1" applyAlignment="1">
      <alignment horizontal="left" vertical="center" wrapText="1"/>
    </xf>
    <xf numFmtId="0" fontId="28" fillId="0" borderId="45" xfId="0" applyFont="1" applyFill="1" applyBorder="1" applyAlignment="1">
      <alignment horizontal="left" vertical="center" wrapText="1"/>
    </xf>
    <xf numFmtId="0" fontId="28" fillId="0" borderId="46" xfId="0" applyFont="1" applyFill="1" applyBorder="1" applyAlignment="1">
      <alignment horizontal="left" vertical="center" wrapText="1"/>
    </xf>
    <xf numFmtId="0" fontId="28" fillId="0" borderId="0" xfId="0" applyFont="1" applyFill="1" applyBorder="1" applyAlignment="1">
      <alignment horizontal="left" vertical="center" wrapText="1"/>
    </xf>
    <xf numFmtId="0" fontId="28" fillId="0" borderId="47" xfId="0" applyFont="1" applyFill="1" applyBorder="1" applyAlignment="1">
      <alignment horizontal="left" vertical="center" wrapText="1"/>
    </xf>
    <xf numFmtId="0" fontId="28" fillId="0" borderId="48" xfId="0" applyFont="1" applyFill="1" applyBorder="1" applyAlignment="1">
      <alignment horizontal="left" vertical="center" wrapText="1"/>
    </xf>
    <xf numFmtId="0" fontId="28" fillId="0" borderId="36" xfId="0" applyFont="1" applyFill="1" applyBorder="1" applyAlignment="1">
      <alignment horizontal="left" vertical="center" wrapText="1"/>
    </xf>
    <xf numFmtId="0" fontId="28" fillId="0" borderId="49" xfId="0" applyFont="1" applyFill="1" applyBorder="1" applyAlignment="1">
      <alignment horizontal="left" vertical="center" wrapText="1"/>
    </xf>
    <xf numFmtId="0" fontId="3" fillId="0" borderId="0" xfId="0" applyFont="1" applyAlignment="1">
      <alignment horizontal="center" vertical="center"/>
    </xf>
    <xf numFmtId="38" fontId="3" fillId="0" borderId="0" xfId="0" applyNumberFormat="1" applyFont="1" applyAlignment="1">
      <alignment horizontal="center" vertical="center"/>
    </xf>
    <xf numFmtId="0" fontId="7" fillId="12" borderId="1" xfId="0" applyFont="1" applyFill="1" applyBorder="1" applyAlignment="1">
      <alignment horizontal="center" vertical="center"/>
    </xf>
    <xf numFmtId="0" fontId="7" fillId="12" borderId="2" xfId="0" applyFont="1" applyFill="1" applyBorder="1" applyAlignment="1">
      <alignment horizontal="center" vertical="center"/>
    </xf>
    <xf numFmtId="0" fontId="7" fillId="12" borderId="3"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15" xfId="0" applyFont="1" applyFill="1" applyBorder="1" applyAlignment="1">
      <alignment horizontal="center" vertical="center"/>
    </xf>
    <xf numFmtId="0" fontId="7" fillId="3" borderId="1" xfId="0" applyFont="1" applyFill="1" applyBorder="1" applyAlignment="1">
      <alignment horizontal="center" vertical="center"/>
    </xf>
    <xf numFmtId="0" fontId="7" fillId="3" borderId="2" xfId="0" applyFont="1" applyFill="1" applyBorder="1" applyAlignment="1">
      <alignment horizontal="center" vertical="center"/>
    </xf>
    <xf numFmtId="0" fontId="7" fillId="3" borderId="3" xfId="0" applyFont="1" applyFill="1" applyBorder="1" applyAlignment="1">
      <alignment horizontal="center" vertical="center"/>
    </xf>
    <xf numFmtId="0" fontId="7" fillId="4" borderId="1" xfId="0" applyFont="1" applyFill="1" applyBorder="1" applyAlignment="1">
      <alignment horizontal="center" vertical="center"/>
    </xf>
    <xf numFmtId="0" fontId="7" fillId="4" borderId="2" xfId="0" applyFont="1" applyFill="1" applyBorder="1" applyAlignment="1">
      <alignment horizontal="center" vertical="center"/>
    </xf>
    <xf numFmtId="0" fontId="7" fillId="4" borderId="3" xfId="0" applyFont="1" applyFill="1" applyBorder="1" applyAlignment="1">
      <alignment horizontal="center" vertical="center"/>
    </xf>
    <xf numFmtId="0" fontId="7" fillId="3" borderId="41" xfId="0" applyFont="1" applyFill="1" applyBorder="1" applyAlignment="1">
      <alignment horizontal="center" vertical="center"/>
    </xf>
    <xf numFmtId="0" fontId="7" fillId="3" borderId="42" xfId="0" applyFont="1" applyFill="1" applyBorder="1" applyAlignment="1">
      <alignment horizontal="center" vertical="center"/>
    </xf>
    <xf numFmtId="0" fontId="7" fillId="3" borderId="28" xfId="0" applyFont="1" applyFill="1" applyBorder="1" applyAlignment="1">
      <alignment horizontal="center" vertical="center"/>
    </xf>
    <xf numFmtId="0" fontId="9" fillId="11" borderId="8" xfId="0" applyFont="1" applyFill="1" applyBorder="1" applyAlignment="1">
      <alignment horizontal="center" vertical="center" wrapText="1"/>
    </xf>
    <xf numFmtId="0" fontId="9" fillId="11" borderId="13" xfId="0" applyFont="1" applyFill="1" applyBorder="1" applyAlignment="1">
      <alignment horizontal="center" vertical="center" wrapText="1"/>
    </xf>
    <xf numFmtId="0" fontId="9" fillId="11" borderId="11" xfId="0" applyFont="1" applyFill="1" applyBorder="1" applyAlignment="1">
      <alignment horizontal="center" vertical="center" wrapText="1"/>
    </xf>
    <xf numFmtId="0" fontId="3" fillId="2" borderId="37" xfId="0" applyFont="1" applyFill="1" applyBorder="1" applyAlignment="1">
      <alignment horizontal="center" vertical="center"/>
    </xf>
    <xf numFmtId="0" fontId="3" fillId="2" borderId="40" xfId="0" applyFont="1" applyFill="1" applyBorder="1" applyAlignment="1">
      <alignment horizontal="center" vertical="center"/>
    </xf>
    <xf numFmtId="164" fontId="8" fillId="0" borderId="31" xfId="0" applyNumberFormat="1" applyFont="1" applyBorder="1" applyAlignment="1">
      <alignment horizontal="center" vertical="center"/>
    </xf>
    <xf numFmtId="164" fontId="8" fillId="0" borderId="32" xfId="0" applyNumberFormat="1" applyFont="1" applyBorder="1" applyAlignment="1">
      <alignment horizontal="center" vertical="center"/>
    </xf>
    <xf numFmtId="0" fontId="3" fillId="2" borderId="38" xfId="0" applyFont="1" applyFill="1" applyBorder="1" applyAlignment="1">
      <alignment horizontal="center" vertical="center"/>
    </xf>
    <xf numFmtId="0" fontId="3" fillId="2" borderId="39" xfId="0" applyFont="1" applyFill="1" applyBorder="1" applyAlignment="1">
      <alignment horizontal="center" vertical="center"/>
    </xf>
    <xf numFmtId="164" fontId="8" fillId="0" borderId="29" xfId="0" applyNumberFormat="1" applyFont="1" applyBorder="1" applyAlignment="1">
      <alignment horizontal="center" vertical="center"/>
    </xf>
    <xf numFmtId="164" fontId="8" fillId="0" borderId="30" xfId="0" applyNumberFormat="1" applyFont="1" applyBorder="1" applyAlignment="1">
      <alignment horizontal="center" vertical="center"/>
    </xf>
    <xf numFmtId="0" fontId="6" fillId="0" borderId="1" xfId="0" applyFont="1" applyFill="1" applyBorder="1" applyAlignment="1" applyProtection="1">
      <alignment horizontal="center" vertical="center"/>
      <protection locked="0"/>
    </xf>
    <xf numFmtId="0" fontId="6" fillId="0" borderId="2" xfId="0" applyFont="1" applyFill="1" applyBorder="1" applyAlignment="1" applyProtection="1">
      <alignment horizontal="center" vertical="center"/>
      <protection locked="0"/>
    </xf>
    <xf numFmtId="0" fontId="6" fillId="0" borderId="3" xfId="0" applyFont="1" applyFill="1" applyBorder="1" applyAlignment="1" applyProtection="1">
      <alignment horizontal="center" vertical="center"/>
      <protection locked="0"/>
    </xf>
    <xf numFmtId="0" fontId="6" fillId="4" borderId="1" xfId="0" applyFont="1" applyFill="1" applyBorder="1" applyAlignment="1" applyProtection="1">
      <alignment horizontal="center" vertical="center"/>
      <protection locked="0"/>
    </xf>
    <xf numFmtId="0" fontId="6" fillId="4" borderId="2" xfId="0" applyFont="1" applyFill="1" applyBorder="1" applyAlignment="1" applyProtection="1">
      <alignment horizontal="center" vertical="center"/>
      <protection locked="0"/>
    </xf>
    <xf numFmtId="0" fontId="6" fillId="4" borderId="3" xfId="0" applyFont="1" applyFill="1" applyBorder="1" applyAlignment="1" applyProtection="1">
      <alignment horizontal="center" vertical="center"/>
      <protection locked="0"/>
    </xf>
    <xf numFmtId="164" fontId="6" fillId="0" borderId="1" xfId="0" applyNumberFormat="1" applyFont="1" applyFill="1" applyBorder="1" applyAlignment="1" applyProtection="1">
      <alignment horizontal="center" vertical="center"/>
    </xf>
    <xf numFmtId="164" fontId="6" fillId="0" borderId="2" xfId="0" applyNumberFormat="1" applyFont="1" applyFill="1" applyBorder="1" applyAlignment="1" applyProtection="1">
      <alignment horizontal="center" vertical="center"/>
    </xf>
    <xf numFmtId="164" fontId="6" fillId="0" borderId="3" xfId="0" applyNumberFormat="1" applyFont="1" applyFill="1" applyBorder="1" applyAlignment="1" applyProtection="1">
      <alignment horizontal="center" vertical="center"/>
    </xf>
    <xf numFmtId="38" fontId="6" fillId="6" borderId="1" xfId="0" applyNumberFormat="1" applyFont="1" applyFill="1" applyBorder="1" applyAlignment="1" applyProtection="1">
      <alignment horizontal="center" vertical="center"/>
      <protection locked="0"/>
    </xf>
    <xf numFmtId="38" fontId="6" fillId="6" borderId="2" xfId="0" applyNumberFormat="1" applyFont="1" applyFill="1" applyBorder="1" applyAlignment="1" applyProtection="1">
      <alignment horizontal="center" vertical="center"/>
      <protection locked="0"/>
    </xf>
    <xf numFmtId="38" fontId="6" fillId="6" borderId="3" xfId="0" applyNumberFormat="1" applyFont="1" applyFill="1" applyBorder="1" applyAlignment="1" applyProtection="1">
      <alignment horizontal="center" vertical="center"/>
      <protection locked="0"/>
    </xf>
    <xf numFmtId="0" fontId="6" fillId="6" borderId="1" xfId="0" applyFont="1" applyFill="1" applyBorder="1" applyAlignment="1" applyProtection="1">
      <alignment horizontal="center" vertical="center"/>
      <protection locked="0"/>
    </xf>
    <xf numFmtId="0" fontId="6" fillId="6" borderId="2" xfId="0" applyFont="1" applyFill="1" applyBorder="1" applyAlignment="1" applyProtection="1">
      <alignment horizontal="center" vertical="center"/>
      <protection locked="0"/>
    </xf>
    <xf numFmtId="0" fontId="6" fillId="6" borderId="3" xfId="0" applyFont="1" applyFill="1" applyBorder="1" applyAlignment="1" applyProtection="1">
      <alignment horizontal="center" vertical="center"/>
      <protection locked="0"/>
    </xf>
    <xf numFmtId="1" fontId="7" fillId="0" borderId="5" xfId="0" applyNumberFormat="1" applyFont="1" applyFill="1" applyBorder="1" applyAlignment="1" applyProtection="1">
      <alignment horizontal="center" vertical="center" textRotation="90" wrapText="1"/>
    </xf>
    <xf numFmtId="1" fontId="7" fillId="0" borderId="25" xfId="0" applyNumberFormat="1" applyFont="1" applyFill="1" applyBorder="1" applyAlignment="1" applyProtection="1">
      <alignment horizontal="center" vertical="center" textRotation="90" wrapText="1"/>
    </xf>
    <xf numFmtId="1" fontId="7" fillId="0" borderId="15" xfId="0" applyNumberFormat="1" applyFont="1" applyFill="1" applyBorder="1" applyAlignment="1" applyProtection="1">
      <alignment horizontal="center" vertical="center" textRotation="90" wrapText="1"/>
    </xf>
    <xf numFmtId="165" fontId="5" fillId="0" borderId="9" xfId="0" applyNumberFormat="1" applyFont="1" applyFill="1" applyBorder="1" applyAlignment="1" applyProtection="1">
      <alignment horizontal="center" vertical="center"/>
      <protection locked="0"/>
    </xf>
    <xf numFmtId="165" fontId="5" fillId="0" borderId="10" xfId="0" applyNumberFormat="1" applyFont="1" applyFill="1" applyBorder="1" applyAlignment="1" applyProtection="1">
      <alignment horizontal="center" vertical="center"/>
      <protection locked="0"/>
    </xf>
    <xf numFmtId="165" fontId="5" fillId="0" borderId="9" xfId="0" applyNumberFormat="1" applyFont="1" applyFill="1" applyBorder="1" applyAlignment="1" applyProtection="1">
      <alignment horizontal="center" vertical="center"/>
    </xf>
    <xf numFmtId="165" fontId="5" fillId="0" borderId="11" xfId="0" applyNumberFormat="1" applyFont="1" applyFill="1" applyBorder="1" applyAlignment="1" applyProtection="1">
      <alignment horizontal="center" vertical="center"/>
    </xf>
    <xf numFmtId="0" fontId="6" fillId="7" borderId="1" xfId="0" applyFont="1" applyFill="1" applyBorder="1" applyAlignment="1" applyProtection="1">
      <alignment horizontal="center"/>
      <protection locked="0"/>
    </xf>
    <xf numFmtId="0" fontId="6" fillId="7" borderId="3" xfId="0" applyFont="1" applyFill="1" applyBorder="1" applyAlignment="1" applyProtection="1">
      <alignment horizontal="center"/>
      <protection locked="0"/>
    </xf>
    <xf numFmtId="165" fontId="6" fillId="7" borderId="1" xfId="0" applyNumberFormat="1" applyFont="1" applyFill="1" applyBorder="1" applyAlignment="1" applyProtection="1">
      <alignment horizontal="center" vertical="center"/>
      <protection locked="0"/>
    </xf>
    <xf numFmtId="165" fontId="6" fillId="7" borderId="2" xfId="0" applyNumberFormat="1" applyFont="1" applyFill="1" applyBorder="1" applyAlignment="1" applyProtection="1">
      <alignment horizontal="center" vertical="center"/>
      <protection locked="0"/>
    </xf>
    <xf numFmtId="165" fontId="6" fillId="7" borderId="3" xfId="0" applyNumberFormat="1" applyFont="1" applyFill="1" applyBorder="1" applyAlignment="1" applyProtection="1">
      <alignment horizontal="center" vertical="center"/>
      <protection locked="0"/>
    </xf>
    <xf numFmtId="0" fontId="18" fillId="0" borderId="36" xfId="0" applyFont="1" applyBorder="1" applyAlignment="1">
      <alignment horizontal="center" vertical="center"/>
    </xf>
    <xf numFmtId="0" fontId="19" fillId="0" borderId="0" xfId="0" applyFont="1" applyBorder="1" applyAlignment="1">
      <alignment horizontal="left" vertical="center" wrapText="1"/>
    </xf>
    <xf numFmtId="0" fontId="6" fillId="2" borderId="1" xfId="0" applyFont="1" applyFill="1" applyBorder="1" applyAlignment="1" applyProtection="1">
      <alignment horizontal="center" vertical="center"/>
      <protection locked="0"/>
    </xf>
    <xf numFmtId="0" fontId="6" fillId="2" borderId="2" xfId="0" applyFont="1" applyFill="1" applyBorder="1" applyAlignment="1" applyProtection="1">
      <alignment horizontal="center" vertical="center"/>
      <protection locked="0"/>
    </xf>
    <xf numFmtId="0" fontId="6" fillId="2" borderId="3" xfId="0" applyFont="1" applyFill="1" applyBorder="1" applyAlignment="1" applyProtection="1">
      <alignment horizontal="center" vertical="center"/>
      <protection locked="0"/>
    </xf>
    <xf numFmtId="164" fontId="5" fillId="0" borderId="1" xfId="0" applyNumberFormat="1" applyFont="1" applyFill="1" applyBorder="1" applyAlignment="1" applyProtection="1">
      <alignment horizontal="center" vertical="center"/>
      <protection locked="0"/>
    </xf>
    <xf numFmtId="164" fontId="5" fillId="0" borderId="2" xfId="0" applyNumberFormat="1" applyFont="1" applyFill="1" applyBorder="1" applyAlignment="1" applyProtection="1">
      <alignment horizontal="center" vertical="center"/>
      <protection locked="0"/>
    </xf>
    <xf numFmtId="164" fontId="5" fillId="0" borderId="3" xfId="0" applyNumberFormat="1" applyFont="1" applyFill="1" applyBorder="1" applyAlignment="1" applyProtection="1">
      <alignment horizontal="center" vertical="center"/>
      <protection locked="0"/>
    </xf>
    <xf numFmtId="0" fontId="6" fillId="2" borderId="1" xfId="0" applyFont="1" applyFill="1" applyBorder="1" applyAlignment="1" applyProtection="1">
      <alignment horizontal="center" vertical="center" wrapText="1"/>
      <protection locked="0"/>
    </xf>
    <xf numFmtId="0" fontId="6" fillId="2" borderId="2" xfId="0" applyFont="1" applyFill="1" applyBorder="1" applyAlignment="1" applyProtection="1">
      <alignment horizontal="center" vertical="center" wrapText="1"/>
      <protection locked="0"/>
    </xf>
    <xf numFmtId="0" fontId="6" fillId="2" borderId="3" xfId="0" applyFont="1" applyFill="1" applyBorder="1" applyAlignment="1" applyProtection="1">
      <alignment horizontal="center" vertical="center" wrapText="1"/>
      <protection locked="0"/>
    </xf>
    <xf numFmtId="0" fontId="6" fillId="4" borderId="7" xfId="0" applyFont="1" applyFill="1" applyBorder="1" applyAlignment="1" applyProtection="1">
      <alignment horizontal="center" vertical="center" wrapText="1"/>
      <protection locked="0"/>
    </xf>
    <xf numFmtId="0" fontId="6" fillId="4" borderId="8" xfId="0" applyFont="1" applyFill="1" applyBorder="1" applyAlignment="1" applyProtection="1">
      <alignment horizontal="center" vertical="center" wrapText="1"/>
      <protection locked="0"/>
    </xf>
    <xf numFmtId="0" fontId="7" fillId="9" borderId="1" xfId="0" applyFont="1" applyFill="1" applyBorder="1" applyAlignment="1" applyProtection="1">
      <alignment horizontal="center" vertical="center"/>
      <protection locked="0"/>
    </xf>
    <xf numFmtId="0" fontId="7" fillId="9" borderId="2" xfId="0" applyFont="1" applyFill="1" applyBorder="1" applyAlignment="1" applyProtection="1">
      <alignment horizontal="center" vertical="center"/>
      <protection locked="0"/>
    </xf>
    <xf numFmtId="0" fontId="7" fillId="9" borderId="3" xfId="0" applyFont="1" applyFill="1" applyBorder="1" applyAlignment="1" applyProtection="1">
      <alignment horizontal="center" vertical="center"/>
      <protection locked="0"/>
    </xf>
    <xf numFmtId="0" fontId="7" fillId="0" borderId="7" xfId="0" applyFont="1" applyBorder="1" applyAlignment="1" applyProtection="1">
      <alignment horizontal="center" vertical="center"/>
      <protection locked="0"/>
    </xf>
    <xf numFmtId="0" fontId="7" fillId="0" borderId="27" xfId="0" applyFont="1" applyBorder="1" applyAlignment="1" applyProtection="1">
      <alignment horizontal="center" vertical="center"/>
      <protection locked="0"/>
    </xf>
    <xf numFmtId="0" fontId="7" fillId="0" borderId="8" xfId="0" applyFont="1" applyBorder="1" applyAlignment="1" applyProtection="1">
      <alignment horizontal="center" vertical="center"/>
      <protection locked="0"/>
    </xf>
    <xf numFmtId="38" fontId="7" fillId="4" borderId="1" xfId="0" applyNumberFormat="1" applyFont="1" applyFill="1" applyBorder="1" applyAlignment="1" applyProtection="1">
      <alignment horizontal="center" vertical="center"/>
    </xf>
    <xf numFmtId="38" fontId="7" fillId="4" borderId="2" xfId="0" applyNumberFormat="1" applyFont="1" applyFill="1" applyBorder="1" applyAlignment="1" applyProtection="1">
      <alignment horizontal="center" vertical="center"/>
    </xf>
    <xf numFmtId="38" fontId="7" fillId="4" borderId="3" xfId="0" applyNumberFormat="1" applyFont="1" applyFill="1" applyBorder="1" applyAlignment="1" applyProtection="1">
      <alignment horizontal="center" vertical="center"/>
    </xf>
    <xf numFmtId="0" fontId="15" fillId="0" borderId="0" xfId="0" applyFont="1" applyBorder="1" applyAlignment="1">
      <alignment horizontal="left" vertical="center" wrapText="1"/>
    </xf>
    <xf numFmtId="0" fontId="15" fillId="0" borderId="0" xfId="0" applyFont="1" applyBorder="1" applyAlignment="1" applyProtection="1">
      <alignment horizontal="left" vertical="center" wrapText="1"/>
      <protection locked="0"/>
    </xf>
    <xf numFmtId="0" fontId="20" fillId="0" borderId="0" xfId="0" applyFont="1" applyBorder="1" applyAlignment="1" applyProtection="1">
      <alignment horizontal="center"/>
      <protection locked="0"/>
    </xf>
    <xf numFmtId="0" fontId="7" fillId="10" borderId="16" xfId="0" applyFont="1" applyFill="1" applyBorder="1" applyAlignment="1">
      <alignment horizontal="center" vertical="center" wrapText="1"/>
    </xf>
    <xf numFmtId="0" fontId="7" fillId="10" borderId="17" xfId="0" applyFont="1" applyFill="1" applyBorder="1" applyAlignment="1">
      <alignment horizontal="center" vertical="center" wrapText="1"/>
    </xf>
    <xf numFmtId="0" fontId="7" fillId="10" borderId="18" xfId="0" applyFont="1" applyFill="1" applyBorder="1" applyAlignment="1">
      <alignment horizontal="center" vertical="center" wrapText="1"/>
    </xf>
    <xf numFmtId="0" fontId="7" fillId="2" borderId="16" xfId="0" applyFont="1" applyFill="1" applyBorder="1" applyAlignment="1">
      <alignment horizontal="center" vertical="center" wrapText="1"/>
    </xf>
    <xf numFmtId="0" fontId="7" fillId="2" borderId="17" xfId="0" applyFont="1" applyFill="1" applyBorder="1" applyAlignment="1">
      <alignment horizontal="center" vertical="center" wrapText="1"/>
    </xf>
    <xf numFmtId="0" fontId="7" fillId="2" borderId="18" xfId="0" applyFont="1" applyFill="1" applyBorder="1" applyAlignment="1">
      <alignment horizontal="center" vertical="center" wrapText="1"/>
    </xf>
    <xf numFmtId="0" fontId="7" fillId="2" borderId="16" xfId="0" applyFont="1" applyFill="1" applyBorder="1" applyAlignment="1">
      <alignment horizontal="center" vertical="center"/>
    </xf>
    <xf numFmtId="0" fontId="7" fillId="2" borderId="17" xfId="0" applyFont="1" applyFill="1" applyBorder="1" applyAlignment="1">
      <alignment horizontal="center" vertical="center"/>
    </xf>
    <xf numFmtId="0" fontId="7" fillId="2" borderId="18" xfId="0" applyFont="1" applyFill="1" applyBorder="1" applyAlignment="1">
      <alignment horizontal="center" vertical="center"/>
    </xf>
  </cellXfs>
  <cellStyles count="6">
    <cellStyle name="Comma" xfId="1" builtinId="3"/>
    <cellStyle name="Hyperlink" xfId="5" builtinId="8"/>
    <cellStyle name="Hyperlink 2" xfId="4" xr:uid="{96BF4E00-C1DE-4B3F-B231-1227F6015A97}"/>
    <cellStyle name="Normal" xfId="0" builtinId="0"/>
    <cellStyle name="Normal 2" xfId="3" xr:uid="{5E00EA45-E6FE-4077-9599-DB5122B514B3}"/>
    <cellStyle name="Percent" xfId="2" builtinId="5"/>
  </cellStyles>
  <dxfs count="0"/>
  <tableStyles count="0" defaultTableStyle="TableStyleMedium2" defaultPivotStyle="PivotStyleLight16"/>
  <colors>
    <mruColors>
      <color rgb="FFAB794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 /><Relationship Id="rId13" Type="http://schemas.openxmlformats.org/officeDocument/2006/relationships/sharedStrings" Target="sharedStrings.xml" /><Relationship Id="rId3" Type="http://schemas.openxmlformats.org/officeDocument/2006/relationships/worksheet" Target="worksheets/sheet3.xml" /><Relationship Id="rId7" Type="http://schemas.openxmlformats.org/officeDocument/2006/relationships/worksheet" Target="worksheets/sheet7.xml" /><Relationship Id="rId12" Type="http://schemas.openxmlformats.org/officeDocument/2006/relationships/styles" Target="styles.xml" /><Relationship Id="rId2" Type="http://schemas.openxmlformats.org/officeDocument/2006/relationships/worksheet" Target="worksheets/sheet2.xml" /><Relationship Id="rId1" Type="http://schemas.openxmlformats.org/officeDocument/2006/relationships/worksheet" Target="worksheets/sheet1.xml" /><Relationship Id="rId6" Type="http://schemas.openxmlformats.org/officeDocument/2006/relationships/worksheet" Target="worksheets/sheet6.xml" /><Relationship Id="rId11" Type="http://schemas.openxmlformats.org/officeDocument/2006/relationships/theme" Target="theme/theme1.xml" /><Relationship Id="rId5" Type="http://schemas.openxmlformats.org/officeDocument/2006/relationships/worksheet" Target="worksheets/sheet5.xml" /><Relationship Id="rId15" Type="http://schemas.openxmlformats.org/officeDocument/2006/relationships/calcChain" Target="calcChain.xml" /><Relationship Id="rId10" Type="http://schemas.openxmlformats.org/officeDocument/2006/relationships/worksheet" Target="worksheets/sheet10.xml" /><Relationship Id="rId4" Type="http://schemas.openxmlformats.org/officeDocument/2006/relationships/worksheet" Target="worksheets/sheet4.xml" /><Relationship Id="rId9" Type="http://schemas.openxmlformats.org/officeDocument/2006/relationships/worksheet" Target="worksheets/sheet9.xml" /><Relationship Id="rId14" Type="http://schemas.openxmlformats.org/officeDocument/2006/relationships/sheetMetadata" Target="metadata.xml" /></Relationships>
</file>

<file path=xl/charts/_rels/chart1.xml.rels><?xml version="1.0" encoding="UTF-8" standalone="yes"?>
<Relationships xmlns="http://schemas.openxmlformats.org/package/2006/relationships"><Relationship Id="rId2" Type="http://schemas.microsoft.com/office/2011/relationships/chartColorStyle" Target="colors1.xml" /><Relationship Id="rId1" Type="http://schemas.microsoft.com/office/2011/relationships/chartStyle" Target="style1.xml" /></Relationships>
</file>

<file path=xl/charts/_rels/chart2.xml.rels><?xml version="1.0" encoding="UTF-8" standalone="yes"?>
<Relationships xmlns="http://schemas.openxmlformats.org/package/2006/relationships"><Relationship Id="rId2" Type="http://schemas.microsoft.com/office/2011/relationships/chartColorStyle" Target="colors2.xml" /><Relationship Id="rId1" Type="http://schemas.microsoft.com/office/2011/relationships/chartStyle" Target="style2.xml" /></Relationships>
</file>

<file path=xl/charts/_rels/chart3.xml.rels><?xml version="1.0" encoding="UTF-8" standalone="yes"?>
<Relationships xmlns="http://schemas.openxmlformats.org/package/2006/relationships"><Relationship Id="rId2" Type="http://schemas.microsoft.com/office/2011/relationships/chartColorStyle" Target="colors3.xml" /><Relationship Id="rId1" Type="http://schemas.microsoft.com/office/2011/relationships/chartStyle" Target="style3.xml" /></Relationships>
</file>

<file path=xl/charts/_rels/chart4.xml.rels><?xml version="1.0" encoding="UTF-8" standalone="yes"?>
<Relationships xmlns="http://schemas.openxmlformats.org/package/2006/relationships"><Relationship Id="rId2" Type="http://schemas.microsoft.com/office/2011/relationships/chartColorStyle" Target="colors4.xml" /><Relationship Id="rId1" Type="http://schemas.microsoft.com/office/2011/relationships/chartStyle" Target="style4.xml" /></Relationships>
</file>

<file path=xl/charts/_rels/chart5.xml.rels><?xml version="1.0" encoding="UTF-8" standalone="yes"?>
<Relationships xmlns="http://schemas.openxmlformats.org/package/2006/relationships"><Relationship Id="rId2" Type="http://schemas.microsoft.com/office/2011/relationships/chartColorStyle" Target="colors5.xml" /><Relationship Id="rId1" Type="http://schemas.microsoft.com/office/2011/relationships/chartStyle" Target="style5.xml" /></Relationships>
</file>

<file path=xl/charts/_rels/chart6.xml.rels><?xml version="1.0" encoding="UTF-8" standalone="yes"?>
<Relationships xmlns="http://schemas.openxmlformats.org/package/2006/relationships"><Relationship Id="rId2" Type="http://schemas.microsoft.com/office/2011/relationships/chartColorStyle" Target="colors6.xml" /><Relationship Id="rId1" Type="http://schemas.microsoft.com/office/2011/relationships/chartStyle" Target="style6.xml" /></Relationships>
</file>

<file path=xl/charts/_rels/chart7.xml.rels><?xml version="1.0" encoding="UTF-8" standalone="yes"?>
<Relationships xmlns="http://schemas.openxmlformats.org/package/2006/relationships"><Relationship Id="rId2" Type="http://schemas.microsoft.com/office/2011/relationships/chartColorStyle" Target="colors7.xml" /><Relationship Id="rId1" Type="http://schemas.microsoft.com/office/2011/relationships/chartStyle" Target="style7.xml" /></Relationships>
</file>

<file path=xl/charts/_rels/chart8.xml.rels><?xml version="1.0" encoding="UTF-8" standalone="yes"?>
<Relationships xmlns="http://schemas.openxmlformats.org/package/2006/relationships"><Relationship Id="rId2" Type="http://schemas.microsoft.com/office/2011/relationships/chartColorStyle" Target="colors8.xml" /><Relationship Id="rId1" Type="http://schemas.microsoft.com/office/2011/relationships/chartStyle" Target="style8.xml" /></Relationships>
</file>

<file path=xl/charts/_rels/chart9.xml.rels><?xml version="1.0" encoding="UTF-8" standalone="yes"?>
<Relationships xmlns="http://schemas.openxmlformats.org/package/2006/relationships"><Relationship Id="rId2" Type="http://schemas.microsoft.com/office/2011/relationships/chartColorStyle" Target="colors9.xml" /><Relationship Id="rId1" Type="http://schemas.microsoft.com/office/2011/relationships/chartStyle" Target="style9.xml" /></Relationships>
</file>

<file path=xl/charts/_rels/chart10.xml.rels><?xml version="1.0" encoding="UTF-8" standalone="yes"?>
<Relationships xmlns="http://schemas.openxmlformats.org/package/2006/relationships"><Relationship Id="rId2" Type="http://schemas.microsoft.com/office/2011/relationships/chartColorStyle" Target="colors10.xml" /><Relationship Id="rId1" Type="http://schemas.microsoft.com/office/2011/relationships/chartStyle" Target="style10.xml" /></Relationships>
</file>

<file path=xl/charts/_rels/chart11.xml.rels><?xml version="1.0" encoding="UTF-8" standalone="yes"?>
<Relationships xmlns="http://schemas.openxmlformats.org/package/2006/relationships"><Relationship Id="rId2" Type="http://schemas.microsoft.com/office/2011/relationships/chartColorStyle" Target="colors11.xml" /><Relationship Id="rId1" Type="http://schemas.microsoft.com/office/2011/relationships/chartStyle" Target="style11.xml" /></Relationships>
</file>

<file path=xl/charts/_rels/chart12.xml.rels><?xml version="1.0" encoding="UTF-8" standalone="yes"?>
<Relationships xmlns="http://schemas.openxmlformats.org/package/2006/relationships"><Relationship Id="rId2" Type="http://schemas.microsoft.com/office/2011/relationships/chartColorStyle" Target="colors12.xml" /><Relationship Id="rId1" Type="http://schemas.microsoft.com/office/2011/relationships/chartStyle" Target="style12.xml" /></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2"/>
          <c:order val="1"/>
          <c:spPr>
            <a:solidFill>
              <a:schemeClr val="accent1">
                <a:lumMod val="75000"/>
              </a:schemeClr>
            </a:solidFill>
          </c:spPr>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2-A7FF-4B4E-9B12-02B2D274B2CE}"/>
              </c:ext>
            </c:extLst>
          </c:dPt>
          <c:dPt>
            <c:idx val="1"/>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4-A7FF-4B4E-9B12-02B2D274B2CE}"/>
              </c:ext>
            </c:extLst>
          </c:dPt>
          <c:dPt>
            <c:idx val="2"/>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6-A7FF-4B4E-9B12-02B2D274B2CE}"/>
              </c:ext>
            </c:extLst>
          </c:dPt>
          <c:dPt>
            <c:idx val="3"/>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8-A7FF-4B4E-9B12-02B2D274B2CE}"/>
              </c:ext>
            </c:extLst>
          </c:dPt>
          <c:dPt>
            <c:idx val="4"/>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A-A7FF-4B4E-9B12-02B2D274B2CE}"/>
              </c:ext>
            </c:extLst>
          </c:dPt>
          <c:dPt>
            <c:idx val="5"/>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C-A7FF-4B4E-9B12-02B2D274B2CE}"/>
              </c:ext>
            </c:extLst>
          </c:dPt>
          <c:dPt>
            <c:idx val="6"/>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E-A7FF-4B4E-9B12-02B2D274B2CE}"/>
              </c:ext>
            </c:extLst>
          </c:dPt>
          <c:dPt>
            <c:idx val="7"/>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10-A7FF-4B4E-9B12-02B2D274B2CE}"/>
              </c:ext>
            </c:extLst>
          </c:dPt>
          <c:dPt>
            <c:idx val="8"/>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12-A7FF-4B4E-9B12-02B2D274B2CE}"/>
              </c:ext>
            </c:extLst>
          </c:dPt>
          <c:dPt>
            <c:idx val="9"/>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14-A7FF-4B4E-9B12-02B2D274B2CE}"/>
              </c:ext>
            </c:extLst>
          </c:dPt>
          <c:dPt>
            <c:idx val="1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16-A7FF-4B4E-9B12-02B2D274B2CE}"/>
              </c:ext>
            </c:extLst>
          </c:dPt>
          <c:dPt>
            <c:idx val="11"/>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18-A7FF-4B4E-9B12-02B2D274B2CE}"/>
              </c:ext>
            </c:extLst>
          </c:dPt>
          <c:dPt>
            <c:idx val="12"/>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1A-A7FF-4B4E-9B12-02B2D274B2CE}"/>
              </c:ext>
            </c:extLst>
          </c:dPt>
          <c:dPt>
            <c:idx val="13"/>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1C-A7FF-4B4E-9B12-02B2D274B2CE}"/>
              </c:ext>
            </c:extLst>
          </c:dPt>
          <c:dPt>
            <c:idx val="14"/>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1E-A7FF-4B4E-9B12-02B2D274B2CE}"/>
              </c:ext>
            </c:extLst>
          </c:dPt>
          <c:dPt>
            <c:idx val="15"/>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20-A7FF-4B4E-9B12-02B2D274B2CE}"/>
              </c:ext>
            </c:extLst>
          </c:dPt>
          <c:dPt>
            <c:idx val="16"/>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22-A7FF-4B4E-9B12-02B2D274B2CE}"/>
              </c:ext>
            </c:extLst>
          </c:dPt>
          <c:dPt>
            <c:idx val="17"/>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24-A7FF-4B4E-9B12-02B2D274B2CE}"/>
              </c:ext>
            </c:extLst>
          </c:dPt>
          <c:dPt>
            <c:idx val="18"/>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26-A7FF-4B4E-9B12-02B2D274B2CE}"/>
              </c:ext>
            </c:extLst>
          </c:dPt>
          <c:dPt>
            <c:idx val="19"/>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28-A7FF-4B4E-9B12-02B2D274B2CE}"/>
              </c:ext>
            </c:extLst>
          </c:dPt>
          <c:dPt>
            <c:idx val="2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2A-A7FF-4B4E-9B12-02B2D274B2CE}"/>
              </c:ext>
            </c:extLst>
          </c:dPt>
          <c:val>
            <c:numLit>
              <c:formatCode>General</c:formatCode>
              <c:ptCount val="2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numLit>
          </c:val>
          <c:extLst>
            <c:ext xmlns:c16="http://schemas.microsoft.com/office/drawing/2014/chart" uri="{C3380CC4-5D6E-409C-BE32-E72D297353CC}">
              <c16:uniqueId val="{0000002B-A7FF-4B4E-9B12-02B2D274B2CE}"/>
            </c:ext>
          </c:extLst>
        </c:ser>
        <c:dLbls>
          <c:showLegendKey val="0"/>
          <c:showVal val="0"/>
          <c:showCatName val="0"/>
          <c:showSerName val="0"/>
          <c:showPercent val="0"/>
          <c:showBubbleSize val="0"/>
          <c:showLeaderLines val="1"/>
        </c:dLbls>
        <c:firstSliceAng val="0"/>
        <c:holeSize val="60"/>
        <c:extLst>
          <c:ext xmlns:c15="http://schemas.microsoft.com/office/drawing/2012/chart" uri="{02D57815-91ED-43cb-92C2-25804820EDAC}">
            <c15:filteredPieSeries>
              <c15: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2F-384B-4B10-8919-7F1CA2E40B4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31-384B-4B10-8919-7F1CA2E40B4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33-384B-4B10-8919-7F1CA2E40B4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35-384B-4B10-8919-7F1CA2E40B40}"/>
                    </c:ext>
                  </c:extLst>
                </c:dPt>
                <c:cat>
                  <c:numRef>
                    <c:extLst>
                      <c:ext uri="{02D57815-91ED-43cb-92C2-25804820EDAC}">
                        <c15:formulaRef>
                          <c15:sqref>Working!$B$4:$B$7</c15:sqref>
                        </c15:formulaRef>
                      </c:ext>
                    </c:extLst>
                    <c:numCache>
                      <c:formatCode>General</c:formatCode>
                      <c:ptCount val="4"/>
                    </c:numCache>
                  </c:numRef>
                </c:cat>
                <c:val>
                  <c:numRef>
                    <c:extLst>
                      <c:ext uri="{02D57815-91ED-43cb-92C2-25804820EDAC}">
                        <c15:formulaRef>
                          <c15:sqref>Working!$C$4:$C$7</c15:sqref>
                        </c15:formulaRef>
                      </c:ext>
                    </c:extLst>
                    <c:numCache>
                      <c:formatCode>General</c:formatCode>
                      <c:ptCount val="4"/>
                    </c:numCache>
                  </c:numRef>
                </c:val>
                <c:extLst>
                  <c:ext xmlns:c16="http://schemas.microsoft.com/office/drawing/2014/chart" uri="{C3380CC4-5D6E-409C-BE32-E72D297353CC}">
                    <c16:uniqueId val="{00000000-A7FF-4B4E-9B12-02B2D274B2CE}"/>
                  </c:ext>
                </c:extLst>
              </c15:ser>
            </c15:filteredPieSeries>
          </c:ext>
        </c:extLst>
      </c:doughnutChart>
      <c:doughnutChart>
        <c:varyColors val="1"/>
        <c:ser>
          <c:idx val="1"/>
          <c:order val="2"/>
          <c:tx>
            <c:v>Retirement</c:v>
          </c:tx>
          <c:dPt>
            <c:idx val="0"/>
            <c:bubble3D val="0"/>
            <c:spPr>
              <a:noFill/>
              <a:ln w="19050">
                <a:solidFill>
                  <a:schemeClr val="lt1"/>
                </a:solidFill>
              </a:ln>
              <a:effectLst/>
            </c:spPr>
            <c:extLst>
              <c:ext xmlns:c16="http://schemas.microsoft.com/office/drawing/2014/chart" uri="{C3380CC4-5D6E-409C-BE32-E72D297353CC}">
                <c16:uniqueId val="{0000002D-A7FF-4B4E-9B12-02B2D274B2CE}"/>
              </c:ext>
            </c:extLst>
          </c:dPt>
          <c:dPt>
            <c:idx val="1"/>
            <c:bubble3D val="0"/>
            <c:spPr>
              <a:solidFill>
                <a:schemeClr val="bg1">
                  <a:alpha val="80000"/>
                </a:schemeClr>
              </a:solidFill>
              <a:ln w="19050">
                <a:solidFill>
                  <a:schemeClr val="lt1"/>
                </a:solidFill>
              </a:ln>
              <a:effectLst/>
            </c:spPr>
            <c:extLst>
              <c:ext xmlns:c16="http://schemas.microsoft.com/office/drawing/2014/chart" uri="{C3380CC4-5D6E-409C-BE32-E72D297353CC}">
                <c16:uniqueId val="{0000002F-A7FF-4B4E-9B12-02B2D274B2CE}"/>
              </c:ext>
            </c:extLst>
          </c:dPt>
          <c:val>
            <c:numRef>
              <c:f>Working!$D$4:$E$4</c:f>
              <c:numCache>
                <c:formatCode>General</c:formatCode>
                <c:ptCount val="2"/>
              </c:numCache>
            </c:numRef>
          </c:val>
          <c:extLst>
            <c:ext xmlns:c16="http://schemas.microsoft.com/office/drawing/2014/chart" uri="{C3380CC4-5D6E-409C-BE32-E72D297353CC}">
              <c16:uniqueId val="{00000030-A7FF-4B4E-9B12-02B2D274B2CE}"/>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2"/>
          <c:order val="0"/>
          <c:dPt>
            <c:idx val="0"/>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2-1655-4AF8-86B3-713055F789A8}"/>
              </c:ext>
            </c:extLst>
          </c:dPt>
          <c:dPt>
            <c:idx val="1"/>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4-1655-4AF8-86B3-713055F789A8}"/>
              </c:ext>
            </c:extLst>
          </c:dPt>
          <c:dPt>
            <c:idx val="2"/>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6-1655-4AF8-86B3-713055F789A8}"/>
              </c:ext>
            </c:extLst>
          </c:dPt>
          <c:dPt>
            <c:idx val="3"/>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8-1655-4AF8-86B3-713055F789A8}"/>
              </c:ext>
            </c:extLst>
          </c:dPt>
          <c:dPt>
            <c:idx val="4"/>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A-1655-4AF8-86B3-713055F789A8}"/>
              </c:ext>
            </c:extLst>
          </c:dPt>
          <c:dPt>
            <c:idx val="5"/>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C-1655-4AF8-86B3-713055F789A8}"/>
              </c:ext>
            </c:extLst>
          </c:dPt>
          <c:dPt>
            <c:idx val="6"/>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E-1655-4AF8-86B3-713055F789A8}"/>
              </c:ext>
            </c:extLst>
          </c:dPt>
          <c:dPt>
            <c:idx val="7"/>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10-1655-4AF8-86B3-713055F789A8}"/>
              </c:ext>
            </c:extLst>
          </c:dPt>
          <c:dPt>
            <c:idx val="8"/>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12-1655-4AF8-86B3-713055F789A8}"/>
              </c:ext>
            </c:extLst>
          </c:dPt>
          <c:dPt>
            <c:idx val="9"/>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14-1655-4AF8-86B3-713055F789A8}"/>
              </c:ext>
            </c:extLst>
          </c:dPt>
          <c:dPt>
            <c:idx val="10"/>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16-1655-4AF8-86B3-713055F789A8}"/>
              </c:ext>
            </c:extLst>
          </c:dPt>
          <c:dPt>
            <c:idx val="11"/>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18-1655-4AF8-86B3-713055F789A8}"/>
              </c:ext>
            </c:extLst>
          </c:dPt>
          <c:dPt>
            <c:idx val="12"/>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1A-1655-4AF8-86B3-713055F789A8}"/>
              </c:ext>
            </c:extLst>
          </c:dPt>
          <c:dPt>
            <c:idx val="13"/>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1C-1655-4AF8-86B3-713055F789A8}"/>
              </c:ext>
            </c:extLst>
          </c:dPt>
          <c:dPt>
            <c:idx val="14"/>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1E-1655-4AF8-86B3-713055F789A8}"/>
              </c:ext>
            </c:extLst>
          </c:dPt>
          <c:dPt>
            <c:idx val="15"/>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20-1655-4AF8-86B3-713055F789A8}"/>
              </c:ext>
            </c:extLst>
          </c:dPt>
          <c:dPt>
            <c:idx val="16"/>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22-1655-4AF8-86B3-713055F789A8}"/>
              </c:ext>
            </c:extLst>
          </c:dPt>
          <c:dPt>
            <c:idx val="17"/>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24-1655-4AF8-86B3-713055F789A8}"/>
              </c:ext>
            </c:extLst>
          </c:dPt>
          <c:dPt>
            <c:idx val="18"/>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26-1655-4AF8-86B3-713055F789A8}"/>
              </c:ext>
            </c:extLst>
          </c:dPt>
          <c:dPt>
            <c:idx val="19"/>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28-1655-4AF8-86B3-713055F789A8}"/>
              </c:ext>
            </c:extLst>
          </c:dPt>
          <c:dPt>
            <c:idx val="20"/>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2A-1655-4AF8-86B3-713055F789A8}"/>
              </c:ext>
            </c:extLst>
          </c:dPt>
          <c:val>
            <c:numLit>
              <c:formatCode>General</c:formatCode>
              <c:ptCount val="2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numLit>
          </c:val>
          <c:extLst>
            <c:ext xmlns:c16="http://schemas.microsoft.com/office/drawing/2014/chart" uri="{C3380CC4-5D6E-409C-BE32-E72D297353CC}">
              <c16:uniqueId val="{0000002B-1655-4AF8-86B3-713055F789A8}"/>
            </c:ext>
          </c:extLst>
        </c:ser>
        <c:dLbls>
          <c:showLegendKey val="0"/>
          <c:showVal val="0"/>
          <c:showCatName val="0"/>
          <c:showSerName val="0"/>
          <c:showPercent val="0"/>
          <c:showBubbleSize val="0"/>
          <c:showLeaderLines val="1"/>
        </c:dLbls>
        <c:firstSliceAng val="0"/>
        <c:holeSize val="60"/>
        <c:extLst/>
      </c:doughnutChart>
      <c:doughnutChart>
        <c:varyColors val="1"/>
        <c:ser>
          <c:idx val="1"/>
          <c:order val="1"/>
          <c:tx>
            <c:v>graduation</c:v>
          </c:tx>
          <c:dPt>
            <c:idx val="0"/>
            <c:bubble3D val="0"/>
            <c:spPr>
              <a:noFill/>
              <a:ln w="19050">
                <a:solidFill>
                  <a:schemeClr val="lt1"/>
                </a:solidFill>
              </a:ln>
              <a:effectLst/>
            </c:spPr>
            <c:extLst>
              <c:ext xmlns:c16="http://schemas.microsoft.com/office/drawing/2014/chart" uri="{C3380CC4-5D6E-409C-BE32-E72D297353CC}">
                <c16:uniqueId val="{0000002D-1655-4AF8-86B3-713055F789A8}"/>
              </c:ext>
            </c:extLst>
          </c:dPt>
          <c:dPt>
            <c:idx val="1"/>
            <c:bubble3D val="0"/>
            <c:spPr>
              <a:solidFill>
                <a:schemeClr val="bg1">
                  <a:alpha val="80000"/>
                </a:schemeClr>
              </a:solidFill>
              <a:ln w="19050">
                <a:solidFill>
                  <a:schemeClr val="lt1"/>
                </a:solidFill>
              </a:ln>
              <a:effectLst/>
            </c:spPr>
            <c:extLst>
              <c:ext xmlns:c16="http://schemas.microsoft.com/office/drawing/2014/chart" uri="{C3380CC4-5D6E-409C-BE32-E72D297353CC}">
                <c16:uniqueId val="{0000002F-1655-4AF8-86B3-713055F789A8}"/>
              </c:ext>
            </c:extLst>
          </c:dPt>
          <c:val>
            <c:numRef>
              <c:f>Working!$D$5:$E$5</c:f>
              <c:numCache>
                <c:formatCode>General</c:formatCode>
                <c:ptCount val="2"/>
              </c:numCache>
            </c:numRef>
          </c:val>
          <c:extLst>
            <c:ext xmlns:c16="http://schemas.microsoft.com/office/drawing/2014/chart" uri="{C3380CC4-5D6E-409C-BE32-E72D297353CC}">
              <c16:uniqueId val="{00000030-1655-4AF8-86B3-713055F789A8}"/>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2"/>
          <c:order val="0"/>
          <c:dPt>
            <c:idx val="0"/>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2-B185-47FA-B5DB-C0B2191FCFE7}"/>
              </c:ext>
            </c:extLst>
          </c:dPt>
          <c:dPt>
            <c:idx val="1"/>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4-B185-47FA-B5DB-C0B2191FCFE7}"/>
              </c:ext>
            </c:extLst>
          </c:dPt>
          <c:dPt>
            <c:idx val="2"/>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6-B185-47FA-B5DB-C0B2191FCFE7}"/>
              </c:ext>
            </c:extLst>
          </c:dPt>
          <c:dPt>
            <c:idx val="3"/>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8-B185-47FA-B5DB-C0B2191FCFE7}"/>
              </c:ext>
            </c:extLst>
          </c:dPt>
          <c:dPt>
            <c:idx val="4"/>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A-B185-47FA-B5DB-C0B2191FCFE7}"/>
              </c:ext>
            </c:extLst>
          </c:dPt>
          <c:dPt>
            <c:idx val="5"/>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C-B185-47FA-B5DB-C0B2191FCFE7}"/>
              </c:ext>
            </c:extLst>
          </c:dPt>
          <c:dPt>
            <c:idx val="6"/>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E-B185-47FA-B5DB-C0B2191FCFE7}"/>
              </c:ext>
            </c:extLst>
          </c:dPt>
          <c:dPt>
            <c:idx val="7"/>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10-B185-47FA-B5DB-C0B2191FCFE7}"/>
              </c:ext>
            </c:extLst>
          </c:dPt>
          <c:dPt>
            <c:idx val="8"/>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12-B185-47FA-B5DB-C0B2191FCFE7}"/>
              </c:ext>
            </c:extLst>
          </c:dPt>
          <c:dPt>
            <c:idx val="9"/>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14-B185-47FA-B5DB-C0B2191FCFE7}"/>
              </c:ext>
            </c:extLst>
          </c:dPt>
          <c:dPt>
            <c:idx val="10"/>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16-B185-47FA-B5DB-C0B2191FCFE7}"/>
              </c:ext>
            </c:extLst>
          </c:dPt>
          <c:dPt>
            <c:idx val="11"/>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18-B185-47FA-B5DB-C0B2191FCFE7}"/>
              </c:ext>
            </c:extLst>
          </c:dPt>
          <c:dPt>
            <c:idx val="12"/>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1A-B185-47FA-B5DB-C0B2191FCFE7}"/>
              </c:ext>
            </c:extLst>
          </c:dPt>
          <c:dPt>
            <c:idx val="13"/>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1C-B185-47FA-B5DB-C0B2191FCFE7}"/>
              </c:ext>
            </c:extLst>
          </c:dPt>
          <c:dPt>
            <c:idx val="14"/>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1E-B185-47FA-B5DB-C0B2191FCFE7}"/>
              </c:ext>
            </c:extLst>
          </c:dPt>
          <c:dPt>
            <c:idx val="15"/>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20-B185-47FA-B5DB-C0B2191FCFE7}"/>
              </c:ext>
            </c:extLst>
          </c:dPt>
          <c:dPt>
            <c:idx val="16"/>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22-B185-47FA-B5DB-C0B2191FCFE7}"/>
              </c:ext>
            </c:extLst>
          </c:dPt>
          <c:dPt>
            <c:idx val="17"/>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24-B185-47FA-B5DB-C0B2191FCFE7}"/>
              </c:ext>
            </c:extLst>
          </c:dPt>
          <c:dPt>
            <c:idx val="18"/>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26-B185-47FA-B5DB-C0B2191FCFE7}"/>
              </c:ext>
            </c:extLst>
          </c:dPt>
          <c:dPt>
            <c:idx val="19"/>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28-B185-47FA-B5DB-C0B2191FCFE7}"/>
              </c:ext>
            </c:extLst>
          </c:dPt>
          <c:dPt>
            <c:idx val="20"/>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2A-B185-47FA-B5DB-C0B2191FCFE7}"/>
              </c:ext>
            </c:extLst>
          </c:dPt>
          <c:val>
            <c:numLit>
              <c:formatCode>General</c:formatCode>
              <c:ptCount val="2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numLit>
          </c:val>
          <c:extLst>
            <c:ext xmlns:c16="http://schemas.microsoft.com/office/drawing/2014/chart" uri="{C3380CC4-5D6E-409C-BE32-E72D297353CC}">
              <c16:uniqueId val="{0000002B-B185-47FA-B5DB-C0B2191FCFE7}"/>
            </c:ext>
          </c:extLst>
        </c:ser>
        <c:dLbls>
          <c:showLegendKey val="0"/>
          <c:showVal val="0"/>
          <c:showCatName val="0"/>
          <c:showSerName val="0"/>
          <c:showPercent val="0"/>
          <c:showBubbleSize val="0"/>
          <c:showLeaderLines val="1"/>
        </c:dLbls>
        <c:firstSliceAng val="0"/>
        <c:holeSize val="60"/>
        <c:extLst/>
      </c:doughnutChart>
      <c:doughnutChart>
        <c:varyColors val="1"/>
        <c:ser>
          <c:idx val="1"/>
          <c:order val="1"/>
          <c:tx>
            <c:v>postgraduation</c:v>
          </c:tx>
          <c:dPt>
            <c:idx val="0"/>
            <c:bubble3D val="0"/>
            <c:spPr>
              <a:noFill/>
              <a:ln w="19050">
                <a:solidFill>
                  <a:schemeClr val="lt1"/>
                </a:solidFill>
              </a:ln>
              <a:effectLst/>
            </c:spPr>
            <c:extLst>
              <c:ext xmlns:c16="http://schemas.microsoft.com/office/drawing/2014/chart" uri="{C3380CC4-5D6E-409C-BE32-E72D297353CC}">
                <c16:uniqueId val="{0000002D-B185-47FA-B5DB-C0B2191FCFE7}"/>
              </c:ext>
            </c:extLst>
          </c:dPt>
          <c:dPt>
            <c:idx val="1"/>
            <c:bubble3D val="0"/>
            <c:spPr>
              <a:solidFill>
                <a:schemeClr val="bg1">
                  <a:alpha val="80000"/>
                </a:schemeClr>
              </a:solidFill>
              <a:ln w="19050">
                <a:solidFill>
                  <a:schemeClr val="lt1"/>
                </a:solidFill>
              </a:ln>
              <a:effectLst/>
            </c:spPr>
            <c:extLst>
              <c:ext xmlns:c16="http://schemas.microsoft.com/office/drawing/2014/chart" uri="{C3380CC4-5D6E-409C-BE32-E72D297353CC}">
                <c16:uniqueId val="{0000002F-B185-47FA-B5DB-C0B2191FCFE7}"/>
              </c:ext>
            </c:extLst>
          </c:dPt>
          <c:val>
            <c:numRef>
              <c:f>Working!$D$6:$E$6</c:f>
              <c:numCache>
                <c:formatCode>General</c:formatCode>
                <c:ptCount val="2"/>
              </c:numCache>
            </c:numRef>
          </c:val>
          <c:extLst>
            <c:ext xmlns:c16="http://schemas.microsoft.com/office/drawing/2014/chart" uri="{C3380CC4-5D6E-409C-BE32-E72D297353CC}">
              <c16:uniqueId val="{00000030-B185-47FA-B5DB-C0B2191FCFE7}"/>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2"/>
          <c:order val="0"/>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2-EA4A-4A71-A749-0DF15EDCA89B}"/>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4-EA4A-4A71-A749-0DF15EDCA89B}"/>
              </c:ext>
            </c:extLst>
          </c:dPt>
          <c:dPt>
            <c:idx val="2"/>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6-EA4A-4A71-A749-0DF15EDCA89B}"/>
              </c:ext>
            </c:extLst>
          </c:dPt>
          <c:dPt>
            <c:idx val="3"/>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8-EA4A-4A71-A749-0DF15EDCA89B}"/>
              </c:ext>
            </c:extLst>
          </c:dPt>
          <c:dPt>
            <c:idx val="4"/>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A-EA4A-4A71-A749-0DF15EDCA89B}"/>
              </c:ext>
            </c:extLst>
          </c:dPt>
          <c:dPt>
            <c:idx val="5"/>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C-EA4A-4A71-A749-0DF15EDCA89B}"/>
              </c:ext>
            </c:extLst>
          </c:dPt>
          <c:dPt>
            <c:idx val="6"/>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E-EA4A-4A71-A749-0DF15EDCA89B}"/>
              </c:ext>
            </c:extLst>
          </c:dPt>
          <c:dPt>
            <c:idx val="7"/>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10-EA4A-4A71-A749-0DF15EDCA89B}"/>
              </c:ext>
            </c:extLst>
          </c:dPt>
          <c:dPt>
            <c:idx val="8"/>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12-EA4A-4A71-A749-0DF15EDCA89B}"/>
              </c:ext>
            </c:extLst>
          </c:dPt>
          <c:dPt>
            <c:idx val="9"/>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14-EA4A-4A71-A749-0DF15EDCA89B}"/>
              </c:ext>
            </c:extLst>
          </c:dPt>
          <c:dPt>
            <c:idx val="1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16-EA4A-4A71-A749-0DF15EDCA89B}"/>
              </c:ext>
            </c:extLst>
          </c:dPt>
          <c:dPt>
            <c:idx val="1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18-EA4A-4A71-A749-0DF15EDCA89B}"/>
              </c:ext>
            </c:extLst>
          </c:dPt>
          <c:dPt>
            <c:idx val="12"/>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1A-EA4A-4A71-A749-0DF15EDCA89B}"/>
              </c:ext>
            </c:extLst>
          </c:dPt>
          <c:dPt>
            <c:idx val="13"/>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1C-EA4A-4A71-A749-0DF15EDCA89B}"/>
              </c:ext>
            </c:extLst>
          </c:dPt>
          <c:dPt>
            <c:idx val="14"/>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1E-EA4A-4A71-A749-0DF15EDCA89B}"/>
              </c:ext>
            </c:extLst>
          </c:dPt>
          <c:dPt>
            <c:idx val="15"/>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20-EA4A-4A71-A749-0DF15EDCA89B}"/>
              </c:ext>
            </c:extLst>
          </c:dPt>
          <c:dPt>
            <c:idx val="16"/>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22-EA4A-4A71-A749-0DF15EDCA89B}"/>
              </c:ext>
            </c:extLst>
          </c:dPt>
          <c:dPt>
            <c:idx val="17"/>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24-EA4A-4A71-A749-0DF15EDCA89B}"/>
              </c:ext>
            </c:extLst>
          </c:dPt>
          <c:dPt>
            <c:idx val="18"/>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26-EA4A-4A71-A749-0DF15EDCA89B}"/>
              </c:ext>
            </c:extLst>
          </c:dPt>
          <c:dPt>
            <c:idx val="19"/>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28-EA4A-4A71-A749-0DF15EDCA89B}"/>
              </c:ext>
            </c:extLst>
          </c:dPt>
          <c:dPt>
            <c:idx val="2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2A-EA4A-4A71-A749-0DF15EDCA89B}"/>
              </c:ext>
            </c:extLst>
          </c:dPt>
          <c:val>
            <c:numLit>
              <c:formatCode>General</c:formatCode>
              <c:ptCount val="2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numLit>
          </c:val>
          <c:extLst>
            <c:ext xmlns:c16="http://schemas.microsoft.com/office/drawing/2014/chart" uri="{C3380CC4-5D6E-409C-BE32-E72D297353CC}">
              <c16:uniqueId val="{0000002B-EA4A-4A71-A749-0DF15EDCA89B}"/>
            </c:ext>
          </c:extLst>
        </c:ser>
        <c:dLbls>
          <c:showLegendKey val="0"/>
          <c:showVal val="0"/>
          <c:showCatName val="0"/>
          <c:showSerName val="0"/>
          <c:showPercent val="0"/>
          <c:showBubbleSize val="0"/>
          <c:showLeaderLines val="1"/>
        </c:dLbls>
        <c:firstSliceAng val="0"/>
        <c:holeSize val="60"/>
        <c:extLst/>
      </c:doughnutChart>
      <c:doughnutChart>
        <c:varyColors val="1"/>
        <c:ser>
          <c:idx val="1"/>
          <c:order val="1"/>
          <c:tx>
            <c:v>marriage</c:v>
          </c:tx>
          <c:dPt>
            <c:idx val="0"/>
            <c:bubble3D val="0"/>
            <c:spPr>
              <a:noFill/>
              <a:ln w="19050">
                <a:solidFill>
                  <a:schemeClr val="lt1"/>
                </a:solidFill>
              </a:ln>
              <a:effectLst/>
            </c:spPr>
            <c:extLst>
              <c:ext xmlns:c16="http://schemas.microsoft.com/office/drawing/2014/chart" uri="{C3380CC4-5D6E-409C-BE32-E72D297353CC}">
                <c16:uniqueId val="{0000002D-EA4A-4A71-A749-0DF15EDCA89B}"/>
              </c:ext>
            </c:extLst>
          </c:dPt>
          <c:dPt>
            <c:idx val="1"/>
            <c:bubble3D val="0"/>
            <c:spPr>
              <a:solidFill>
                <a:schemeClr val="bg1">
                  <a:alpha val="80000"/>
                </a:schemeClr>
              </a:solidFill>
              <a:ln w="19050">
                <a:solidFill>
                  <a:schemeClr val="lt1"/>
                </a:solidFill>
              </a:ln>
              <a:effectLst/>
            </c:spPr>
            <c:extLst>
              <c:ext xmlns:c16="http://schemas.microsoft.com/office/drawing/2014/chart" uri="{C3380CC4-5D6E-409C-BE32-E72D297353CC}">
                <c16:uniqueId val="{0000002F-EA4A-4A71-A749-0DF15EDCA89B}"/>
              </c:ext>
            </c:extLst>
          </c:dPt>
          <c:val>
            <c:numRef>
              <c:f>Working!$D$7:$E$7</c:f>
              <c:numCache>
                <c:formatCode>General</c:formatCode>
                <c:ptCount val="2"/>
              </c:numCache>
            </c:numRef>
          </c:val>
          <c:extLst>
            <c:ext xmlns:c16="http://schemas.microsoft.com/office/drawing/2014/chart" uri="{C3380CC4-5D6E-409C-BE32-E72D297353CC}">
              <c16:uniqueId val="{00000030-EA4A-4A71-A749-0DF15EDCA89B}"/>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manualLayout>
          <c:layoutTarget val="inner"/>
          <c:xMode val="edge"/>
          <c:yMode val="edge"/>
          <c:x val="0.18472222222222223"/>
          <c:y val="0.13657407407407407"/>
          <c:w val="0.46388888888888891"/>
          <c:h val="0.77314814814814814"/>
        </c:manualLayout>
      </c:layout>
      <c:doughnutChart>
        <c:varyColors val="1"/>
        <c:ser>
          <c:idx val="0"/>
          <c:order val="0"/>
          <c:spPr>
            <a:solidFill>
              <a:schemeClr val="accent2">
                <a:lumMod val="75000"/>
              </a:schemeClr>
            </a:solidFill>
          </c:spPr>
          <c:dPt>
            <c:idx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1-65C4-47FA-80FD-28DC80D8A3F5}"/>
              </c:ext>
            </c:extLst>
          </c:dPt>
          <c:dPt>
            <c:idx val="1"/>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3-65C4-47FA-80FD-28DC80D8A3F5}"/>
              </c:ext>
            </c:extLst>
          </c:dPt>
          <c:dLbls>
            <c:dLbl>
              <c:idx val="0"/>
              <c:layout>
                <c:manualLayout>
                  <c:x val="7.5681482712781689E-2"/>
                  <c:y val="-0.19851199481347204"/>
                </c:manualLayout>
              </c:layout>
              <c:tx>
                <c:rich>
                  <a:bodyPr rot="0" spcFirstLastPara="1" vertOverflow="ellipsis" vert="horz" wrap="square" lIns="38100" tIns="19050" rIns="38100" bIns="19050" anchor="ctr" anchorCtr="1">
                    <a:noAutofit/>
                  </a:bodyPr>
                  <a:lstStyle/>
                  <a:p>
                    <a:pPr>
                      <a:defRPr sz="1800" b="1" i="0" u="none" strike="noStrike" kern="1200" baseline="0">
                        <a:solidFill>
                          <a:sysClr val="windowText" lastClr="000000"/>
                        </a:solidFill>
                        <a:latin typeface="Tw Cen MT" panose="020B0602020104020603" pitchFamily="34" charset="0"/>
                        <a:ea typeface="+mn-ea"/>
                        <a:cs typeface="+mn-cs"/>
                      </a:defRPr>
                    </a:pPr>
                    <a:endParaRPr lang="en-US" sz="1800" baseline="0"/>
                  </a:p>
                </c:rich>
              </c:tx>
              <c:spPr>
                <a:noFill/>
                <a:ln>
                  <a:noFill/>
                </a:ln>
                <a:effectLst/>
              </c:spPr>
              <c:txPr>
                <a:bodyPr rot="0" spcFirstLastPara="1" vertOverflow="ellipsis" vert="horz" wrap="square" lIns="38100" tIns="19050" rIns="38100" bIns="19050" anchor="ctr" anchorCtr="1">
                  <a:noAutofit/>
                </a:bodyPr>
                <a:lstStyle/>
                <a:p>
                  <a:pPr>
                    <a:defRPr sz="1800" b="1" i="0" u="none" strike="noStrike" kern="1200" baseline="0">
                      <a:solidFill>
                        <a:sysClr val="windowText" lastClr="000000"/>
                      </a:solidFill>
                      <a:latin typeface="Tw Cen MT" panose="020B06020201040206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208339734940939"/>
                      <c:h val="0.14993483629298199"/>
                    </c:manualLayout>
                  </c15:layout>
                  <c15:showDataLabelsRange val="1"/>
                </c:ext>
                <c:ext xmlns:c16="http://schemas.microsoft.com/office/drawing/2014/chart" uri="{C3380CC4-5D6E-409C-BE32-E72D297353CC}">
                  <c16:uniqueId val="{00000001-65C4-47FA-80FD-28DC80D8A3F5}"/>
                </c:ext>
              </c:extLst>
            </c:dLbl>
            <c:dLbl>
              <c:idx val="1"/>
              <c:layout>
                <c:manualLayout>
                  <c:x val="-3.5561506199848006E-2"/>
                  <c:y val="-0.55644204011548437"/>
                </c:manualLayout>
              </c:layout>
              <c:tx>
                <c:rich>
                  <a:bodyPr rot="0" spcFirstLastPara="1" vertOverflow="ellipsis" vert="horz" wrap="square" lIns="38100" tIns="19050" rIns="38100" bIns="19050" anchor="ctr" anchorCtr="1">
                    <a:noAutofit/>
                  </a:bodyPr>
                  <a:lstStyle/>
                  <a:p>
                    <a:pPr>
                      <a:defRPr sz="1800" b="1" i="0" u="none" strike="noStrike" kern="1200" baseline="0">
                        <a:solidFill>
                          <a:sysClr val="windowText" lastClr="000000"/>
                        </a:solidFill>
                        <a:latin typeface="Tw Cen MT" panose="020B0602020104020603" pitchFamily="34" charset="0"/>
                        <a:ea typeface="+mn-ea"/>
                        <a:cs typeface="+mn-cs"/>
                      </a:defRPr>
                    </a:pPr>
                    <a:fld id="{F6F023C3-F964-446D-A5D7-2A7049E96734}" type="CELLRANGE">
                      <a:rPr lang="en-US" sz="1800"/>
                      <a:pPr>
                        <a:defRPr sz="1800" b="1">
                          <a:solidFill>
                            <a:sysClr val="windowText" lastClr="000000"/>
                          </a:solidFill>
                          <a:latin typeface="Tw Cen MT" panose="020B0602020104020603" pitchFamily="34" charset="0"/>
                        </a:defRPr>
                      </a:pPr>
                      <a:t>[CELLRANGE]</a:t>
                    </a:fld>
                    <a:r>
                      <a:rPr lang="en-US" sz="1800" baseline="0"/>
                      <a:t>, </a:t>
                    </a:r>
                  </a:p>
                  <a:p>
                    <a:pPr>
                      <a:defRPr sz="1800" b="1">
                        <a:solidFill>
                          <a:sysClr val="windowText" lastClr="000000"/>
                        </a:solidFill>
                        <a:latin typeface="Tw Cen MT" panose="020B0602020104020603" pitchFamily="34" charset="0"/>
                      </a:defRPr>
                    </a:pPr>
                    <a:fld id="{381D8B6C-6803-43B8-B4EA-975023537524}" type="VALUE">
                      <a:rPr lang="en-US" sz="1800" baseline="0"/>
                      <a:pPr>
                        <a:defRPr sz="1800" b="1">
                          <a:solidFill>
                            <a:sysClr val="windowText" lastClr="000000"/>
                          </a:solidFill>
                          <a:latin typeface="Tw Cen MT" panose="020B0602020104020603" pitchFamily="34" charset="0"/>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1800" b="1" i="0" u="none" strike="noStrike" kern="1200" baseline="0">
                      <a:solidFill>
                        <a:sysClr val="windowText" lastClr="000000"/>
                      </a:solidFill>
                      <a:latin typeface="Tw Cen MT" panose="020B06020201040206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7516369952032427"/>
                      <c:h val="0.19224290911527769"/>
                    </c:manualLayout>
                  </c15:layout>
                  <c15:dlblFieldTable/>
                  <c15:showDataLabelsRange val="1"/>
                </c:ext>
                <c:ext xmlns:c16="http://schemas.microsoft.com/office/drawing/2014/chart" uri="{C3380CC4-5D6E-409C-BE32-E72D297353CC}">
                  <c16:uniqueId val="{00000003-65C4-47FA-80FD-28DC80D8A3F5}"/>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ysClr val="windowText" lastClr="000000"/>
                    </a:solidFill>
                    <a:latin typeface="Tw Cen MT" panose="020B0602020104020603"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DataLabelsRange val="1"/>
              </c:ext>
            </c:extLst>
          </c:dLbls>
          <c:cat>
            <c:numRef>
              <c:f>Working!$B$25:$B$26</c:f>
              <c:numCache>
                <c:formatCode>General</c:formatCode>
                <c:ptCount val="2"/>
              </c:numCache>
            </c:numRef>
          </c:cat>
          <c:val>
            <c:numRef>
              <c:f>Working!$C$25:$C$26</c:f>
              <c:numCache>
                <c:formatCode>General</c:formatCode>
                <c:ptCount val="2"/>
              </c:numCache>
            </c:numRef>
          </c:val>
          <c:extLst>
            <c:ext xmlns:c15="http://schemas.microsoft.com/office/drawing/2012/chart" uri="{02D57815-91ED-43cb-92C2-25804820EDAC}">
              <c15:datalabelsRange>
                <c15:f>Working!$B$25:$B$26</c15:f>
                <c15:dlblRangeCache>
                  <c:ptCount val="2"/>
                </c15:dlblRangeCache>
              </c15:datalabelsRange>
            </c:ext>
            <c:ext xmlns:c16="http://schemas.microsoft.com/office/drawing/2014/chart" uri="{C3380CC4-5D6E-409C-BE32-E72D297353CC}">
              <c16:uniqueId val="{00000004-65C4-47FA-80FD-28DC80D8A3F5}"/>
            </c:ext>
          </c:extLst>
        </c:ser>
        <c:dLbls>
          <c:showLegendKey val="0"/>
          <c:showVal val="1"/>
          <c:showCatName val="0"/>
          <c:showSerName val="0"/>
          <c:showPercent val="0"/>
          <c:showBubbleSize val="0"/>
          <c:showLeaderLines val="0"/>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800" b="1" i="0" u="none" strike="noStrike" kern="1200" spc="0" baseline="0">
              <a:solidFill>
                <a:sysClr val="windowText" lastClr="000000"/>
              </a:solidFill>
              <a:latin typeface="Tw Cen MT" panose="020B0602020104020603" pitchFamily="34" charset="0"/>
              <a:ea typeface="+mn-ea"/>
              <a:cs typeface="+mn-cs"/>
            </a:defRPr>
          </a:pPr>
          <a:endParaRPr lang="en-US"/>
        </a:p>
      </c:txPr>
    </c:title>
    <c:autoTitleDeleted val="0"/>
    <c:plotArea>
      <c:layout/>
      <c:barChart>
        <c:barDir val="col"/>
        <c:grouping val="clustered"/>
        <c:varyColors val="0"/>
        <c:ser>
          <c:idx val="1"/>
          <c:order val="1"/>
          <c:tx>
            <c:strRef>
              <c:f>Working!$D$16</c:f>
              <c:strCache>
                <c:ptCount val="1"/>
              </c:strCache>
            </c:strRef>
          </c:tx>
          <c:spPr>
            <a:solidFill>
              <a:schemeClr val="accent5">
                <a:lumMod val="50000"/>
              </a:schemeClr>
            </a:solidFill>
            <a:ln>
              <a:noFill/>
            </a:ln>
            <a:effectLst/>
          </c:spPr>
          <c:invertIfNegative val="0"/>
          <c:dLbls>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Tw Cen MT" panose="020B06020201040206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Working!$B$17:$B$20</c:f>
              <c:numCache>
                <c:formatCode>General</c:formatCode>
                <c:ptCount val="4"/>
              </c:numCache>
            </c:numRef>
          </c:cat>
          <c:val>
            <c:numRef>
              <c:f>Working!$D$17:$D$20</c:f>
              <c:numCache>
                <c:formatCode>General</c:formatCode>
                <c:ptCount val="4"/>
              </c:numCache>
            </c:numRef>
          </c:val>
          <c:extLst>
            <c:ext xmlns:c16="http://schemas.microsoft.com/office/drawing/2014/chart" uri="{C3380CC4-5D6E-409C-BE32-E72D297353CC}">
              <c16:uniqueId val="{00000001-5014-438F-B305-9CC445A19CDF}"/>
            </c:ext>
          </c:extLst>
        </c:ser>
        <c:dLbls>
          <c:showLegendKey val="0"/>
          <c:showVal val="0"/>
          <c:showCatName val="0"/>
          <c:showSerName val="0"/>
          <c:showPercent val="0"/>
          <c:showBubbleSize val="0"/>
        </c:dLbls>
        <c:gapWidth val="100"/>
        <c:axId val="1417636512"/>
        <c:axId val="1417639840"/>
        <c:extLst>
          <c:ext xmlns:c15="http://schemas.microsoft.com/office/drawing/2012/chart" uri="{02D57815-91ED-43cb-92C2-25804820EDAC}">
            <c15:filteredBarSeries>
              <c15:ser>
                <c:idx val="0"/>
                <c:order val="0"/>
                <c:tx>
                  <c:strRef>
                    <c:extLst>
                      <c:ext uri="{02D57815-91ED-43cb-92C2-25804820EDAC}">
                        <c15:formulaRef>
                          <c15:sqref>Working!$C$16</c15:sqref>
                        </c15:formulaRef>
                      </c:ext>
                    </c:extLst>
                    <c:strCache>
                      <c:ptCount val="1"/>
                    </c:strCache>
                  </c:strRef>
                </c:tx>
                <c:spPr>
                  <a:solidFill>
                    <a:schemeClr val="accent1"/>
                  </a:solidFill>
                  <a:ln>
                    <a:noFill/>
                  </a:ln>
                  <a:effectLst/>
                </c:spPr>
                <c:invertIfNegative val="0"/>
                <c:cat>
                  <c:numRef>
                    <c:extLst>
                      <c:ext uri="{02D57815-91ED-43cb-92C2-25804820EDAC}">
                        <c15:formulaRef>
                          <c15:sqref>Working!$B$17:$B$20</c15:sqref>
                        </c15:formulaRef>
                      </c:ext>
                    </c:extLst>
                    <c:numCache>
                      <c:formatCode>General</c:formatCode>
                      <c:ptCount val="4"/>
                    </c:numCache>
                  </c:numRef>
                </c:cat>
                <c:val>
                  <c:numRef>
                    <c:extLst>
                      <c:ext uri="{02D57815-91ED-43cb-92C2-25804820EDAC}">
                        <c15:formulaRef>
                          <c15:sqref>Working!$C$17:$C$20</c15:sqref>
                        </c15:formulaRef>
                      </c:ext>
                    </c:extLst>
                    <c:numCache>
                      <c:formatCode>General</c:formatCode>
                      <c:ptCount val="4"/>
                    </c:numCache>
                  </c:numRef>
                </c:val>
                <c:extLst>
                  <c:ext xmlns:c16="http://schemas.microsoft.com/office/drawing/2014/chart" uri="{C3380CC4-5D6E-409C-BE32-E72D297353CC}">
                    <c16:uniqueId val="{00000000-5014-438F-B305-9CC445A19CDF}"/>
                  </c:ext>
                </c:extLst>
              </c15:ser>
            </c15:filteredBarSeries>
          </c:ext>
        </c:extLst>
      </c:barChart>
      <c:catAx>
        <c:axId val="1417636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Tw Cen MT" panose="020B0602020104020603" pitchFamily="34" charset="0"/>
                <a:ea typeface="+mn-ea"/>
                <a:cs typeface="+mn-cs"/>
              </a:defRPr>
            </a:pPr>
            <a:endParaRPr lang="en-US"/>
          </a:p>
        </c:txPr>
        <c:crossAx val="1417639840"/>
        <c:crosses val="autoZero"/>
        <c:auto val="1"/>
        <c:lblAlgn val="ctr"/>
        <c:lblOffset val="100"/>
        <c:noMultiLvlLbl val="0"/>
      </c:catAx>
      <c:valAx>
        <c:axId val="1417639840"/>
        <c:scaling>
          <c:orientation val="minMax"/>
        </c:scaling>
        <c:delete val="1"/>
        <c:axPos val="l"/>
        <c:numFmt formatCode="General" sourceLinked="1"/>
        <c:majorTickMark val="none"/>
        <c:minorTickMark val="none"/>
        <c:tickLblPos val="nextTo"/>
        <c:crossAx val="1417636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200" b="0">
          <a:solidFill>
            <a:sysClr val="windowText" lastClr="000000"/>
          </a:solidFill>
          <a:latin typeface="Tw Cen MT" panose="020B0602020104020603" pitchFamily="34" charset="0"/>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451245780368133"/>
          <c:y val="3.9349596518757815E-2"/>
          <c:w val="0.88869517525072683"/>
          <c:h val="0.82438446893677508"/>
        </c:manualLayout>
      </c:layout>
      <c:barChart>
        <c:barDir val="bar"/>
        <c:grouping val="stacked"/>
        <c:varyColors val="0"/>
        <c:ser>
          <c:idx val="0"/>
          <c:order val="0"/>
          <c:tx>
            <c:strRef>
              <c:f>Working!$C$9</c:f>
              <c:strCache>
                <c:ptCount val="1"/>
              </c:strCache>
            </c:strRef>
          </c:tx>
          <c:spPr>
            <a:solidFill>
              <a:schemeClr val="accent1">
                <a:lumMod val="50000"/>
              </a:schemeClr>
            </a:solidFill>
            <a:ln>
              <a:noFill/>
            </a:ln>
            <a:effectLst/>
          </c:spPr>
          <c:invertIfNegative val="0"/>
          <c:dLbls>
            <c:numFmt formatCode="&quot;₹&quot;\ #,##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Tw Cen MT" panose="020B0602020104020603" pitchFamily="34" charset="0"/>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Working!$B$10:$B$13</c:f>
              <c:numCache>
                <c:formatCode>General</c:formatCode>
                <c:ptCount val="4"/>
              </c:numCache>
            </c:numRef>
          </c:cat>
          <c:val>
            <c:numRef>
              <c:f>Working!$C$10:$C$13</c:f>
              <c:numCache>
                <c:formatCode>General</c:formatCode>
                <c:ptCount val="4"/>
              </c:numCache>
            </c:numRef>
          </c:val>
          <c:extLst>
            <c:ext xmlns:c16="http://schemas.microsoft.com/office/drawing/2014/chart" uri="{C3380CC4-5D6E-409C-BE32-E72D297353CC}">
              <c16:uniqueId val="{00000000-FE6E-47D1-96EA-CE32B5887FE6}"/>
            </c:ext>
          </c:extLst>
        </c:ser>
        <c:ser>
          <c:idx val="1"/>
          <c:order val="1"/>
          <c:tx>
            <c:strRef>
              <c:f>Working!$D$9</c:f>
              <c:strCache>
                <c:ptCount val="1"/>
              </c:strCache>
            </c:strRef>
          </c:tx>
          <c:spPr>
            <a:solidFill>
              <a:schemeClr val="accent2">
                <a:lumMod val="75000"/>
              </a:schemeClr>
            </a:solidFill>
            <a:ln>
              <a:noFill/>
            </a:ln>
            <a:effectLst/>
          </c:spPr>
          <c:invertIfNegative val="0"/>
          <c:dLbls>
            <c:numFmt formatCode="&quot;₹&quot;\ #,##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Tw Cen MT" panose="020B0602020104020603" pitchFamily="34" charset="0"/>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Working!$B$10:$B$13</c:f>
              <c:numCache>
                <c:formatCode>General</c:formatCode>
                <c:ptCount val="4"/>
              </c:numCache>
            </c:numRef>
          </c:cat>
          <c:val>
            <c:numRef>
              <c:f>Working!$D$10:$D$13</c:f>
              <c:numCache>
                <c:formatCode>General</c:formatCode>
                <c:ptCount val="4"/>
              </c:numCache>
            </c:numRef>
          </c:val>
          <c:extLst>
            <c:ext xmlns:c16="http://schemas.microsoft.com/office/drawing/2014/chart" uri="{C3380CC4-5D6E-409C-BE32-E72D297353CC}">
              <c16:uniqueId val="{00000001-FE6E-47D1-96EA-CE32B5887FE6}"/>
            </c:ext>
          </c:extLst>
        </c:ser>
        <c:dLbls>
          <c:dLblPos val="inEnd"/>
          <c:showLegendKey val="0"/>
          <c:showVal val="1"/>
          <c:showCatName val="0"/>
          <c:showSerName val="0"/>
          <c:showPercent val="0"/>
          <c:showBubbleSize val="0"/>
        </c:dLbls>
        <c:gapWidth val="100"/>
        <c:overlap val="100"/>
        <c:axId val="1589675535"/>
        <c:axId val="1589671791"/>
      </c:barChart>
      <c:catAx>
        <c:axId val="1589675535"/>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Tw Cen MT" panose="020B0602020104020603" pitchFamily="34" charset="0"/>
                <a:ea typeface="+mn-ea"/>
                <a:cs typeface="+mn-cs"/>
              </a:defRPr>
            </a:pPr>
            <a:endParaRPr lang="en-US"/>
          </a:p>
        </c:txPr>
        <c:crossAx val="1589671791"/>
        <c:crosses val="autoZero"/>
        <c:auto val="1"/>
        <c:lblAlgn val="ctr"/>
        <c:lblOffset val="100"/>
        <c:noMultiLvlLbl val="0"/>
      </c:catAx>
      <c:valAx>
        <c:axId val="1589671791"/>
        <c:scaling>
          <c:orientation val="minMax"/>
        </c:scaling>
        <c:delete val="1"/>
        <c:axPos val="t"/>
        <c:numFmt formatCode="General" sourceLinked="1"/>
        <c:majorTickMark val="none"/>
        <c:minorTickMark val="none"/>
        <c:tickLblPos val="nextTo"/>
        <c:crossAx val="1589675535"/>
        <c:crosses val="autoZero"/>
        <c:crossBetween val="between"/>
      </c:valAx>
      <c:spPr>
        <a:noFill/>
        <a:ln w="25400">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Tw Cen MT" panose="020B0602020104020603"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0" i="0" u="none" strike="noStrike" kern="1200" spc="0" baseline="0">
                <a:solidFill>
                  <a:sysClr val="windowText" lastClr="000000"/>
                </a:solidFill>
                <a:latin typeface="Tw Cen MT" panose="020B0602020104020603" pitchFamily="34" charset="0"/>
                <a:ea typeface="+mn-ea"/>
                <a:cs typeface="+mn-cs"/>
              </a:defRPr>
            </a:pPr>
            <a:r>
              <a:rPr lang="en-IN" sz="2400" b="0">
                <a:solidFill>
                  <a:sysClr val="windowText" lastClr="000000"/>
                </a:solidFill>
              </a:rPr>
              <a:t>Depletion in Corpus Value and Increase in Expense Post-Retirement</a:t>
            </a:r>
          </a:p>
        </c:rich>
      </c:tx>
      <c:overlay val="0"/>
      <c:spPr>
        <a:noFill/>
        <a:ln>
          <a:noFill/>
        </a:ln>
        <a:effectLst/>
      </c:spPr>
      <c:txPr>
        <a:bodyPr rot="0" spcFirstLastPara="1" vertOverflow="ellipsis" vert="horz" wrap="square" anchor="ctr" anchorCtr="1"/>
        <a:lstStyle/>
        <a:p>
          <a:pPr>
            <a:defRPr sz="2400" b="0" i="0" u="none" strike="noStrike" kern="1200" spc="0" baseline="0">
              <a:solidFill>
                <a:sysClr val="windowText" lastClr="000000"/>
              </a:solidFill>
              <a:latin typeface="Tw Cen MT" panose="020B0602020104020603" pitchFamily="34" charset="0"/>
              <a:ea typeface="+mn-ea"/>
              <a:cs typeface="+mn-cs"/>
            </a:defRPr>
          </a:pPr>
          <a:endParaRPr lang="en-US"/>
        </a:p>
      </c:txPr>
    </c:title>
    <c:autoTitleDeleted val="0"/>
    <c:plotArea>
      <c:layout>
        <c:manualLayout>
          <c:layoutTarget val="inner"/>
          <c:xMode val="edge"/>
          <c:yMode val="edge"/>
          <c:x val="0.11008335595981537"/>
          <c:y val="0.2051847161264809"/>
          <c:w val="0.76559770114942527"/>
          <c:h val="0.51463802820660254"/>
        </c:manualLayout>
      </c:layout>
      <c:lineChart>
        <c:grouping val="standard"/>
        <c:varyColors val="0"/>
        <c:ser>
          <c:idx val="1"/>
          <c:order val="1"/>
          <c:tx>
            <c:strRef>
              <c:f>Report!$H$104</c:f>
              <c:strCache>
                <c:ptCount val="1"/>
                <c:pt idx="0">
                  <c:v>Withdrawal Required 
(B-O-Y)</c:v>
                </c:pt>
              </c:strCache>
            </c:strRef>
          </c:tx>
          <c:spPr>
            <a:ln w="88900" cap="rnd">
              <a:solidFill>
                <a:srgbClr val="FF0000"/>
              </a:solidFill>
              <a:round/>
            </a:ln>
            <a:effectLst/>
          </c:spPr>
          <c:marker>
            <c:symbol val="none"/>
          </c:marker>
          <c:cat>
            <c:numRef>
              <c:f>Report!$F$105:$F$145</c:f>
              <c:numCache>
                <c:formatCode>0</c:formatCode>
                <c:ptCount val="41"/>
                <c:pt idx="0">
                  <c:v>60</c:v>
                </c:pt>
                <c:pt idx="1">
                  <c:v>61</c:v>
                </c:pt>
                <c:pt idx="2">
                  <c:v>62</c:v>
                </c:pt>
                <c:pt idx="3">
                  <c:v>63</c:v>
                </c:pt>
                <c:pt idx="4">
                  <c:v>64</c:v>
                </c:pt>
                <c:pt idx="5">
                  <c:v>65</c:v>
                </c:pt>
                <c:pt idx="6">
                  <c:v>66</c:v>
                </c:pt>
                <c:pt idx="7">
                  <c:v>67</c:v>
                </c:pt>
                <c:pt idx="8">
                  <c:v>68</c:v>
                </c:pt>
                <c:pt idx="9">
                  <c:v>69</c:v>
                </c:pt>
                <c:pt idx="10">
                  <c:v>70</c:v>
                </c:pt>
                <c:pt idx="11">
                  <c:v>71</c:v>
                </c:pt>
                <c:pt idx="12">
                  <c:v>72</c:v>
                </c:pt>
                <c:pt idx="13">
                  <c:v>73</c:v>
                </c:pt>
                <c:pt idx="14">
                  <c:v>74</c:v>
                </c:pt>
                <c:pt idx="15">
                  <c:v>75</c:v>
                </c:pt>
                <c:pt idx="16">
                  <c:v>76</c:v>
                </c:pt>
                <c:pt idx="17">
                  <c:v>77</c:v>
                </c:pt>
                <c:pt idx="18">
                  <c:v>78</c:v>
                </c:pt>
                <c:pt idx="19">
                  <c:v>79</c:v>
                </c:pt>
                <c:pt idx="20">
                  <c:v>80</c:v>
                </c:pt>
                <c:pt idx="21">
                  <c:v>81</c:v>
                </c:pt>
                <c:pt idx="22">
                  <c:v>82</c:v>
                </c:pt>
                <c:pt idx="23">
                  <c:v>83</c:v>
                </c:pt>
                <c:pt idx="24">
                  <c:v>84</c:v>
                </c:pt>
                <c:pt idx="25">
                  <c:v>85</c:v>
                </c:pt>
                <c:pt idx="26">
                  <c:v>86</c:v>
                </c:pt>
                <c:pt idx="27">
                  <c:v>87</c:v>
                </c:pt>
                <c:pt idx="28">
                  <c:v>88</c:v>
                </c:pt>
                <c:pt idx="29">
                  <c:v>89</c:v>
                </c:pt>
                <c:pt idx="30">
                  <c:v>90</c:v>
                </c:pt>
                <c:pt idx="31">
                  <c:v>91</c:v>
                </c:pt>
                <c:pt idx="32">
                  <c:v>92</c:v>
                </c:pt>
                <c:pt idx="33">
                  <c:v>93</c:v>
                </c:pt>
                <c:pt idx="34">
                  <c:v>94</c:v>
                </c:pt>
                <c:pt idx="35">
                  <c:v>95</c:v>
                </c:pt>
                <c:pt idx="36">
                  <c:v>96</c:v>
                </c:pt>
                <c:pt idx="37">
                  <c:v>97</c:v>
                </c:pt>
                <c:pt idx="38">
                  <c:v>98</c:v>
                </c:pt>
                <c:pt idx="39">
                  <c:v>99</c:v>
                </c:pt>
                <c:pt idx="40">
                  <c:v>100</c:v>
                </c:pt>
              </c:numCache>
            </c:numRef>
          </c:cat>
          <c:val>
            <c:numRef>
              <c:f>Report!$H$105:$H$145</c:f>
              <c:numCache>
                <c:formatCode>"₹"#,##0_);[Red]\("₹"#,##0\)</c:formatCode>
                <c:ptCount val="41"/>
                <c:pt idx="0">
                  <c:v>7371657.0142027456</c:v>
                </c:pt>
                <c:pt idx="1">
                  <c:v>7740239.8649128834</c:v>
                </c:pt>
                <c:pt idx="2">
                  <c:v>8127251.8581585279</c:v>
                </c:pt>
                <c:pt idx="3">
                  <c:v>8533614.4510664549</c:v>
                </c:pt>
                <c:pt idx="4">
                  <c:v>8960295.1736197788</c:v>
                </c:pt>
                <c:pt idx="5">
                  <c:v>9408309.9323007688</c:v>
                </c:pt>
                <c:pt idx="6">
                  <c:v>9878725.428915808</c:v>
                </c:pt>
                <c:pt idx="7">
                  <c:v>10372661.700361598</c:v>
                </c:pt>
                <c:pt idx="8">
                  <c:v>10891294.785379678</c:v>
                </c:pt>
                <c:pt idx="9">
                  <c:v>11435859.524648663</c:v>
                </c:pt>
                <c:pt idx="10">
                  <c:v>12007652.500881096</c:v>
                </c:pt>
                <c:pt idx="11">
                  <c:v>12608035.125925152</c:v>
                </c:pt>
                <c:pt idx="12">
                  <c:v>13238436.88222141</c:v>
                </c:pt>
                <c:pt idx="13">
                  <c:v>13900358.726332482</c:v>
                </c:pt>
                <c:pt idx="14">
                  <c:v>14595376.662649106</c:v>
                </c:pt>
                <c:pt idx="15">
                  <c:v>15325145.495781561</c:v>
                </c:pt>
                <c:pt idx="16">
                  <c:v>16091402.77057064</c:v>
                </c:pt>
                <c:pt idx="17">
                  <c:v>16895972.909099173</c:v>
                </c:pt>
                <c:pt idx="18">
                  <c:v>17740771.554554131</c:v>
                </c:pt>
                <c:pt idx="19">
                  <c:v>18627810.13228184</c:v>
                </c:pt>
                <c:pt idx="20">
                  <c:v>19559200.638895933</c:v>
                </c:pt>
                <c:pt idx="21">
                  <c:v>20537160.670840729</c:v>
                </c:pt>
                <c:pt idx="22">
                  <c:v>21564018.704382766</c:v>
                </c:pt>
                <c:pt idx="23">
                  <c:v>22642219.639601905</c:v>
                </c:pt>
                <c:pt idx="24">
                  <c:v>23774330.621582001</c:v>
                </c:pt>
                <c:pt idx="25">
                  <c:v>24963047.152661104</c:v>
                </c:pt>
                <c:pt idx="26">
                  <c:v>26211199.510294162</c:v>
                </c:pt>
                <c:pt idx="27">
                  <c:v>27521759.485808872</c:v>
                </c:pt>
                <c:pt idx="28">
                  <c:v>28897847.460099317</c:v>
                </c:pt>
                <c:pt idx="29">
                  <c:v>30342739.833104283</c:v>
                </c:pt>
                <c:pt idx="30">
                  <c:v>31859876.824759498</c:v>
                </c:pt>
                <c:pt idx="31">
                  <c:v>33452870.665997475</c:v>
                </c:pt>
                <c:pt idx="32">
                  <c:v>35125514.199297354</c:v>
                </c:pt>
                <c:pt idx="33">
                  <c:v>36881789.909262225</c:v>
                </c:pt>
                <c:pt idx="34">
                  <c:v>38725879.404725336</c:v>
                </c:pt>
                <c:pt idx="35">
                  <c:v>40662173.374961607</c:v>
                </c:pt>
                <c:pt idx="36">
                  <c:v>42695282.043709688</c:v>
                </c:pt>
                <c:pt idx="37">
                  <c:v>44830046.145895176</c:v>
                </c:pt>
                <c:pt idx="38">
                  <c:v>47071548.453189939</c:v>
                </c:pt>
                <c:pt idx="39">
                  <c:v>49425125.875849441</c:v>
                </c:pt>
                <c:pt idx="40">
                  <c:v>51896382.169641912</c:v>
                </c:pt>
              </c:numCache>
            </c:numRef>
          </c:val>
          <c:smooth val="0"/>
          <c:extLst>
            <c:ext xmlns:c16="http://schemas.microsoft.com/office/drawing/2014/chart" uri="{C3380CC4-5D6E-409C-BE32-E72D297353CC}">
              <c16:uniqueId val="{00000001-4FAF-4505-BAB7-1186CBE2F745}"/>
            </c:ext>
          </c:extLst>
        </c:ser>
        <c:dLbls>
          <c:showLegendKey val="0"/>
          <c:showVal val="0"/>
          <c:showCatName val="0"/>
          <c:showSerName val="0"/>
          <c:showPercent val="0"/>
          <c:showBubbleSize val="0"/>
        </c:dLbls>
        <c:marker val="1"/>
        <c:smooth val="0"/>
        <c:axId val="966892976"/>
        <c:axId val="966879248"/>
        <c:extLst>
          <c:ext xmlns:c15="http://schemas.microsoft.com/office/drawing/2012/chart" uri="{02D57815-91ED-43cb-92C2-25804820EDAC}">
            <c15:filteredLineSeries>
              <c15:ser>
                <c:idx val="0"/>
                <c:order val="0"/>
                <c:tx>
                  <c:strRef>
                    <c:extLst>
                      <c:ext uri="{02D57815-91ED-43cb-92C2-25804820EDAC}">
                        <c15:formulaRef>
                          <c15:sqref>Report!$F$104</c15:sqref>
                        </c15:formulaRef>
                      </c:ext>
                    </c:extLst>
                    <c:strCache>
                      <c:ptCount val="1"/>
                      <c:pt idx="0">
                        <c:v>Age Of Withdrawal 
(At end of each age)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extLst>
                      <c:ext uri="{02D57815-91ED-43cb-92C2-25804820EDAC}">
                        <c15:formulaRef>
                          <c15:sqref>Report!$F$105:$F$145</c15:sqref>
                        </c15:formulaRef>
                      </c:ext>
                    </c:extLst>
                    <c:numCache>
                      <c:formatCode>0</c:formatCode>
                      <c:ptCount val="41"/>
                      <c:pt idx="0">
                        <c:v>60</c:v>
                      </c:pt>
                      <c:pt idx="1">
                        <c:v>61</c:v>
                      </c:pt>
                      <c:pt idx="2">
                        <c:v>62</c:v>
                      </c:pt>
                      <c:pt idx="3">
                        <c:v>63</c:v>
                      </c:pt>
                      <c:pt idx="4">
                        <c:v>64</c:v>
                      </c:pt>
                      <c:pt idx="5">
                        <c:v>65</c:v>
                      </c:pt>
                      <c:pt idx="6">
                        <c:v>66</c:v>
                      </c:pt>
                      <c:pt idx="7">
                        <c:v>67</c:v>
                      </c:pt>
                      <c:pt idx="8">
                        <c:v>68</c:v>
                      </c:pt>
                      <c:pt idx="9">
                        <c:v>69</c:v>
                      </c:pt>
                      <c:pt idx="10">
                        <c:v>70</c:v>
                      </c:pt>
                      <c:pt idx="11">
                        <c:v>71</c:v>
                      </c:pt>
                      <c:pt idx="12">
                        <c:v>72</c:v>
                      </c:pt>
                      <c:pt idx="13">
                        <c:v>73</c:v>
                      </c:pt>
                      <c:pt idx="14">
                        <c:v>74</c:v>
                      </c:pt>
                      <c:pt idx="15">
                        <c:v>75</c:v>
                      </c:pt>
                      <c:pt idx="16">
                        <c:v>76</c:v>
                      </c:pt>
                      <c:pt idx="17">
                        <c:v>77</c:v>
                      </c:pt>
                      <c:pt idx="18">
                        <c:v>78</c:v>
                      </c:pt>
                      <c:pt idx="19">
                        <c:v>79</c:v>
                      </c:pt>
                      <c:pt idx="20">
                        <c:v>80</c:v>
                      </c:pt>
                      <c:pt idx="21">
                        <c:v>81</c:v>
                      </c:pt>
                      <c:pt idx="22">
                        <c:v>82</c:v>
                      </c:pt>
                      <c:pt idx="23">
                        <c:v>83</c:v>
                      </c:pt>
                      <c:pt idx="24">
                        <c:v>84</c:v>
                      </c:pt>
                      <c:pt idx="25">
                        <c:v>85</c:v>
                      </c:pt>
                      <c:pt idx="26">
                        <c:v>86</c:v>
                      </c:pt>
                      <c:pt idx="27">
                        <c:v>87</c:v>
                      </c:pt>
                      <c:pt idx="28">
                        <c:v>88</c:v>
                      </c:pt>
                      <c:pt idx="29">
                        <c:v>89</c:v>
                      </c:pt>
                      <c:pt idx="30">
                        <c:v>90</c:v>
                      </c:pt>
                      <c:pt idx="31">
                        <c:v>91</c:v>
                      </c:pt>
                      <c:pt idx="32">
                        <c:v>92</c:v>
                      </c:pt>
                      <c:pt idx="33">
                        <c:v>93</c:v>
                      </c:pt>
                      <c:pt idx="34">
                        <c:v>94</c:v>
                      </c:pt>
                      <c:pt idx="35">
                        <c:v>95</c:v>
                      </c:pt>
                      <c:pt idx="36">
                        <c:v>96</c:v>
                      </c:pt>
                      <c:pt idx="37">
                        <c:v>97</c:v>
                      </c:pt>
                      <c:pt idx="38">
                        <c:v>98</c:v>
                      </c:pt>
                      <c:pt idx="39">
                        <c:v>99</c:v>
                      </c:pt>
                      <c:pt idx="40">
                        <c:v>100</c:v>
                      </c:pt>
                    </c:numCache>
                  </c:numRef>
                </c:cat>
                <c:val>
                  <c:numRef>
                    <c:extLst>
                      <c:ext uri="{02D57815-91ED-43cb-92C2-25804820EDAC}">
                        <c15:formulaRef>
                          <c15:sqref>Report!$F$105:$F$145</c15:sqref>
                        </c15:formulaRef>
                      </c:ext>
                    </c:extLst>
                    <c:numCache>
                      <c:formatCode>0</c:formatCode>
                      <c:ptCount val="41"/>
                      <c:pt idx="0">
                        <c:v>60</c:v>
                      </c:pt>
                      <c:pt idx="1">
                        <c:v>61</c:v>
                      </c:pt>
                      <c:pt idx="2">
                        <c:v>62</c:v>
                      </c:pt>
                      <c:pt idx="3">
                        <c:v>63</c:v>
                      </c:pt>
                      <c:pt idx="4">
                        <c:v>64</c:v>
                      </c:pt>
                      <c:pt idx="5">
                        <c:v>65</c:v>
                      </c:pt>
                      <c:pt idx="6">
                        <c:v>66</c:v>
                      </c:pt>
                      <c:pt idx="7">
                        <c:v>67</c:v>
                      </c:pt>
                      <c:pt idx="8">
                        <c:v>68</c:v>
                      </c:pt>
                      <c:pt idx="9">
                        <c:v>69</c:v>
                      </c:pt>
                      <c:pt idx="10">
                        <c:v>70</c:v>
                      </c:pt>
                      <c:pt idx="11">
                        <c:v>71</c:v>
                      </c:pt>
                      <c:pt idx="12">
                        <c:v>72</c:v>
                      </c:pt>
                      <c:pt idx="13">
                        <c:v>73</c:v>
                      </c:pt>
                      <c:pt idx="14">
                        <c:v>74</c:v>
                      </c:pt>
                      <c:pt idx="15">
                        <c:v>75</c:v>
                      </c:pt>
                      <c:pt idx="16">
                        <c:v>76</c:v>
                      </c:pt>
                      <c:pt idx="17">
                        <c:v>77</c:v>
                      </c:pt>
                      <c:pt idx="18">
                        <c:v>78</c:v>
                      </c:pt>
                      <c:pt idx="19">
                        <c:v>79</c:v>
                      </c:pt>
                      <c:pt idx="20">
                        <c:v>80</c:v>
                      </c:pt>
                      <c:pt idx="21">
                        <c:v>81</c:v>
                      </c:pt>
                      <c:pt idx="22">
                        <c:v>82</c:v>
                      </c:pt>
                      <c:pt idx="23">
                        <c:v>83</c:v>
                      </c:pt>
                      <c:pt idx="24">
                        <c:v>84</c:v>
                      </c:pt>
                      <c:pt idx="25">
                        <c:v>85</c:v>
                      </c:pt>
                      <c:pt idx="26">
                        <c:v>86</c:v>
                      </c:pt>
                      <c:pt idx="27">
                        <c:v>87</c:v>
                      </c:pt>
                      <c:pt idx="28">
                        <c:v>88</c:v>
                      </c:pt>
                      <c:pt idx="29">
                        <c:v>89</c:v>
                      </c:pt>
                      <c:pt idx="30">
                        <c:v>90</c:v>
                      </c:pt>
                      <c:pt idx="31">
                        <c:v>91</c:v>
                      </c:pt>
                      <c:pt idx="32">
                        <c:v>92</c:v>
                      </c:pt>
                      <c:pt idx="33">
                        <c:v>93</c:v>
                      </c:pt>
                      <c:pt idx="34">
                        <c:v>94</c:v>
                      </c:pt>
                      <c:pt idx="35">
                        <c:v>95</c:v>
                      </c:pt>
                      <c:pt idx="36">
                        <c:v>96</c:v>
                      </c:pt>
                      <c:pt idx="37">
                        <c:v>97</c:v>
                      </c:pt>
                      <c:pt idx="38">
                        <c:v>98</c:v>
                      </c:pt>
                      <c:pt idx="39">
                        <c:v>99</c:v>
                      </c:pt>
                      <c:pt idx="40">
                        <c:v>100</c:v>
                      </c:pt>
                    </c:numCache>
                  </c:numRef>
                </c:val>
                <c:smooth val="0"/>
                <c:extLst>
                  <c:ext xmlns:c16="http://schemas.microsoft.com/office/drawing/2014/chart" uri="{C3380CC4-5D6E-409C-BE32-E72D297353CC}">
                    <c16:uniqueId val="{00000000-4FAF-4505-BAB7-1186CBE2F745}"/>
                  </c:ext>
                </c:extLst>
              </c15:ser>
            </c15:filteredLineSeries>
          </c:ext>
        </c:extLst>
      </c:lineChart>
      <c:lineChart>
        <c:grouping val="standard"/>
        <c:varyColors val="0"/>
        <c:ser>
          <c:idx val="2"/>
          <c:order val="2"/>
          <c:tx>
            <c:strRef>
              <c:f>Report!$J$104</c:f>
              <c:strCache>
                <c:ptCount val="1"/>
                <c:pt idx="0">
                  <c:v>Corpus Balance after Withdrawal</c:v>
                </c:pt>
              </c:strCache>
            </c:strRef>
          </c:tx>
          <c:spPr>
            <a:ln w="88900" cap="rnd">
              <a:solidFill>
                <a:schemeClr val="accent1">
                  <a:lumMod val="75000"/>
                </a:schemeClr>
              </a:solidFill>
              <a:round/>
            </a:ln>
            <a:effectLst/>
          </c:spPr>
          <c:marker>
            <c:symbol val="none"/>
          </c:marker>
          <c:cat>
            <c:numRef>
              <c:f>Report!$F$105:$F$145</c:f>
              <c:numCache>
                <c:formatCode>0</c:formatCode>
                <c:ptCount val="41"/>
                <c:pt idx="0">
                  <c:v>60</c:v>
                </c:pt>
                <c:pt idx="1">
                  <c:v>61</c:v>
                </c:pt>
                <c:pt idx="2">
                  <c:v>62</c:v>
                </c:pt>
                <c:pt idx="3">
                  <c:v>63</c:v>
                </c:pt>
                <c:pt idx="4">
                  <c:v>64</c:v>
                </c:pt>
                <c:pt idx="5">
                  <c:v>65</c:v>
                </c:pt>
                <c:pt idx="6">
                  <c:v>66</c:v>
                </c:pt>
                <c:pt idx="7">
                  <c:v>67</c:v>
                </c:pt>
                <c:pt idx="8">
                  <c:v>68</c:v>
                </c:pt>
                <c:pt idx="9">
                  <c:v>69</c:v>
                </c:pt>
                <c:pt idx="10">
                  <c:v>70</c:v>
                </c:pt>
                <c:pt idx="11">
                  <c:v>71</c:v>
                </c:pt>
                <c:pt idx="12">
                  <c:v>72</c:v>
                </c:pt>
                <c:pt idx="13">
                  <c:v>73</c:v>
                </c:pt>
                <c:pt idx="14">
                  <c:v>74</c:v>
                </c:pt>
                <c:pt idx="15">
                  <c:v>75</c:v>
                </c:pt>
                <c:pt idx="16">
                  <c:v>76</c:v>
                </c:pt>
                <c:pt idx="17">
                  <c:v>77</c:v>
                </c:pt>
                <c:pt idx="18">
                  <c:v>78</c:v>
                </c:pt>
                <c:pt idx="19">
                  <c:v>79</c:v>
                </c:pt>
                <c:pt idx="20">
                  <c:v>80</c:v>
                </c:pt>
                <c:pt idx="21">
                  <c:v>81</c:v>
                </c:pt>
                <c:pt idx="22">
                  <c:v>82</c:v>
                </c:pt>
                <c:pt idx="23">
                  <c:v>83</c:v>
                </c:pt>
                <c:pt idx="24">
                  <c:v>84</c:v>
                </c:pt>
                <c:pt idx="25">
                  <c:v>85</c:v>
                </c:pt>
                <c:pt idx="26">
                  <c:v>86</c:v>
                </c:pt>
                <c:pt idx="27">
                  <c:v>87</c:v>
                </c:pt>
                <c:pt idx="28">
                  <c:v>88</c:v>
                </c:pt>
                <c:pt idx="29">
                  <c:v>89</c:v>
                </c:pt>
                <c:pt idx="30">
                  <c:v>90</c:v>
                </c:pt>
                <c:pt idx="31">
                  <c:v>91</c:v>
                </c:pt>
                <c:pt idx="32">
                  <c:v>92</c:v>
                </c:pt>
                <c:pt idx="33">
                  <c:v>93</c:v>
                </c:pt>
                <c:pt idx="34">
                  <c:v>94</c:v>
                </c:pt>
                <c:pt idx="35">
                  <c:v>95</c:v>
                </c:pt>
                <c:pt idx="36">
                  <c:v>96</c:v>
                </c:pt>
                <c:pt idx="37">
                  <c:v>97</c:v>
                </c:pt>
                <c:pt idx="38">
                  <c:v>98</c:v>
                </c:pt>
                <c:pt idx="39">
                  <c:v>99</c:v>
                </c:pt>
                <c:pt idx="40">
                  <c:v>100</c:v>
                </c:pt>
              </c:numCache>
            </c:numRef>
          </c:cat>
          <c:val>
            <c:numRef>
              <c:f>Report!$J$105:$J$145</c:f>
              <c:numCache>
                <c:formatCode>"₹"#,##0_);[Red]\("₹"#,##0\)</c:formatCode>
                <c:ptCount val="41"/>
                <c:pt idx="0">
                  <c:v>163096294.0774039</c:v>
                </c:pt>
                <c:pt idx="1">
                  <c:v>166772794.79790929</c:v>
                </c:pt>
                <c:pt idx="2">
                  <c:v>170319638.57560441</c:v>
                </c:pt>
                <c:pt idx="3">
                  <c:v>173708398.82483026</c:v>
                </c:pt>
                <c:pt idx="4">
                  <c:v>176907691.56894863</c:v>
                </c:pt>
                <c:pt idx="5">
                  <c:v>179882920.04647428</c:v>
                </c:pt>
                <c:pt idx="6">
                  <c:v>182595999.02081168</c:v>
                </c:pt>
                <c:pt idx="7">
                  <c:v>185005057.2519069</c:v>
                </c:pt>
                <c:pt idx="8">
                  <c:v>187064116.47416073</c:v>
                </c:pt>
                <c:pt idx="9">
                  <c:v>188722745.10270333</c:v>
                </c:pt>
                <c:pt idx="10">
                  <c:v>189925684.75901148</c:v>
                </c:pt>
                <c:pt idx="11">
                  <c:v>190612447.56621712</c:v>
                </c:pt>
                <c:pt idx="12">
                  <c:v>190716882.01363093</c:v>
                </c:pt>
                <c:pt idx="13">
                  <c:v>190166705.02825263</c:v>
                </c:pt>
                <c:pt idx="14">
                  <c:v>188882997.71758124</c:v>
                </c:pt>
                <c:pt idx="15">
                  <c:v>186779662.06203038</c:v>
                </c:pt>
                <c:pt idx="16">
                  <c:v>183762835.63580188</c:v>
                </c:pt>
                <c:pt idx="17">
                  <c:v>179730261.22120887</c:v>
                </c:pt>
                <c:pt idx="18">
                  <c:v>174570607.95213938</c:v>
                </c:pt>
                <c:pt idx="19">
                  <c:v>168162740.37650731</c:v>
                </c:pt>
                <c:pt idx="20">
                  <c:v>160374931.5639669</c:v>
                </c:pt>
                <c:pt idx="21">
                  <c:v>151064016.10260385</c:v>
                </c:pt>
                <c:pt idx="22">
                  <c:v>140074478.52540335</c:v>
                </c:pt>
                <c:pt idx="23">
                  <c:v>127237472.3825797</c:v>
                </c:pt>
                <c:pt idx="24">
                  <c:v>112369764.82777828</c:v>
                </c:pt>
                <c:pt idx="25">
                  <c:v>95272601.213061661</c:v>
                </c:pt>
                <c:pt idx="26">
                  <c:v>75730483.787681818</c:v>
                </c:pt>
                <c:pt idx="27">
                  <c:v>53509858.167010672</c:v>
                </c:pt>
                <c:pt idx="28">
                  <c:v>28357700.778602108</c:v>
                </c:pt>
                <c:pt idx="29">
                  <c:v>0</c:v>
                </c:pt>
                <c:pt idx="30">
                  <c:v>-31859876.824759498</c:v>
                </c:pt>
                <c:pt idx="31">
                  <c:v>-67542938.86849013</c:v>
                </c:pt>
                <c:pt idx="32">
                  <c:v>-107396458.7885818</c:v>
                </c:pt>
                <c:pt idx="33">
                  <c:v>-151796000.81304476</c:v>
                </c:pt>
                <c:pt idx="34">
                  <c:v>-201147600.27468324</c:v>
                </c:pt>
                <c:pt idx="35">
                  <c:v>-255890105.66887268</c:v>
                </c:pt>
                <c:pt idx="36">
                  <c:v>-316497695.10940349</c:v>
                </c:pt>
                <c:pt idx="37">
                  <c:v>-383482579.91295695</c:v>
                </c:pt>
                <c:pt idx="38">
                  <c:v>-457397908.96005392</c:v>
                </c:pt>
                <c:pt idx="39">
                  <c:v>-538840888.46310723</c:v>
                </c:pt>
                <c:pt idx="40">
                  <c:v>-628456132.8251667</c:v>
                </c:pt>
              </c:numCache>
            </c:numRef>
          </c:val>
          <c:smooth val="0"/>
          <c:extLst>
            <c:ext xmlns:c16="http://schemas.microsoft.com/office/drawing/2014/chart" uri="{C3380CC4-5D6E-409C-BE32-E72D297353CC}">
              <c16:uniqueId val="{00000002-4FAF-4505-BAB7-1186CBE2F745}"/>
            </c:ext>
          </c:extLst>
        </c:ser>
        <c:dLbls>
          <c:showLegendKey val="0"/>
          <c:showVal val="0"/>
          <c:showCatName val="0"/>
          <c:showSerName val="0"/>
          <c:showPercent val="0"/>
          <c:showBubbleSize val="0"/>
        </c:dLbls>
        <c:marker val="1"/>
        <c:smooth val="0"/>
        <c:axId val="1798847344"/>
        <c:axId val="1798849008"/>
      </c:lineChart>
      <c:catAx>
        <c:axId val="966892976"/>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Tw Cen MT" panose="020B0602020104020603" pitchFamily="34" charset="0"/>
                <a:ea typeface="+mn-ea"/>
                <a:cs typeface="+mn-cs"/>
              </a:defRPr>
            </a:pPr>
            <a:endParaRPr lang="en-US"/>
          </a:p>
        </c:txPr>
        <c:crossAx val="966879248"/>
        <c:crosses val="autoZero"/>
        <c:auto val="1"/>
        <c:lblAlgn val="ctr"/>
        <c:lblOffset val="100"/>
        <c:noMultiLvlLbl val="0"/>
      </c:catAx>
      <c:valAx>
        <c:axId val="966879248"/>
        <c:scaling>
          <c:orientation val="minMax"/>
        </c:scaling>
        <c:delete val="0"/>
        <c:axPos val="l"/>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bg1"/>
                </a:solidFill>
                <a:latin typeface="Tw Cen MT" panose="020B0602020104020603" pitchFamily="34" charset="0"/>
                <a:ea typeface="+mn-ea"/>
                <a:cs typeface="+mn-cs"/>
              </a:defRPr>
            </a:pPr>
            <a:endParaRPr lang="en-US"/>
          </a:p>
        </c:txPr>
        <c:crossAx val="966892976"/>
        <c:crosses val="autoZero"/>
        <c:crossBetween val="between"/>
      </c:valAx>
      <c:valAx>
        <c:axId val="1798849008"/>
        <c:scaling>
          <c:orientation val="minMax"/>
        </c:scaling>
        <c:delete val="0"/>
        <c:axPos val="r"/>
        <c:numFmt formatCode="&quot;₹&quot;\ #,##0" sourceLinked="0"/>
        <c:majorTickMark val="out"/>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bg1"/>
                </a:solidFill>
                <a:latin typeface="Tw Cen MT" panose="020B0602020104020603" pitchFamily="34" charset="0"/>
                <a:ea typeface="+mn-ea"/>
                <a:cs typeface="+mn-cs"/>
              </a:defRPr>
            </a:pPr>
            <a:endParaRPr lang="en-US"/>
          </a:p>
        </c:txPr>
        <c:crossAx val="1798847344"/>
        <c:crosses val="max"/>
        <c:crossBetween val="between"/>
      </c:valAx>
      <c:catAx>
        <c:axId val="1798847344"/>
        <c:scaling>
          <c:orientation val="minMax"/>
        </c:scaling>
        <c:delete val="1"/>
        <c:axPos val="b"/>
        <c:numFmt formatCode="0" sourceLinked="1"/>
        <c:majorTickMark val="out"/>
        <c:minorTickMark val="none"/>
        <c:tickLblPos val="nextTo"/>
        <c:crossAx val="1798849008"/>
        <c:crosses val="autoZero"/>
        <c:auto val="1"/>
        <c:lblAlgn val="ctr"/>
        <c:lblOffset val="100"/>
        <c:noMultiLvlLbl val="0"/>
      </c:catAx>
      <c:spPr>
        <a:noFill/>
        <a:ln>
          <a:noFill/>
        </a:ln>
        <a:effectLst/>
      </c:spPr>
    </c:plotArea>
    <c:legend>
      <c:legendPos val="b"/>
      <c:layout>
        <c:manualLayout>
          <c:xMode val="edge"/>
          <c:yMode val="edge"/>
          <c:x val="0.11396882506298814"/>
          <c:y val="0.85674850123613144"/>
          <c:w val="0.74488687898186845"/>
          <c:h val="0.12476411603865367"/>
        </c:manualLayout>
      </c:layout>
      <c:overlay val="0"/>
      <c:spPr>
        <a:noFill/>
        <a:ln>
          <a:noFill/>
        </a:ln>
        <a:effectLst/>
      </c:spPr>
      <c:txPr>
        <a:bodyPr rot="0" spcFirstLastPara="1" vertOverflow="ellipsis" vert="horz" wrap="square" anchor="ctr" anchorCtr="1"/>
        <a:lstStyle/>
        <a:p>
          <a:pPr>
            <a:defRPr sz="1600" b="0" i="0" u="none" strike="noStrike" kern="1200" baseline="0">
              <a:solidFill>
                <a:sysClr val="windowText" lastClr="000000"/>
              </a:solidFill>
              <a:latin typeface="Tw Cen MT" panose="020B0602020104020603" pitchFamily="34" charset="0"/>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400">
          <a:latin typeface="Tw Cen MT" panose="020B0602020104020603" pitchFamily="34" charset="0"/>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800" b="1" i="0" u="none" strike="noStrike" kern="1200" spc="0" baseline="0">
              <a:solidFill>
                <a:sysClr val="windowText" lastClr="000000"/>
              </a:solidFill>
              <a:latin typeface="Tw Cen MT" panose="020B0602020104020603" pitchFamily="34" charset="0"/>
              <a:ea typeface="+mn-ea"/>
              <a:cs typeface="+mn-cs"/>
            </a:defRPr>
          </a:pPr>
          <a:endParaRPr lang="en-US"/>
        </a:p>
      </c:txPr>
    </c:title>
    <c:autoTitleDeleted val="0"/>
    <c:plotArea>
      <c:layout/>
      <c:barChart>
        <c:barDir val="col"/>
        <c:grouping val="clustered"/>
        <c:varyColors val="0"/>
        <c:ser>
          <c:idx val="0"/>
          <c:order val="0"/>
          <c:tx>
            <c:strRef>
              <c:f>Working!$C$16</c:f>
              <c:strCache>
                <c:ptCount val="1"/>
              </c:strCache>
            </c:strRef>
          </c:tx>
          <c:spPr>
            <a:solidFill>
              <a:schemeClr val="accent2">
                <a:lumMod val="75000"/>
              </a:schemeClr>
            </a:solidFill>
            <a:ln>
              <a:noFill/>
            </a:ln>
            <a:effectLst/>
          </c:spPr>
          <c:invertIfNegative val="0"/>
          <c:dLbls>
            <c:numFmt formatCode="&quot;₹&quot;\ #,##0" sourceLinked="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Tw Cen MT" panose="020B06020201040206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Working!$B$17:$B$20</c:f>
              <c:numCache>
                <c:formatCode>General</c:formatCode>
                <c:ptCount val="4"/>
              </c:numCache>
            </c:numRef>
          </c:cat>
          <c:val>
            <c:numRef>
              <c:f>Working!$C$17:$C$20</c:f>
              <c:numCache>
                <c:formatCode>General</c:formatCode>
                <c:ptCount val="4"/>
              </c:numCache>
            </c:numRef>
          </c:val>
          <c:extLst>
            <c:ext xmlns:c16="http://schemas.microsoft.com/office/drawing/2014/chart" uri="{C3380CC4-5D6E-409C-BE32-E72D297353CC}">
              <c16:uniqueId val="{00000000-EA22-4DC2-BC92-95FAA7FA3182}"/>
            </c:ext>
          </c:extLst>
        </c:ser>
        <c:dLbls>
          <c:showLegendKey val="0"/>
          <c:showVal val="0"/>
          <c:showCatName val="0"/>
          <c:showSerName val="0"/>
          <c:showPercent val="0"/>
          <c:showBubbleSize val="0"/>
        </c:dLbls>
        <c:gapWidth val="100"/>
        <c:overlap val="-27"/>
        <c:axId val="1915050032"/>
        <c:axId val="1915050864"/>
      </c:barChart>
      <c:catAx>
        <c:axId val="1915050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Tw Cen MT" panose="020B0602020104020603" pitchFamily="34" charset="0"/>
                <a:ea typeface="+mn-ea"/>
                <a:cs typeface="+mn-cs"/>
              </a:defRPr>
            </a:pPr>
            <a:endParaRPr lang="en-US"/>
          </a:p>
        </c:txPr>
        <c:crossAx val="1915050864"/>
        <c:crosses val="autoZero"/>
        <c:auto val="1"/>
        <c:lblAlgn val="ctr"/>
        <c:lblOffset val="100"/>
        <c:noMultiLvlLbl val="0"/>
      </c:catAx>
      <c:valAx>
        <c:axId val="1915050864"/>
        <c:scaling>
          <c:orientation val="minMax"/>
        </c:scaling>
        <c:delete val="1"/>
        <c:axPos val="l"/>
        <c:numFmt formatCode="General" sourceLinked="1"/>
        <c:majorTickMark val="none"/>
        <c:minorTickMark val="none"/>
        <c:tickLblPos val="nextTo"/>
        <c:crossAx val="191505003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1"/>
          <c:order val="0"/>
          <c:tx>
            <c:strRef>
              <c:f>Working!$C$31</c:f>
              <c:strCache>
                <c:ptCount val="1"/>
                <c:pt idx="0">
                  <c:v>Yearly Expense</c:v>
                </c:pt>
              </c:strCache>
            </c:strRef>
          </c:tx>
          <c:spPr>
            <a:ln w="88900" cap="rnd">
              <a:solidFill>
                <a:srgbClr val="FF0000"/>
              </a:solidFill>
              <a:round/>
            </a:ln>
            <a:effectLst/>
          </c:spPr>
          <c:marker>
            <c:symbol val="none"/>
          </c:marker>
          <c:cat>
            <c:strRef>
              <c:f>Working!$B$32:$B$65</c:f>
              <c:strCache>
                <c:ptCount val="24"/>
                <c:pt idx="0">
                  <c:v>37</c:v>
                </c:pt>
                <c:pt idx="1">
                  <c:v>38</c:v>
                </c:pt>
                <c:pt idx="2">
                  <c:v>39</c:v>
                </c:pt>
                <c:pt idx="3">
                  <c:v>40</c:v>
                </c:pt>
                <c:pt idx="4">
                  <c:v>41</c:v>
                </c:pt>
                <c:pt idx="5">
                  <c:v>42</c:v>
                </c:pt>
                <c:pt idx="6">
                  <c:v>43</c:v>
                </c:pt>
                <c:pt idx="7">
                  <c:v>44</c:v>
                </c:pt>
                <c:pt idx="8">
                  <c:v>45</c:v>
                </c:pt>
                <c:pt idx="9">
                  <c:v>46</c:v>
                </c:pt>
                <c:pt idx="10">
                  <c:v>47</c:v>
                </c:pt>
                <c:pt idx="11">
                  <c:v>48</c:v>
                </c:pt>
                <c:pt idx="12">
                  <c:v>49</c:v>
                </c:pt>
                <c:pt idx="13">
                  <c:v>50</c:v>
                </c:pt>
                <c:pt idx="14">
                  <c:v>51</c:v>
                </c:pt>
                <c:pt idx="15">
                  <c:v>52</c:v>
                </c:pt>
                <c:pt idx="16">
                  <c:v>53</c:v>
                </c:pt>
                <c:pt idx="17">
                  <c:v>54</c:v>
                </c:pt>
                <c:pt idx="18">
                  <c:v>55</c:v>
                </c:pt>
                <c:pt idx="19">
                  <c:v>56</c:v>
                </c:pt>
                <c:pt idx="20">
                  <c:v>57</c:v>
                </c:pt>
                <c:pt idx="21">
                  <c:v>58</c:v>
                </c:pt>
                <c:pt idx="22">
                  <c:v>59</c:v>
                </c:pt>
                <c:pt idx="23">
                  <c:v>60</c:v>
                </c:pt>
              </c:strCache>
            </c:strRef>
          </c:cat>
          <c:val>
            <c:numRef>
              <c:f>[0]!Yearly_Expense</c:f>
              <c:numCache>
                <c:formatCode>"₹"#,##0.00_);[Red]\("₹"#,##0.00\)</c:formatCode>
                <c:ptCount val="24"/>
                <c:pt idx="0">
                  <c:v>2400000</c:v>
                </c:pt>
                <c:pt idx="1">
                  <c:v>2520000</c:v>
                </c:pt>
                <c:pt idx="2">
                  <c:v>2646000</c:v>
                </c:pt>
                <c:pt idx="3">
                  <c:v>2778300</c:v>
                </c:pt>
                <c:pt idx="4">
                  <c:v>2917215</c:v>
                </c:pt>
                <c:pt idx="5">
                  <c:v>3063075.75</c:v>
                </c:pt>
                <c:pt idx="6">
                  <c:v>3216229.5375000001</c:v>
                </c:pt>
                <c:pt idx="7">
                  <c:v>3377041.0143750003</c:v>
                </c:pt>
                <c:pt idx="8">
                  <c:v>3545893.0650937506</c:v>
                </c:pt>
                <c:pt idx="9">
                  <c:v>3723187.7183484384</c:v>
                </c:pt>
                <c:pt idx="10">
                  <c:v>3909347.1042658603</c:v>
                </c:pt>
                <c:pt idx="11">
                  <c:v>4104814.4594791536</c:v>
                </c:pt>
                <c:pt idx="12">
                  <c:v>4310055.1824531117</c:v>
                </c:pt>
                <c:pt idx="13">
                  <c:v>4525557.9415757675</c:v>
                </c:pt>
                <c:pt idx="14">
                  <c:v>4751835.8386545563</c:v>
                </c:pt>
                <c:pt idx="15">
                  <c:v>4989427.6305872845</c:v>
                </c:pt>
                <c:pt idx="16">
                  <c:v>5238899.0121166492</c:v>
                </c:pt>
                <c:pt idx="17">
                  <c:v>5500843.9627224822</c:v>
                </c:pt>
                <c:pt idx="18">
                  <c:v>5775886.1608586069</c:v>
                </c:pt>
                <c:pt idx="19">
                  <c:v>6064680.4689015374</c:v>
                </c:pt>
                <c:pt idx="20">
                  <c:v>6367914.4923466146</c:v>
                </c:pt>
                <c:pt idx="21">
                  <c:v>6686310.2169639459</c:v>
                </c:pt>
                <c:pt idx="22">
                  <c:v>7020625.727812143</c:v>
                </c:pt>
                <c:pt idx="23">
                  <c:v>7371657.0142027503</c:v>
                </c:pt>
              </c:numCache>
            </c:numRef>
          </c:val>
          <c:smooth val="0"/>
          <c:extLst>
            <c:ext xmlns:c16="http://schemas.microsoft.com/office/drawing/2014/chart" uri="{C3380CC4-5D6E-409C-BE32-E72D297353CC}">
              <c16:uniqueId val="{00000000-6A65-41B3-919B-9BB31341F5DA}"/>
            </c:ext>
          </c:extLst>
        </c:ser>
        <c:dLbls>
          <c:showLegendKey val="0"/>
          <c:showVal val="0"/>
          <c:showCatName val="0"/>
          <c:showSerName val="0"/>
          <c:showPercent val="0"/>
          <c:showBubbleSize val="0"/>
        </c:dLbls>
        <c:marker val="1"/>
        <c:smooth val="0"/>
        <c:axId val="1066532127"/>
        <c:axId val="1066521727"/>
      </c:lineChart>
      <c:lineChart>
        <c:grouping val="standard"/>
        <c:varyColors val="0"/>
        <c:ser>
          <c:idx val="2"/>
          <c:order val="1"/>
          <c:tx>
            <c:strRef>
              <c:f>Working!$D$31</c:f>
              <c:strCache>
                <c:ptCount val="1"/>
                <c:pt idx="0">
                  <c:v>Corpus value</c:v>
                </c:pt>
              </c:strCache>
            </c:strRef>
          </c:tx>
          <c:spPr>
            <a:ln w="88900" cap="rnd">
              <a:solidFill>
                <a:schemeClr val="accent6">
                  <a:lumMod val="75000"/>
                </a:schemeClr>
              </a:solidFill>
              <a:round/>
            </a:ln>
            <a:effectLst/>
          </c:spPr>
          <c:marker>
            <c:symbol val="none"/>
          </c:marker>
          <c:cat>
            <c:numRef>
              <c:f>[0]!Age</c:f>
              <c:numCache>
                <c:formatCode>General</c:formatCode>
                <c:ptCount val="24"/>
                <c:pt idx="0">
                  <c:v>37</c:v>
                </c:pt>
                <c:pt idx="1">
                  <c:v>38</c:v>
                </c:pt>
                <c:pt idx="2">
                  <c:v>39</c:v>
                </c:pt>
                <c:pt idx="3">
                  <c:v>40</c:v>
                </c:pt>
                <c:pt idx="4">
                  <c:v>41</c:v>
                </c:pt>
                <c:pt idx="5">
                  <c:v>42</c:v>
                </c:pt>
                <c:pt idx="6">
                  <c:v>43</c:v>
                </c:pt>
                <c:pt idx="7">
                  <c:v>44</c:v>
                </c:pt>
                <c:pt idx="8">
                  <c:v>45</c:v>
                </c:pt>
                <c:pt idx="9">
                  <c:v>46</c:v>
                </c:pt>
                <c:pt idx="10">
                  <c:v>47</c:v>
                </c:pt>
                <c:pt idx="11">
                  <c:v>48</c:v>
                </c:pt>
                <c:pt idx="12">
                  <c:v>49</c:v>
                </c:pt>
                <c:pt idx="13">
                  <c:v>50</c:v>
                </c:pt>
                <c:pt idx="14">
                  <c:v>51</c:v>
                </c:pt>
                <c:pt idx="15">
                  <c:v>52</c:v>
                </c:pt>
                <c:pt idx="16">
                  <c:v>53</c:v>
                </c:pt>
                <c:pt idx="17">
                  <c:v>54</c:v>
                </c:pt>
                <c:pt idx="18">
                  <c:v>55</c:v>
                </c:pt>
                <c:pt idx="19">
                  <c:v>56</c:v>
                </c:pt>
                <c:pt idx="20">
                  <c:v>57</c:v>
                </c:pt>
                <c:pt idx="21">
                  <c:v>58</c:v>
                </c:pt>
                <c:pt idx="22">
                  <c:v>59</c:v>
                </c:pt>
                <c:pt idx="23">
                  <c:v>60</c:v>
                </c:pt>
              </c:numCache>
            </c:numRef>
          </c:cat>
          <c:val>
            <c:numRef>
              <c:f>[0]!Corpus_value</c:f>
              <c:numCache>
                <c:formatCode>"₹"#,##0.00_);[Red]\("₹"#,##0.00\)</c:formatCode>
                <c:ptCount val="24"/>
                <c:pt idx="0">
                  <c:v>0</c:v>
                </c:pt>
                <c:pt idx="1">
                  <c:v>1870234.8807983585</c:v>
                </c:pt>
                <c:pt idx="2">
                  <c:v>3946195.5984845334</c:v>
                </c:pt>
                <c:pt idx="3">
                  <c:v>6250511.995116191</c:v>
                </c:pt>
                <c:pt idx="4">
                  <c:v>8808303.1953773275</c:v>
                </c:pt>
                <c:pt idx="5">
                  <c:v>11647451.427667189</c:v>
                </c:pt>
                <c:pt idx="6">
                  <c:v>14798905.965508932</c:v>
                </c:pt>
                <c:pt idx="7">
                  <c:v>18297020.502513267</c:v>
                </c:pt>
                <c:pt idx="8">
                  <c:v>22179927.638588082</c:v>
                </c:pt>
                <c:pt idx="9">
                  <c:v>26489954.55963112</c:v>
                </c:pt>
                <c:pt idx="10">
                  <c:v>31274084.441988885</c:v>
                </c:pt>
                <c:pt idx="11">
                  <c:v>36584468.611406013</c:v>
                </c:pt>
                <c:pt idx="12">
                  <c:v>42478995.03945902</c:v>
                </c:pt>
                <c:pt idx="13">
                  <c:v>49021919.374597847</c:v>
                </c:pt>
                <c:pt idx="14">
                  <c:v>56284565.386601947</c:v>
                </c:pt>
                <c:pt idx="15">
                  <c:v>64346102.459926501</c:v>
                </c:pt>
                <c:pt idx="16">
                  <c:v>73294408.611316755</c:v>
                </c:pt>
                <c:pt idx="17">
                  <c:v>83227028.439359933</c:v>
                </c:pt>
                <c:pt idx="18">
                  <c:v>94252236.448487848</c:v>
                </c:pt>
                <c:pt idx="19">
                  <c:v>106490217.33861981</c:v>
                </c:pt>
                <c:pt idx="20">
                  <c:v>120074376.12666634</c:v>
                </c:pt>
                <c:pt idx="21">
                  <c:v>135152792.38139793</c:v>
                </c:pt>
                <c:pt idx="22">
                  <c:v>151889834.42415002</c:v>
                </c:pt>
                <c:pt idx="23">
                  <c:v>170467951.0916048</c:v>
                </c:pt>
              </c:numCache>
            </c:numRef>
          </c:val>
          <c:smooth val="0"/>
          <c:extLst>
            <c:ext xmlns:c16="http://schemas.microsoft.com/office/drawing/2014/chart" uri="{C3380CC4-5D6E-409C-BE32-E72D297353CC}">
              <c16:uniqueId val="{00000001-6A65-41B3-919B-9BB31341F5DA}"/>
            </c:ext>
          </c:extLst>
        </c:ser>
        <c:dLbls>
          <c:showLegendKey val="0"/>
          <c:showVal val="0"/>
          <c:showCatName val="0"/>
          <c:showSerName val="0"/>
          <c:showPercent val="0"/>
          <c:showBubbleSize val="0"/>
        </c:dLbls>
        <c:marker val="1"/>
        <c:smooth val="0"/>
        <c:axId val="1149474367"/>
        <c:axId val="1149472703"/>
      </c:lineChart>
      <c:catAx>
        <c:axId val="1066532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Tw Cen MT" panose="020B0602020104020603" pitchFamily="34" charset="0"/>
                <a:ea typeface="+mn-ea"/>
                <a:cs typeface="+mn-cs"/>
              </a:defRPr>
            </a:pPr>
            <a:endParaRPr lang="en-US"/>
          </a:p>
        </c:txPr>
        <c:crossAx val="1066521727"/>
        <c:crosses val="autoZero"/>
        <c:auto val="1"/>
        <c:lblAlgn val="ctr"/>
        <c:lblOffset val="100"/>
        <c:noMultiLvlLbl val="0"/>
      </c:catAx>
      <c:valAx>
        <c:axId val="1066521727"/>
        <c:scaling>
          <c:orientation val="minMax"/>
        </c:scaling>
        <c:delete val="0"/>
        <c:axPos val="l"/>
        <c:numFmt formatCode="&quot;₹&quot;#,##0.00_);[Red]\(&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Tw Cen MT" panose="020B0602020104020603" pitchFamily="34" charset="0"/>
                <a:ea typeface="+mn-ea"/>
                <a:cs typeface="+mn-cs"/>
              </a:defRPr>
            </a:pPr>
            <a:endParaRPr lang="en-US"/>
          </a:p>
        </c:txPr>
        <c:crossAx val="1066532127"/>
        <c:crosses val="autoZero"/>
        <c:crossBetween val="between"/>
      </c:valAx>
      <c:valAx>
        <c:axId val="1149472703"/>
        <c:scaling>
          <c:orientation val="minMax"/>
        </c:scaling>
        <c:delete val="0"/>
        <c:axPos val="r"/>
        <c:numFmt formatCode="&quot;₹&quot;#,##0.00_);[Red]\(&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Tw Cen MT" panose="020B0602020104020603" pitchFamily="34" charset="0"/>
                <a:ea typeface="+mn-ea"/>
                <a:cs typeface="+mn-cs"/>
              </a:defRPr>
            </a:pPr>
            <a:endParaRPr lang="en-US"/>
          </a:p>
        </c:txPr>
        <c:crossAx val="1149474367"/>
        <c:crosses val="max"/>
        <c:crossBetween val="between"/>
      </c:valAx>
      <c:catAx>
        <c:axId val="1149474367"/>
        <c:scaling>
          <c:orientation val="minMax"/>
        </c:scaling>
        <c:delete val="1"/>
        <c:axPos val="b"/>
        <c:numFmt formatCode="General" sourceLinked="1"/>
        <c:majorTickMark val="out"/>
        <c:minorTickMark val="none"/>
        <c:tickLblPos val="nextTo"/>
        <c:crossAx val="1149472703"/>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ysClr val="windowText" lastClr="000000"/>
              </a:solidFill>
              <a:latin typeface="Tw Cen MT" panose="020B0602020104020603"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latin typeface="Tw Cen MT" panose="020B0602020104020603" pitchFamily="34" charset="0"/>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spPr>
            <a:solidFill>
              <a:schemeClr val="accent1"/>
            </a:solidFill>
            <a:ln>
              <a:noFill/>
            </a:ln>
            <a:effectLst/>
          </c:spPr>
          <c:invertIfNegative val="0"/>
          <c:cat>
            <c:strRef>
              <c:f>Working!$B$17:$B$20</c:f>
              <c:strCache>
                <c:ptCount val="4"/>
                <c:pt idx="0">
                  <c:v>Sneha</c:v>
                </c:pt>
                <c:pt idx="1">
                  <c:v>Amit</c:v>
                </c:pt>
                <c:pt idx="2">
                  <c:v>Neekunj</c:v>
                </c:pt>
                <c:pt idx="3">
                  <c:v>Reena</c:v>
                </c:pt>
              </c:strCache>
            </c:strRef>
          </c:cat>
          <c:val>
            <c:numRef>
              <c:f>Working!$C$17:$C$20</c:f>
              <c:numCache>
                <c:formatCode>"₹"#,##0_);[Red]\("₹"#,##0\)</c:formatCode>
                <c:ptCount val="4"/>
                <c:pt idx="0">
                  <c:v>1477455.4437890626</c:v>
                </c:pt>
                <c:pt idx="1">
                  <c:v>1885649.142323236</c:v>
                </c:pt>
                <c:pt idx="2">
                  <c:v>2406619.2336910847</c:v>
                </c:pt>
                <c:pt idx="3">
                  <c:v>3071523.7559178104</c:v>
                </c:pt>
              </c:numCache>
            </c:numRef>
          </c:val>
          <c:extLs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0-8E43-4216-8666-85405FF90F50}"/>
            </c:ext>
          </c:extLst>
        </c:ser>
        <c:ser>
          <c:idx val="1"/>
          <c:order val="1"/>
          <c:spPr>
            <a:solidFill>
              <a:schemeClr val="accent2"/>
            </a:solidFill>
            <a:ln>
              <a:noFill/>
            </a:ln>
            <a:effectLst/>
          </c:spPr>
          <c:invertIfNegative val="0"/>
          <c:val>
            <c:numLit>
              <c:formatCode>General</c:formatCode>
              <c:ptCount val="1"/>
              <c:pt idx="0">
                <c:v>1</c:v>
              </c:pt>
            </c:numLit>
          </c:val>
          <c:extLs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4-8E43-4216-8666-85405FF90F50}"/>
            </c:ext>
          </c:extLst>
        </c:ser>
        <c:dLbls>
          <c:showLegendKey val="0"/>
          <c:showVal val="0"/>
          <c:showCatName val="0"/>
          <c:showSerName val="0"/>
          <c:showPercent val="0"/>
          <c:showBubbleSize val="0"/>
        </c:dLbls>
        <c:gapWidth val="219"/>
        <c:overlap val="-27"/>
        <c:axId val="1915050032"/>
        <c:axId val="1915050864"/>
      </c:barChart>
      <c:catAx>
        <c:axId val="1915050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5050864"/>
        <c:crosses val="autoZero"/>
        <c:auto val="1"/>
        <c:lblAlgn val="ctr"/>
        <c:lblOffset val="100"/>
        <c:noMultiLvlLbl val="0"/>
      </c:catAx>
      <c:valAx>
        <c:axId val="191505086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50500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1"/>
          <c:order val="0"/>
          <c:tx>
            <c:strRef>
              <c:f>Working!$C$31</c:f>
              <c:strCache>
                <c:ptCount val="1"/>
                <c:pt idx="0">
                  <c:v>Yearly Expense</c:v>
                </c:pt>
              </c:strCache>
            </c:strRef>
          </c:tx>
          <c:spPr>
            <a:ln w="88900" cap="rnd">
              <a:solidFill>
                <a:srgbClr val="FF0000"/>
              </a:solidFill>
              <a:round/>
            </a:ln>
            <a:effectLst/>
          </c:spPr>
          <c:marker>
            <c:symbol val="none"/>
          </c:marker>
          <c:cat>
            <c:strRef>
              <c:f>Working!$B$32:$B$65</c:f>
              <c:strCache>
                <c:ptCount val="24"/>
                <c:pt idx="0">
                  <c:v>37</c:v>
                </c:pt>
                <c:pt idx="1">
                  <c:v>38</c:v>
                </c:pt>
                <c:pt idx="2">
                  <c:v>39</c:v>
                </c:pt>
                <c:pt idx="3">
                  <c:v>40</c:v>
                </c:pt>
                <c:pt idx="4">
                  <c:v>41</c:v>
                </c:pt>
                <c:pt idx="5">
                  <c:v>42</c:v>
                </c:pt>
                <c:pt idx="6">
                  <c:v>43</c:v>
                </c:pt>
                <c:pt idx="7">
                  <c:v>44</c:v>
                </c:pt>
                <c:pt idx="8">
                  <c:v>45</c:v>
                </c:pt>
                <c:pt idx="9">
                  <c:v>46</c:v>
                </c:pt>
                <c:pt idx="10">
                  <c:v>47</c:v>
                </c:pt>
                <c:pt idx="11">
                  <c:v>48</c:v>
                </c:pt>
                <c:pt idx="12">
                  <c:v>49</c:v>
                </c:pt>
                <c:pt idx="13">
                  <c:v>50</c:v>
                </c:pt>
                <c:pt idx="14">
                  <c:v>51</c:v>
                </c:pt>
                <c:pt idx="15">
                  <c:v>52</c:v>
                </c:pt>
                <c:pt idx="16">
                  <c:v>53</c:v>
                </c:pt>
                <c:pt idx="17">
                  <c:v>54</c:v>
                </c:pt>
                <c:pt idx="18">
                  <c:v>55</c:v>
                </c:pt>
                <c:pt idx="19">
                  <c:v>56</c:v>
                </c:pt>
                <c:pt idx="20">
                  <c:v>57</c:v>
                </c:pt>
                <c:pt idx="21">
                  <c:v>58</c:v>
                </c:pt>
                <c:pt idx="22">
                  <c:v>59</c:v>
                </c:pt>
                <c:pt idx="23">
                  <c:v>60</c:v>
                </c:pt>
              </c:strCache>
            </c:strRef>
          </c:cat>
          <c:val>
            <c:numRef>
              <c:f>[0]!Yearly_Expense</c:f>
              <c:numCache>
                <c:formatCode>"₹"#,##0.00_);[Red]\("₹"#,##0.00\)</c:formatCode>
                <c:ptCount val="24"/>
                <c:pt idx="0">
                  <c:v>2400000</c:v>
                </c:pt>
                <c:pt idx="1">
                  <c:v>2520000</c:v>
                </c:pt>
                <c:pt idx="2">
                  <c:v>2646000</c:v>
                </c:pt>
                <c:pt idx="3">
                  <c:v>2778300</c:v>
                </c:pt>
                <c:pt idx="4">
                  <c:v>2917215</c:v>
                </c:pt>
                <c:pt idx="5">
                  <c:v>3063075.75</c:v>
                </c:pt>
                <c:pt idx="6">
                  <c:v>3216229.5375000001</c:v>
                </c:pt>
                <c:pt idx="7">
                  <c:v>3377041.0143750003</c:v>
                </c:pt>
                <c:pt idx="8">
                  <c:v>3545893.0650937506</c:v>
                </c:pt>
                <c:pt idx="9">
                  <c:v>3723187.7183484384</c:v>
                </c:pt>
                <c:pt idx="10">
                  <c:v>3909347.1042658603</c:v>
                </c:pt>
                <c:pt idx="11">
                  <c:v>4104814.4594791536</c:v>
                </c:pt>
                <c:pt idx="12">
                  <c:v>4310055.1824531117</c:v>
                </c:pt>
                <c:pt idx="13">
                  <c:v>4525557.9415757675</c:v>
                </c:pt>
                <c:pt idx="14">
                  <c:v>4751835.8386545563</c:v>
                </c:pt>
                <c:pt idx="15">
                  <c:v>4989427.6305872845</c:v>
                </c:pt>
                <c:pt idx="16">
                  <c:v>5238899.0121166492</c:v>
                </c:pt>
                <c:pt idx="17">
                  <c:v>5500843.9627224822</c:v>
                </c:pt>
                <c:pt idx="18">
                  <c:v>5775886.1608586069</c:v>
                </c:pt>
                <c:pt idx="19">
                  <c:v>6064680.4689015374</c:v>
                </c:pt>
                <c:pt idx="20">
                  <c:v>6367914.4923466146</c:v>
                </c:pt>
                <c:pt idx="21">
                  <c:v>6686310.2169639459</c:v>
                </c:pt>
                <c:pt idx="22">
                  <c:v>7020625.727812143</c:v>
                </c:pt>
                <c:pt idx="23">
                  <c:v>7371657.0142027503</c:v>
                </c:pt>
              </c:numCache>
            </c:numRef>
          </c:val>
          <c:smooth val="0"/>
          <c:extLst>
            <c:ext xmlns:c16="http://schemas.microsoft.com/office/drawing/2014/chart" uri="{C3380CC4-5D6E-409C-BE32-E72D297353CC}">
              <c16:uniqueId val="{00000000-967B-40E1-8E78-56E638A1CAB0}"/>
            </c:ext>
          </c:extLst>
        </c:ser>
        <c:dLbls>
          <c:showLegendKey val="0"/>
          <c:showVal val="0"/>
          <c:showCatName val="0"/>
          <c:showSerName val="0"/>
          <c:showPercent val="0"/>
          <c:showBubbleSize val="0"/>
        </c:dLbls>
        <c:marker val="1"/>
        <c:smooth val="0"/>
        <c:axId val="1066532127"/>
        <c:axId val="1066521727"/>
      </c:lineChart>
      <c:lineChart>
        <c:grouping val="standard"/>
        <c:varyColors val="0"/>
        <c:ser>
          <c:idx val="2"/>
          <c:order val="1"/>
          <c:tx>
            <c:strRef>
              <c:f>Working!$D$31</c:f>
              <c:strCache>
                <c:ptCount val="1"/>
                <c:pt idx="0">
                  <c:v>Corpus value</c:v>
                </c:pt>
              </c:strCache>
            </c:strRef>
          </c:tx>
          <c:spPr>
            <a:ln w="88900" cap="rnd">
              <a:solidFill>
                <a:schemeClr val="accent6">
                  <a:lumMod val="75000"/>
                </a:schemeClr>
              </a:solidFill>
              <a:round/>
            </a:ln>
            <a:effectLst/>
          </c:spPr>
          <c:marker>
            <c:symbol val="none"/>
          </c:marker>
          <c:cat>
            <c:numRef>
              <c:f>[0]!Age</c:f>
              <c:numCache>
                <c:formatCode>General</c:formatCode>
                <c:ptCount val="24"/>
                <c:pt idx="0">
                  <c:v>37</c:v>
                </c:pt>
                <c:pt idx="1">
                  <c:v>38</c:v>
                </c:pt>
                <c:pt idx="2">
                  <c:v>39</c:v>
                </c:pt>
                <c:pt idx="3">
                  <c:v>40</c:v>
                </c:pt>
                <c:pt idx="4">
                  <c:v>41</c:v>
                </c:pt>
                <c:pt idx="5">
                  <c:v>42</c:v>
                </c:pt>
                <c:pt idx="6">
                  <c:v>43</c:v>
                </c:pt>
                <c:pt idx="7">
                  <c:v>44</c:v>
                </c:pt>
                <c:pt idx="8">
                  <c:v>45</c:v>
                </c:pt>
                <c:pt idx="9">
                  <c:v>46</c:v>
                </c:pt>
                <c:pt idx="10">
                  <c:v>47</c:v>
                </c:pt>
                <c:pt idx="11">
                  <c:v>48</c:v>
                </c:pt>
                <c:pt idx="12">
                  <c:v>49</c:v>
                </c:pt>
                <c:pt idx="13">
                  <c:v>50</c:v>
                </c:pt>
                <c:pt idx="14">
                  <c:v>51</c:v>
                </c:pt>
                <c:pt idx="15">
                  <c:v>52</c:v>
                </c:pt>
                <c:pt idx="16">
                  <c:v>53</c:v>
                </c:pt>
                <c:pt idx="17">
                  <c:v>54</c:v>
                </c:pt>
                <c:pt idx="18">
                  <c:v>55</c:v>
                </c:pt>
                <c:pt idx="19">
                  <c:v>56</c:v>
                </c:pt>
                <c:pt idx="20">
                  <c:v>57</c:v>
                </c:pt>
                <c:pt idx="21">
                  <c:v>58</c:v>
                </c:pt>
                <c:pt idx="22">
                  <c:v>59</c:v>
                </c:pt>
                <c:pt idx="23">
                  <c:v>60</c:v>
                </c:pt>
              </c:numCache>
            </c:numRef>
          </c:cat>
          <c:val>
            <c:numRef>
              <c:f>[0]!Corpus_value</c:f>
              <c:numCache>
                <c:formatCode>"₹"#,##0.00_);[Red]\("₹"#,##0.00\)</c:formatCode>
                <c:ptCount val="24"/>
                <c:pt idx="0">
                  <c:v>0</c:v>
                </c:pt>
                <c:pt idx="1">
                  <c:v>1870234.8807983585</c:v>
                </c:pt>
                <c:pt idx="2">
                  <c:v>3946195.5984845334</c:v>
                </c:pt>
                <c:pt idx="3">
                  <c:v>6250511.995116191</c:v>
                </c:pt>
                <c:pt idx="4">
                  <c:v>8808303.1953773275</c:v>
                </c:pt>
                <c:pt idx="5">
                  <c:v>11647451.427667189</c:v>
                </c:pt>
                <c:pt idx="6">
                  <c:v>14798905.965508932</c:v>
                </c:pt>
                <c:pt idx="7">
                  <c:v>18297020.502513267</c:v>
                </c:pt>
                <c:pt idx="8">
                  <c:v>22179927.638588082</c:v>
                </c:pt>
                <c:pt idx="9">
                  <c:v>26489954.55963112</c:v>
                </c:pt>
                <c:pt idx="10">
                  <c:v>31274084.441988885</c:v>
                </c:pt>
                <c:pt idx="11">
                  <c:v>36584468.611406013</c:v>
                </c:pt>
                <c:pt idx="12">
                  <c:v>42478995.03945902</c:v>
                </c:pt>
                <c:pt idx="13">
                  <c:v>49021919.374597847</c:v>
                </c:pt>
                <c:pt idx="14">
                  <c:v>56284565.386601947</c:v>
                </c:pt>
                <c:pt idx="15">
                  <c:v>64346102.459926501</c:v>
                </c:pt>
                <c:pt idx="16">
                  <c:v>73294408.611316755</c:v>
                </c:pt>
                <c:pt idx="17">
                  <c:v>83227028.439359933</c:v>
                </c:pt>
                <c:pt idx="18">
                  <c:v>94252236.448487848</c:v>
                </c:pt>
                <c:pt idx="19">
                  <c:v>106490217.33861981</c:v>
                </c:pt>
                <c:pt idx="20">
                  <c:v>120074376.12666634</c:v>
                </c:pt>
                <c:pt idx="21">
                  <c:v>135152792.38139793</c:v>
                </c:pt>
                <c:pt idx="22">
                  <c:v>151889834.42415002</c:v>
                </c:pt>
                <c:pt idx="23">
                  <c:v>170467951.0916048</c:v>
                </c:pt>
              </c:numCache>
            </c:numRef>
          </c:val>
          <c:smooth val="0"/>
          <c:extLst>
            <c:ext xmlns:c16="http://schemas.microsoft.com/office/drawing/2014/chart" uri="{C3380CC4-5D6E-409C-BE32-E72D297353CC}">
              <c16:uniqueId val="{00000001-967B-40E1-8E78-56E638A1CAB0}"/>
            </c:ext>
          </c:extLst>
        </c:ser>
        <c:dLbls>
          <c:showLegendKey val="0"/>
          <c:showVal val="0"/>
          <c:showCatName val="0"/>
          <c:showSerName val="0"/>
          <c:showPercent val="0"/>
          <c:showBubbleSize val="0"/>
        </c:dLbls>
        <c:marker val="1"/>
        <c:smooth val="0"/>
        <c:axId val="1149474367"/>
        <c:axId val="1149472703"/>
      </c:lineChart>
      <c:catAx>
        <c:axId val="1066532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w Cen MT" panose="020B0602020104020603" pitchFamily="34" charset="0"/>
                <a:ea typeface="+mn-ea"/>
                <a:cs typeface="+mn-cs"/>
              </a:defRPr>
            </a:pPr>
            <a:endParaRPr lang="en-US"/>
          </a:p>
        </c:txPr>
        <c:crossAx val="1066521727"/>
        <c:crosses val="autoZero"/>
        <c:auto val="1"/>
        <c:lblAlgn val="ctr"/>
        <c:lblOffset val="100"/>
        <c:noMultiLvlLbl val="0"/>
      </c:catAx>
      <c:valAx>
        <c:axId val="1066521727"/>
        <c:scaling>
          <c:orientation val="minMax"/>
        </c:scaling>
        <c:delete val="0"/>
        <c:axPos val="l"/>
        <c:numFmt formatCode="&quot;₹&quot;#,##0.00_);[Red]\(&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Tw Cen MT" panose="020B0602020104020603" pitchFamily="34" charset="0"/>
                <a:ea typeface="+mn-ea"/>
                <a:cs typeface="+mn-cs"/>
              </a:defRPr>
            </a:pPr>
            <a:endParaRPr lang="en-US"/>
          </a:p>
        </c:txPr>
        <c:crossAx val="1066532127"/>
        <c:crosses val="autoZero"/>
        <c:crossBetween val="between"/>
      </c:valAx>
      <c:valAx>
        <c:axId val="1149472703"/>
        <c:scaling>
          <c:orientation val="minMax"/>
        </c:scaling>
        <c:delete val="0"/>
        <c:axPos val="r"/>
        <c:numFmt formatCode="&quot;₹&quot;#,##0.00_);[Red]\(&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Tw Cen MT" panose="020B0602020104020603" pitchFamily="34" charset="0"/>
                <a:ea typeface="+mn-ea"/>
                <a:cs typeface="+mn-cs"/>
              </a:defRPr>
            </a:pPr>
            <a:endParaRPr lang="en-US"/>
          </a:p>
        </c:txPr>
        <c:crossAx val="1149474367"/>
        <c:crosses val="max"/>
        <c:crossBetween val="between"/>
      </c:valAx>
      <c:catAx>
        <c:axId val="1149474367"/>
        <c:scaling>
          <c:orientation val="minMax"/>
        </c:scaling>
        <c:delete val="1"/>
        <c:axPos val="b"/>
        <c:numFmt formatCode="General" sourceLinked="1"/>
        <c:majorTickMark val="out"/>
        <c:minorTickMark val="none"/>
        <c:tickLblPos val="nextTo"/>
        <c:crossAx val="1149472703"/>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Tw Cen MT" panose="020B0602020104020603"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latin typeface="Tw Cen MT" panose="020B0602020104020603" pitchFamily="34"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Reversed" id="21">
  <a:schemeClr val="accent1"/>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jpg" /></Relationships>
</file>

<file path=xl/drawings/_rels/drawing2.xml.rels><?xml version="1.0" encoding="UTF-8" standalone="yes"?>
<Relationships xmlns="http://schemas.openxmlformats.org/package/2006/relationships"><Relationship Id="rId2" Type="http://schemas.microsoft.com/office/2007/relationships/hdphoto" Target="../media/hdphoto1.wdp" /><Relationship Id="rId1" Type="http://schemas.openxmlformats.org/officeDocument/2006/relationships/image" Target="../media/image2.png" /></Relationships>
</file>

<file path=xl/drawings/_rels/drawing3.xml.rels><?xml version="1.0" encoding="UTF-8" standalone="yes"?>
<Relationships xmlns="http://schemas.openxmlformats.org/package/2006/relationships"><Relationship Id="rId8" Type="http://schemas.openxmlformats.org/officeDocument/2006/relationships/image" Target="../media/image6.png" /><Relationship Id="rId13" Type="http://schemas.openxmlformats.org/officeDocument/2006/relationships/chart" Target="../charts/chart6.xml" /><Relationship Id="rId18" Type="http://schemas.openxmlformats.org/officeDocument/2006/relationships/chart" Target="../charts/chart8.xml" /><Relationship Id="rId26" Type="http://schemas.openxmlformats.org/officeDocument/2006/relationships/chart" Target="../charts/chart10.xml" /><Relationship Id="rId3" Type="http://schemas.openxmlformats.org/officeDocument/2006/relationships/image" Target="../media/image5.png" /><Relationship Id="rId21" Type="http://schemas.openxmlformats.org/officeDocument/2006/relationships/image" Target="../media/image15.png" /><Relationship Id="rId7" Type="http://schemas.openxmlformats.org/officeDocument/2006/relationships/chart" Target="../charts/chart4.xml" /><Relationship Id="rId12" Type="http://schemas.openxmlformats.org/officeDocument/2006/relationships/image" Target="../media/image9.png" /><Relationship Id="rId17" Type="http://schemas.openxmlformats.org/officeDocument/2006/relationships/image" Target="../media/image12.jpeg" /><Relationship Id="rId25" Type="http://schemas.openxmlformats.org/officeDocument/2006/relationships/image" Target="../media/image18.png" /><Relationship Id="rId2" Type="http://schemas.openxmlformats.org/officeDocument/2006/relationships/image" Target="../media/image4.png" /><Relationship Id="rId16" Type="http://schemas.openxmlformats.org/officeDocument/2006/relationships/chart" Target="../charts/chart7.xml" /><Relationship Id="rId20" Type="http://schemas.openxmlformats.org/officeDocument/2006/relationships/image" Target="../media/image14.png" /><Relationship Id="rId29" Type="http://schemas.openxmlformats.org/officeDocument/2006/relationships/image" Target="../media/image21.png" /><Relationship Id="rId1" Type="http://schemas.openxmlformats.org/officeDocument/2006/relationships/image" Target="../media/image3.png" /><Relationship Id="rId6" Type="http://schemas.openxmlformats.org/officeDocument/2006/relationships/chart" Target="../charts/chart3.xml" /><Relationship Id="rId11" Type="http://schemas.openxmlformats.org/officeDocument/2006/relationships/chart" Target="../charts/chart5.xml" /><Relationship Id="rId24" Type="http://schemas.openxmlformats.org/officeDocument/2006/relationships/chart" Target="../charts/chart9.xml" /><Relationship Id="rId5" Type="http://schemas.openxmlformats.org/officeDocument/2006/relationships/chart" Target="../charts/chart2.xml" /><Relationship Id="rId15" Type="http://schemas.openxmlformats.org/officeDocument/2006/relationships/image" Target="../media/image11.png" /><Relationship Id="rId23" Type="http://schemas.openxmlformats.org/officeDocument/2006/relationships/image" Target="../media/image17.jpg" /><Relationship Id="rId28" Type="http://schemas.openxmlformats.org/officeDocument/2006/relationships/image" Target="../media/image20.png" /><Relationship Id="rId10" Type="http://schemas.openxmlformats.org/officeDocument/2006/relationships/image" Target="../media/image8.png" /><Relationship Id="rId19" Type="http://schemas.openxmlformats.org/officeDocument/2006/relationships/image" Target="../media/image13.png" /><Relationship Id="rId31" Type="http://schemas.openxmlformats.org/officeDocument/2006/relationships/image" Target="../media/image23.png" /><Relationship Id="rId4" Type="http://schemas.openxmlformats.org/officeDocument/2006/relationships/chart" Target="../charts/chart1.xml" /><Relationship Id="rId9" Type="http://schemas.openxmlformats.org/officeDocument/2006/relationships/image" Target="../media/image7.png" /><Relationship Id="rId14" Type="http://schemas.openxmlformats.org/officeDocument/2006/relationships/image" Target="../media/image10.png" /><Relationship Id="rId22" Type="http://schemas.openxmlformats.org/officeDocument/2006/relationships/image" Target="../media/image16.jpg" /><Relationship Id="rId27" Type="http://schemas.openxmlformats.org/officeDocument/2006/relationships/image" Target="../media/image19.jpg" /><Relationship Id="rId30" Type="http://schemas.openxmlformats.org/officeDocument/2006/relationships/image" Target="../media/image22.png" /></Relationships>
</file>

<file path=xl/drawings/_rels/drawing4.xml.rels><?xml version="1.0" encoding="UTF-8" standalone="yes"?>
<Relationships xmlns="http://schemas.openxmlformats.org/package/2006/relationships"><Relationship Id="rId2" Type="http://schemas.openxmlformats.org/officeDocument/2006/relationships/chart" Target="../charts/chart12.xml" /><Relationship Id="rId1" Type="http://schemas.openxmlformats.org/officeDocument/2006/relationships/chart" Target="../charts/chart11.xml" /></Relationships>
</file>

<file path=xl/drawings/_rels/drawing5.xml.rels><?xml version="1.0" encoding="UTF-8" standalone="yes"?>
<Relationships xmlns="http://schemas.openxmlformats.org/package/2006/relationships"><Relationship Id="rId1" Type="http://schemas.openxmlformats.org/officeDocument/2006/relationships/image" Target="../media/image19.jpg" /></Relationships>
</file>

<file path=xl/drawings/_rels/drawing6.xml.rels><?xml version="1.0" encoding="UTF-8" standalone="yes"?>
<Relationships xmlns="http://schemas.openxmlformats.org/package/2006/relationships"><Relationship Id="rId1" Type="http://schemas.openxmlformats.org/officeDocument/2006/relationships/image" Target="../media/image24.png" /></Relationships>
</file>

<file path=xl/drawings/_rels/drawing7.xml.rels><?xml version="1.0" encoding="UTF-8" standalone="yes"?>
<Relationships xmlns="http://schemas.openxmlformats.org/package/2006/relationships"><Relationship Id="rId1" Type="http://schemas.openxmlformats.org/officeDocument/2006/relationships/image" Target="../media/image25.jpg" /></Relationships>
</file>

<file path=xl/drawings/drawing1.xml><?xml version="1.0" encoding="utf-8"?>
<xdr:wsDr xmlns:xdr="http://schemas.openxmlformats.org/drawingml/2006/spreadsheetDrawing" xmlns:a="http://schemas.openxmlformats.org/drawingml/2006/main">
  <xdr:oneCellAnchor>
    <xdr:from>
      <xdr:col>1</xdr:col>
      <xdr:colOff>31750</xdr:colOff>
      <xdr:row>10</xdr:row>
      <xdr:rowOff>57149</xdr:rowOff>
    </xdr:from>
    <xdr:ext cx="7592238" cy="5372101"/>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49250" y="3819524"/>
          <a:ext cx="7592238" cy="5372101"/>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2</xdr:col>
      <xdr:colOff>1285874</xdr:colOff>
      <xdr:row>0</xdr:row>
      <xdr:rowOff>127000</xdr:rowOff>
    </xdr:from>
    <xdr:to>
      <xdr:col>3</xdr:col>
      <xdr:colOff>127000</xdr:colOff>
      <xdr:row>4</xdr:row>
      <xdr:rowOff>212214</xdr:rowOff>
    </xdr:to>
    <xdr:pic>
      <xdr:nvPicPr>
        <xdr:cNvPr id="4" name="Picture 3" descr="Why investment planning is important? | Investing Bazaar">
          <a:extLst>
            <a:ext uri="{FF2B5EF4-FFF2-40B4-BE49-F238E27FC236}">
              <a16:creationId xmlns:a16="http://schemas.microsoft.com/office/drawing/2014/main" id="{00000000-0008-0000-0100-000004000000}"/>
            </a:ext>
          </a:extLst>
        </xdr:cNvPr>
        <xdr:cNvPicPr>
          <a:picLocks noChangeAspect="1" noChangeArrowheads="1"/>
        </xdr:cNvPicPr>
      </xdr:nvPicPr>
      <xdr:blipFill rotWithShape="1">
        <a:blip xmlns:r="http://schemas.openxmlformats.org/officeDocument/2006/relationships" r:embed="rId1" cstate="print">
          <a:extLst>
            <a:ext uri="{BEBA8EAE-BF5A-486C-A8C5-ECC9F3942E4B}">
              <a14:imgProps xmlns:a14="http://schemas.microsoft.com/office/drawing/2010/main">
                <a14:imgLayer r:embed="rId2">
                  <a14:imgEffect>
                    <a14:backgroundRemoval t="9874" b="90126" l="9019" r="93513">
                      <a14:foregroundMark x1="9177" y1="85714" x2="9177" y2="85714"/>
                      <a14:foregroundMark x1="39241" y1="90336" x2="39241" y2="90336"/>
                      <a14:foregroundMark x1="93513" y1="58824" x2="93513" y2="58824"/>
                    </a14:backgroundRemoval>
                  </a14:imgEffect>
                </a14:imgLayer>
              </a14:imgProps>
            </a:ext>
            <a:ext uri="{28A0092B-C50C-407E-A947-70E740481C1C}">
              <a14:useLocalDpi xmlns:a14="http://schemas.microsoft.com/office/drawing/2010/main" val="0"/>
            </a:ext>
          </a:extLst>
        </a:blip>
        <a:srcRect t="15093" b="6746"/>
        <a:stretch/>
      </xdr:blipFill>
      <xdr:spPr bwMode="auto">
        <a:xfrm>
          <a:off x="5603874" y="127000"/>
          <a:ext cx="2381251" cy="14345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83474</xdr:colOff>
      <xdr:row>19</xdr:row>
      <xdr:rowOff>228360</xdr:rowOff>
    </xdr:from>
    <xdr:to>
      <xdr:col>8</xdr:col>
      <xdr:colOff>899786</xdr:colOff>
      <xdr:row>21</xdr:row>
      <xdr:rowOff>86592</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980565" y="8558405"/>
          <a:ext cx="816312" cy="845368"/>
        </a:xfrm>
        <a:prstGeom prst="rect">
          <a:avLst/>
        </a:prstGeom>
      </xdr:spPr>
    </xdr:pic>
    <xdr:clientData/>
  </xdr:twoCellAnchor>
  <xdr:twoCellAnchor editAs="oneCell">
    <xdr:from>
      <xdr:col>8</xdr:col>
      <xdr:colOff>225136</xdr:colOff>
      <xdr:row>9</xdr:row>
      <xdr:rowOff>42322</xdr:rowOff>
    </xdr:from>
    <xdr:to>
      <xdr:col>8</xdr:col>
      <xdr:colOff>841415</xdr:colOff>
      <xdr:row>9</xdr:row>
      <xdr:rowOff>681390</xdr:rowOff>
    </xdr:to>
    <xdr:pic>
      <xdr:nvPicPr>
        <xdr:cNvPr id="9" name="Picture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122227" y="4631640"/>
          <a:ext cx="616279" cy="639068"/>
        </a:xfrm>
        <a:prstGeom prst="rect">
          <a:avLst/>
        </a:prstGeom>
      </xdr:spPr>
    </xdr:pic>
    <xdr:clientData/>
  </xdr:twoCellAnchor>
  <xdr:twoCellAnchor>
    <xdr:from>
      <xdr:col>4</xdr:col>
      <xdr:colOff>1109227</xdr:colOff>
      <xdr:row>254</xdr:row>
      <xdr:rowOff>395689</xdr:rowOff>
    </xdr:from>
    <xdr:to>
      <xdr:col>8</xdr:col>
      <xdr:colOff>652027</xdr:colOff>
      <xdr:row>256</xdr:row>
      <xdr:rowOff>60582</xdr:rowOff>
    </xdr:to>
    <xdr:sp macro="" textlink="Comprehension!E23">
      <xdr:nvSpPr>
        <xdr:cNvPr id="11" name="TextBox 10">
          <a:extLst>
            <a:ext uri="{FF2B5EF4-FFF2-40B4-BE49-F238E27FC236}">
              <a16:creationId xmlns:a16="http://schemas.microsoft.com/office/drawing/2014/main" id="{00000000-0008-0000-0200-00000B000000}"/>
            </a:ext>
          </a:extLst>
        </xdr:cNvPr>
        <xdr:cNvSpPr txBox="1"/>
      </xdr:nvSpPr>
      <xdr:spPr>
        <a:xfrm>
          <a:off x="5824102" y="39602970"/>
          <a:ext cx="2721769" cy="403081"/>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fld id="{F1D1688F-9B6A-492C-989B-3D6039593BC0}" type="TxLink">
            <a:rPr lang="en-US" sz="2000" b="1" i="0" u="none" strike="noStrike">
              <a:solidFill>
                <a:srgbClr val="000000"/>
              </a:solidFill>
              <a:latin typeface="Tw Cen MT" panose="020B0602020104020603" pitchFamily="34" charset="0"/>
              <a:cs typeface="Calibri"/>
            </a:rPr>
            <a:pPr algn="l"/>
            <a:t>₹3,20,893 </a:t>
          </a:fld>
          <a:endParaRPr lang="en-IN" sz="1600">
            <a:latin typeface="Tw Cen MT" panose="020B0602020104020603" pitchFamily="34" charset="0"/>
          </a:endParaRPr>
        </a:p>
      </xdr:txBody>
    </xdr:sp>
    <xdr:clientData/>
  </xdr:twoCellAnchor>
  <xdr:twoCellAnchor editAs="oneCell">
    <xdr:from>
      <xdr:col>1</xdr:col>
      <xdr:colOff>1922318</xdr:colOff>
      <xdr:row>254</xdr:row>
      <xdr:rowOff>131897</xdr:rowOff>
    </xdr:from>
    <xdr:to>
      <xdr:col>2</xdr:col>
      <xdr:colOff>829109</xdr:colOff>
      <xdr:row>257</xdr:row>
      <xdr:rowOff>162804</xdr:rowOff>
    </xdr:to>
    <xdr:pic>
      <xdr:nvPicPr>
        <xdr:cNvPr id="16" name="Picture 15">
          <a:extLst>
            <a:ext uri="{FF2B5EF4-FFF2-40B4-BE49-F238E27FC236}">
              <a16:creationId xmlns:a16="http://schemas.microsoft.com/office/drawing/2014/main" id="{00000000-0008-0000-0200-000010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5500" y="56883579"/>
          <a:ext cx="984973" cy="983407"/>
        </a:xfrm>
        <a:prstGeom prst="rect">
          <a:avLst/>
        </a:prstGeom>
      </xdr:spPr>
    </xdr:pic>
    <xdr:clientData/>
  </xdr:twoCellAnchor>
  <xdr:twoCellAnchor>
    <xdr:from>
      <xdr:col>0</xdr:col>
      <xdr:colOff>0</xdr:colOff>
      <xdr:row>284</xdr:row>
      <xdr:rowOff>0</xdr:rowOff>
    </xdr:from>
    <xdr:to>
      <xdr:col>3</xdr:col>
      <xdr:colOff>75747</xdr:colOff>
      <xdr:row>293</xdr:row>
      <xdr:rowOff>186964</xdr:rowOff>
    </xdr:to>
    <xdr:graphicFrame macro="">
      <xdr:nvGraphicFramePr>
        <xdr:cNvPr id="18" name="Chart 17">
          <a:extLst>
            <a:ext uri="{FF2B5EF4-FFF2-40B4-BE49-F238E27FC236}">
              <a16:creationId xmlns:a16="http://schemas.microsoft.com/office/drawing/2014/main" id="{00000000-0008-0000-02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1226682</xdr:colOff>
      <xdr:row>287</xdr:row>
      <xdr:rowOff>113278</xdr:rowOff>
    </xdr:from>
    <xdr:to>
      <xdr:col>2</xdr:col>
      <xdr:colOff>163282</xdr:colOff>
      <xdr:row>290</xdr:row>
      <xdr:rowOff>5782</xdr:rowOff>
    </xdr:to>
    <xdr:sp macro="" textlink="Working!D4">
      <xdr:nvSpPr>
        <xdr:cNvPr id="19" name="TextBox 18">
          <a:extLst>
            <a:ext uri="{FF2B5EF4-FFF2-40B4-BE49-F238E27FC236}">
              <a16:creationId xmlns:a16="http://schemas.microsoft.com/office/drawing/2014/main" id="{00000000-0008-0000-0200-000013000000}"/>
            </a:ext>
          </a:extLst>
        </xdr:cNvPr>
        <xdr:cNvSpPr txBox="1"/>
      </xdr:nvSpPr>
      <xdr:spPr>
        <a:xfrm>
          <a:off x="1393370" y="47166778"/>
          <a:ext cx="1008287" cy="535442"/>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fld id="{81168FDA-35BC-40FF-980A-59AB8146FAF8}" type="TxLink">
            <a:rPr lang="en-US" sz="2800" b="1" i="0" u="none" strike="noStrike">
              <a:solidFill>
                <a:schemeClr val="accent1">
                  <a:lumMod val="50000"/>
                </a:schemeClr>
              </a:solidFill>
              <a:latin typeface="Tw Cen MT" panose="020B0602020104020603" pitchFamily="34" charset="0"/>
              <a:cs typeface="Calibri"/>
            </a:rPr>
            <a:pPr algn="l"/>
            <a:t>46%</a:t>
          </a:fld>
          <a:endParaRPr lang="en-IN" sz="2000" b="1">
            <a:solidFill>
              <a:schemeClr val="accent1">
                <a:lumMod val="50000"/>
              </a:schemeClr>
            </a:solidFill>
            <a:latin typeface="Tw Cen MT" panose="020B0602020104020603" pitchFamily="34" charset="0"/>
          </a:endParaRPr>
        </a:p>
      </xdr:txBody>
    </xdr:sp>
    <xdr:clientData/>
  </xdr:twoCellAnchor>
  <xdr:twoCellAnchor>
    <xdr:from>
      <xdr:col>1</xdr:col>
      <xdr:colOff>639534</xdr:colOff>
      <xdr:row>292</xdr:row>
      <xdr:rowOff>149680</xdr:rowOff>
    </xdr:from>
    <xdr:to>
      <xdr:col>2</xdr:col>
      <xdr:colOff>122461</xdr:colOff>
      <xdr:row>294</xdr:row>
      <xdr:rowOff>122465</xdr:rowOff>
    </xdr:to>
    <xdr:sp macro="" textlink="Working!B4">
      <xdr:nvSpPr>
        <xdr:cNvPr id="20" name="TextBox 19">
          <a:extLst>
            <a:ext uri="{FF2B5EF4-FFF2-40B4-BE49-F238E27FC236}">
              <a16:creationId xmlns:a16="http://schemas.microsoft.com/office/drawing/2014/main" id="{00000000-0008-0000-0200-000014000000}"/>
            </a:ext>
          </a:extLst>
        </xdr:cNvPr>
        <xdr:cNvSpPr txBox="1"/>
      </xdr:nvSpPr>
      <xdr:spPr>
        <a:xfrm>
          <a:off x="1496784" y="25880787"/>
          <a:ext cx="1428748"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02BC17D-D54B-43F2-9782-668A1E9AB45F}" type="TxLink">
            <a:rPr lang="en-US" sz="1600" b="1" i="0" u="none" strike="noStrike">
              <a:solidFill>
                <a:schemeClr val="accent1">
                  <a:lumMod val="50000"/>
                </a:schemeClr>
              </a:solidFill>
              <a:latin typeface="Tw Cen MT" panose="020B0602020104020603" pitchFamily="34" charset="0"/>
              <a:cs typeface="Calibri"/>
            </a:rPr>
            <a:pPr algn="ctr"/>
            <a:t>Retirement</a:t>
          </a:fld>
          <a:endParaRPr lang="en-IN" sz="1050" b="1">
            <a:solidFill>
              <a:schemeClr val="accent1">
                <a:lumMod val="50000"/>
              </a:schemeClr>
            </a:solidFill>
            <a:latin typeface="Tw Cen MT" panose="020B0602020104020603" pitchFamily="34" charset="0"/>
          </a:endParaRPr>
        </a:p>
      </xdr:txBody>
    </xdr:sp>
    <xdr:clientData/>
  </xdr:twoCellAnchor>
  <xdr:twoCellAnchor>
    <xdr:from>
      <xdr:col>2</xdr:col>
      <xdr:colOff>68031</xdr:colOff>
      <xdr:row>284</xdr:row>
      <xdr:rowOff>0</xdr:rowOff>
    </xdr:from>
    <xdr:to>
      <xdr:col>5</xdr:col>
      <xdr:colOff>296180</xdr:colOff>
      <xdr:row>293</xdr:row>
      <xdr:rowOff>186964</xdr:rowOff>
    </xdr:to>
    <xdr:graphicFrame macro="">
      <xdr:nvGraphicFramePr>
        <xdr:cNvPr id="22" name="Chart 21">
          <a:extLst>
            <a:ext uri="{FF2B5EF4-FFF2-40B4-BE49-F238E27FC236}">
              <a16:creationId xmlns:a16="http://schemas.microsoft.com/office/drawing/2014/main" id="{00000000-0008-0000-02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220776</xdr:colOff>
      <xdr:row>287</xdr:row>
      <xdr:rowOff>37759</xdr:rowOff>
    </xdr:from>
    <xdr:to>
      <xdr:col>4</xdr:col>
      <xdr:colOff>437126</xdr:colOff>
      <xdr:row>289</xdr:row>
      <xdr:rowOff>205810</xdr:rowOff>
    </xdr:to>
    <xdr:sp macro="" textlink="Working!D5">
      <xdr:nvSpPr>
        <xdr:cNvPr id="23" name="TextBox 22">
          <a:extLst>
            <a:ext uri="{FF2B5EF4-FFF2-40B4-BE49-F238E27FC236}">
              <a16:creationId xmlns:a16="http://schemas.microsoft.com/office/drawing/2014/main" id="{00000000-0008-0000-0200-000017000000}"/>
            </a:ext>
          </a:extLst>
        </xdr:cNvPr>
        <xdr:cNvSpPr txBox="1"/>
      </xdr:nvSpPr>
      <xdr:spPr>
        <a:xfrm>
          <a:off x="3792651" y="47091259"/>
          <a:ext cx="1359350" cy="596676"/>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fld id="{FDB83368-2B5F-4AE7-BD33-91C811727DDE}" type="TxLink">
            <a:rPr lang="en-US" sz="2800" b="1" i="0" u="none" strike="noStrike">
              <a:solidFill>
                <a:schemeClr val="accent2">
                  <a:lumMod val="50000"/>
                </a:schemeClr>
              </a:solidFill>
              <a:latin typeface="Tw Cen MT" panose="020B0602020104020603" pitchFamily="34" charset="0"/>
              <a:cs typeface="Calibri"/>
            </a:rPr>
            <a:pPr algn="l"/>
            <a:t>9%</a:t>
          </a:fld>
          <a:endParaRPr lang="en-IN" sz="3200" b="1">
            <a:solidFill>
              <a:schemeClr val="accent2">
                <a:lumMod val="50000"/>
              </a:schemeClr>
            </a:solidFill>
            <a:latin typeface="Tw Cen MT" panose="020B0602020104020603" pitchFamily="34" charset="0"/>
          </a:endParaRPr>
        </a:p>
      </xdr:txBody>
    </xdr:sp>
    <xdr:clientData/>
  </xdr:twoCellAnchor>
  <xdr:twoCellAnchor>
    <xdr:from>
      <xdr:col>2</xdr:col>
      <xdr:colOff>451756</xdr:colOff>
      <xdr:row>292</xdr:row>
      <xdr:rowOff>122465</xdr:rowOff>
    </xdr:from>
    <xdr:to>
      <xdr:col>4</xdr:col>
      <xdr:colOff>884461</xdr:colOff>
      <xdr:row>294</xdr:row>
      <xdr:rowOff>95250</xdr:rowOff>
    </xdr:to>
    <xdr:sp macro="" textlink="Working!B5">
      <xdr:nvSpPr>
        <xdr:cNvPr id="24" name="TextBox 23">
          <a:extLst>
            <a:ext uri="{FF2B5EF4-FFF2-40B4-BE49-F238E27FC236}">
              <a16:creationId xmlns:a16="http://schemas.microsoft.com/office/drawing/2014/main" id="{00000000-0008-0000-0200-000018000000}"/>
            </a:ext>
          </a:extLst>
        </xdr:cNvPr>
        <xdr:cNvSpPr txBox="1"/>
      </xdr:nvSpPr>
      <xdr:spPr>
        <a:xfrm>
          <a:off x="3254827" y="37256358"/>
          <a:ext cx="2596241"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C7E3D25-BD53-48DB-B62D-65CB47AAFF64}" type="TxLink">
            <a:rPr lang="en-US" sz="1600" b="1" i="0" u="none" strike="noStrike">
              <a:solidFill>
                <a:schemeClr val="accent2">
                  <a:lumMod val="50000"/>
                </a:schemeClr>
              </a:solidFill>
              <a:latin typeface="Tw Cen MT" panose="020B0602020104020603" pitchFamily="34" charset="0"/>
              <a:cs typeface="Calibri"/>
            </a:rPr>
            <a:pPr algn="ctr"/>
            <a:t>Children's Graduation</a:t>
          </a:fld>
          <a:endParaRPr lang="en-IN" sz="1050" b="1">
            <a:solidFill>
              <a:schemeClr val="accent2">
                <a:lumMod val="50000"/>
              </a:schemeClr>
            </a:solidFill>
            <a:latin typeface="Tw Cen MT" panose="020B0602020104020603" pitchFamily="34" charset="0"/>
          </a:endParaRPr>
        </a:p>
      </xdr:txBody>
    </xdr:sp>
    <xdr:clientData/>
  </xdr:twoCellAnchor>
  <xdr:twoCellAnchor>
    <xdr:from>
      <xdr:col>0</xdr:col>
      <xdr:colOff>0</xdr:colOff>
      <xdr:row>293</xdr:row>
      <xdr:rowOff>108861</xdr:rowOff>
    </xdr:from>
    <xdr:to>
      <xdr:col>3</xdr:col>
      <xdr:colOff>75747</xdr:colOff>
      <xdr:row>304</xdr:row>
      <xdr:rowOff>23682</xdr:rowOff>
    </xdr:to>
    <xdr:graphicFrame macro="">
      <xdr:nvGraphicFramePr>
        <xdr:cNvPr id="25" name="Chart 24">
          <a:extLst>
            <a:ext uri="{FF2B5EF4-FFF2-40B4-BE49-F238E27FC236}">
              <a16:creationId xmlns:a16="http://schemas.microsoft.com/office/drawing/2014/main" id="{00000000-0008-0000-02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1191984</xdr:colOff>
      <xdr:row>297</xdr:row>
      <xdr:rowOff>102393</xdr:rowOff>
    </xdr:from>
    <xdr:to>
      <xdr:col>2</xdr:col>
      <xdr:colOff>128584</xdr:colOff>
      <xdr:row>299</xdr:row>
      <xdr:rowOff>209210</xdr:rowOff>
    </xdr:to>
    <xdr:sp macro="" textlink="Working!D6">
      <xdr:nvSpPr>
        <xdr:cNvPr id="26" name="TextBox 25">
          <a:extLst>
            <a:ext uri="{FF2B5EF4-FFF2-40B4-BE49-F238E27FC236}">
              <a16:creationId xmlns:a16="http://schemas.microsoft.com/office/drawing/2014/main" id="{00000000-0008-0000-0200-00001A000000}"/>
            </a:ext>
          </a:extLst>
        </xdr:cNvPr>
        <xdr:cNvSpPr txBox="1"/>
      </xdr:nvSpPr>
      <xdr:spPr>
        <a:xfrm>
          <a:off x="1358672" y="49299018"/>
          <a:ext cx="1008287" cy="535442"/>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fld id="{227BB992-1CCD-43EC-81BC-9EFA5E261F29}" type="TxLink">
            <a:rPr lang="en-US" sz="2800" b="1" i="0" u="none" strike="noStrike">
              <a:solidFill>
                <a:schemeClr val="accent4">
                  <a:lumMod val="75000"/>
                </a:schemeClr>
              </a:solidFill>
              <a:latin typeface="Tw Cen MT" panose="020B0602020104020603" pitchFamily="34" charset="0"/>
              <a:cs typeface="Calibri"/>
            </a:rPr>
            <a:pPr algn="l"/>
            <a:t>39%</a:t>
          </a:fld>
          <a:endParaRPr lang="en-IN" sz="2800" b="1">
            <a:solidFill>
              <a:schemeClr val="accent4">
                <a:lumMod val="75000"/>
              </a:schemeClr>
            </a:solidFill>
            <a:latin typeface="Tw Cen MT" panose="020B0602020104020603" pitchFamily="34" charset="0"/>
          </a:endParaRPr>
        </a:p>
      </xdr:txBody>
    </xdr:sp>
    <xdr:clientData/>
  </xdr:twoCellAnchor>
  <xdr:twoCellAnchor>
    <xdr:from>
      <xdr:col>0</xdr:col>
      <xdr:colOff>163286</xdr:colOff>
      <xdr:row>302</xdr:row>
      <xdr:rowOff>166010</xdr:rowOff>
    </xdr:from>
    <xdr:to>
      <xdr:col>2</xdr:col>
      <xdr:colOff>544285</xdr:colOff>
      <xdr:row>305</xdr:row>
      <xdr:rowOff>0</xdr:rowOff>
    </xdr:to>
    <xdr:sp macro="" textlink="Working!B6">
      <xdr:nvSpPr>
        <xdr:cNvPr id="27" name="TextBox 26">
          <a:extLst>
            <a:ext uri="{FF2B5EF4-FFF2-40B4-BE49-F238E27FC236}">
              <a16:creationId xmlns:a16="http://schemas.microsoft.com/office/drawing/2014/main" id="{00000000-0008-0000-0200-00001B000000}"/>
            </a:ext>
          </a:extLst>
        </xdr:cNvPr>
        <xdr:cNvSpPr txBox="1"/>
      </xdr:nvSpPr>
      <xdr:spPr>
        <a:xfrm>
          <a:off x="843643" y="17950546"/>
          <a:ext cx="2476499" cy="4871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70C9F68-271E-4259-9F2F-33DFD29620A3}" type="TxLink">
            <a:rPr lang="en-US" sz="1600" b="1" i="0" u="none" strike="noStrike">
              <a:solidFill>
                <a:schemeClr val="accent4">
                  <a:lumMod val="75000"/>
                </a:schemeClr>
              </a:solidFill>
              <a:latin typeface="Tw Cen MT" panose="020B0602020104020603" pitchFamily="34" charset="0"/>
              <a:cs typeface="Calibri"/>
            </a:rPr>
            <a:pPr algn="ctr"/>
            <a:t>Children's Post-Graduation</a:t>
          </a:fld>
          <a:endParaRPr lang="en-IN" sz="1000" b="1">
            <a:solidFill>
              <a:schemeClr val="accent4">
                <a:lumMod val="75000"/>
              </a:schemeClr>
            </a:solidFill>
            <a:latin typeface="Tw Cen MT" panose="020B0602020104020603" pitchFamily="34" charset="0"/>
          </a:endParaRPr>
        </a:p>
      </xdr:txBody>
    </xdr:sp>
    <xdr:clientData/>
  </xdr:twoCellAnchor>
  <xdr:twoCellAnchor>
    <xdr:from>
      <xdr:col>2</xdr:col>
      <xdr:colOff>68031</xdr:colOff>
      <xdr:row>293</xdr:row>
      <xdr:rowOff>108861</xdr:rowOff>
    </xdr:from>
    <xdr:to>
      <xdr:col>5</xdr:col>
      <xdr:colOff>296180</xdr:colOff>
      <xdr:row>304</xdr:row>
      <xdr:rowOff>23682</xdr:rowOff>
    </xdr:to>
    <xdr:graphicFrame macro="">
      <xdr:nvGraphicFramePr>
        <xdr:cNvPr id="28" name="Chart 27">
          <a:extLst>
            <a:ext uri="{FF2B5EF4-FFF2-40B4-BE49-F238E27FC236}">
              <a16:creationId xmlns:a16="http://schemas.microsoft.com/office/drawing/2014/main" id="{00000000-0008-0000-0200-00001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303434</xdr:colOff>
      <xdr:row>297</xdr:row>
      <xdr:rowOff>117020</xdr:rowOff>
    </xdr:from>
    <xdr:to>
      <xdr:col>4</xdr:col>
      <xdr:colOff>345614</xdr:colOff>
      <xdr:row>300</xdr:row>
      <xdr:rowOff>9524</xdr:rowOff>
    </xdr:to>
    <xdr:sp macro="" textlink="Working!D7">
      <xdr:nvSpPr>
        <xdr:cNvPr id="29" name="TextBox 28">
          <a:extLst>
            <a:ext uri="{FF2B5EF4-FFF2-40B4-BE49-F238E27FC236}">
              <a16:creationId xmlns:a16="http://schemas.microsoft.com/office/drawing/2014/main" id="{00000000-0008-0000-0200-00001D000000}"/>
            </a:ext>
          </a:extLst>
        </xdr:cNvPr>
        <xdr:cNvSpPr txBox="1"/>
      </xdr:nvSpPr>
      <xdr:spPr>
        <a:xfrm>
          <a:off x="4222291" y="26868663"/>
          <a:ext cx="1008287" cy="504825"/>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fld id="{8119B7D3-DD29-4D4D-B366-0A13110BF7F8}" type="TxLink">
            <a:rPr lang="en-US" sz="2800" b="1" i="0" u="none" strike="noStrike">
              <a:solidFill>
                <a:schemeClr val="accent6">
                  <a:lumMod val="75000"/>
                </a:schemeClr>
              </a:solidFill>
              <a:latin typeface="Tw Cen MT" panose="020B0602020104020603" pitchFamily="34" charset="0"/>
              <a:cs typeface="Calibri"/>
            </a:rPr>
            <a:pPr algn="l"/>
            <a:t>6%</a:t>
          </a:fld>
          <a:endParaRPr lang="en-IN" sz="4000" b="1">
            <a:solidFill>
              <a:schemeClr val="accent6">
                <a:lumMod val="75000"/>
              </a:schemeClr>
            </a:solidFill>
            <a:latin typeface="Tw Cen MT" panose="020B0602020104020603" pitchFamily="34" charset="0"/>
          </a:endParaRPr>
        </a:p>
      </xdr:txBody>
    </xdr:sp>
    <xdr:clientData/>
  </xdr:twoCellAnchor>
  <xdr:twoCellAnchor>
    <xdr:from>
      <xdr:col>2</xdr:col>
      <xdr:colOff>478965</xdr:colOff>
      <xdr:row>303</xdr:row>
      <xdr:rowOff>9153</xdr:rowOff>
    </xdr:from>
    <xdr:to>
      <xdr:col>5</xdr:col>
      <xdr:colOff>43536</xdr:colOff>
      <xdr:row>305</xdr:row>
      <xdr:rowOff>48243</xdr:rowOff>
    </xdr:to>
    <xdr:sp macro="" textlink="Working!B7">
      <xdr:nvSpPr>
        <xdr:cNvPr id="30" name="TextBox 29">
          <a:extLst>
            <a:ext uri="{FF2B5EF4-FFF2-40B4-BE49-F238E27FC236}">
              <a16:creationId xmlns:a16="http://schemas.microsoft.com/office/drawing/2014/main" id="{00000000-0008-0000-0200-00001E000000}"/>
            </a:ext>
          </a:extLst>
        </xdr:cNvPr>
        <xdr:cNvSpPr txBox="1"/>
      </xdr:nvSpPr>
      <xdr:spPr>
        <a:xfrm>
          <a:off x="2730329" y="86080517"/>
          <a:ext cx="3287980" cy="4547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1051679-AF24-4997-A446-02BF0C81A549}" type="TxLink">
            <a:rPr lang="en-US" sz="1600" b="1" i="0" u="none" strike="noStrike">
              <a:solidFill>
                <a:schemeClr val="accent6">
                  <a:lumMod val="75000"/>
                </a:schemeClr>
              </a:solidFill>
              <a:latin typeface="Tw Cen MT" panose="020B0602020104020603" pitchFamily="34" charset="0"/>
              <a:cs typeface="Calibri"/>
            </a:rPr>
            <a:pPr algn="ctr"/>
            <a:t>Children's Marriage</a:t>
          </a:fld>
          <a:endParaRPr lang="en-IN" sz="1000" b="1">
            <a:solidFill>
              <a:schemeClr val="accent6">
                <a:lumMod val="75000"/>
              </a:schemeClr>
            </a:solidFill>
            <a:latin typeface="Tw Cen MT" panose="020B0602020104020603" pitchFamily="34" charset="0"/>
          </a:endParaRPr>
        </a:p>
      </xdr:txBody>
    </xdr:sp>
    <xdr:clientData/>
  </xdr:twoCellAnchor>
  <xdr:twoCellAnchor>
    <xdr:from>
      <xdr:col>4</xdr:col>
      <xdr:colOff>677267</xdr:colOff>
      <xdr:row>43</xdr:row>
      <xdr:rowOff>604899</xdr:rowOff>
    </xdr:from>
    <xdr:to>
      <xdr:col>8</xdr:col>
      <xdr:colOff>309874</xdr:colOff>
      <xdr:row>45</xdr:row>
      <xdr:rowOff>132732</xdr:rowOff>
    </xdr:to>
    <xdr:sp macro="" textlink="Retirement!$G$6">
      <xdr:nvSpPr>
        <xdr:cNvPr id="32" name="TextBox 31">
          <a:extLst>
            <a:ext uri="{FF2B5EF4-FFF2-40B4-BE49-F238E27FC236}">
              <a16:creationId xmlns:a16="http://schemas.microsoft.com/office/drawing/2014/main" id="{00000000-0008-0000-0200-000020000000}"/>
            </a:ext>
          </a:extLst>
        </xdr:cNvPr>
        <xdr:cNvSpPr txBox="1"/>
      </xdr:nvSpPr>
      <xdr:spPr>
        <a:xfrm>
          <a:off x="5405131" y="17905763"/>
          <a:ext cx="2801834" cy="428378"/>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fld id="{9CCEC76A-AC77-47E6-AE6C-0466D1878AB0}" type="TxLink">
            <a:rPr lang="en-US" sz="2400" b="0" i="0" u="none" strike="noStrike">
              <a:solidFill>
                <a:srgbClr val="000000"/>
              </a:solidFill>
              <a:latin typeface="Tw Cen MT" panose="020B0602020104020603" pitchFamily="34" charset="0"/>
              <a:cs typeface="Calibri"/>
            </a:rPr>
            <a:pPr algn="l"/>
            <a:t>₹17,04,67,951 </a:t>
          </a:fld>
          <a:endParaRPr lang="en-IN" sz="2000" b="0">
            <a:latin typeface="Tw Cen MT" panose="020B0602020104020603" pitchFamily="34" charset="0"/>
          </a:endParaRPr>
        </a:p>
      </xdr:txBody>
    </xdr:sp>
    <xdr:clientData/>
  </xdr:twoCellAnchor>
  <xdr:twoCellAnchor>
    <xdr:from>
      <xdr:col>4</xdr:col>
      <xdr:colOff>978604</xdr:colOff>
      <xdr:row>49</xdr:row>
      <xdr:rowOff>79168</xdr:rowOff>
    </xdr:from>
    <xdr:to>
      <xdr:col>9</xdr:col>
      <xdr:colOff>494313</xdr:colOff>
      <xdr:row>50</xdr:row>
      <xdr:rowOff>111949</xdr:rowOff>
    </xdr:to>
    <xdr:sp macro="" textlink="Retirement!$H$16">
      <xdr:nvSpPr>
        <xdr:cNvPr id="37" name="TextBox 36">
          <a:extLst>
            <a:ext uri="{FF2B5EF4-FFF2-40B4-BE49-F238E27FC236}">
              <a16:creationId xmlns:a16="http://schemas.microsoft.com/office/drawing/2014/main" id="{00000000-0008-0000-0200-000025000000}"/>
            </a:ext>
          </a:extLst>
        </xdr:cNvPr>
        <xdr:cNvSpPr txBox="1"/>
      </xdr:nvSpPr>
      <xdr:spPr>
        <a:xfrm>
          <a:off x="5706468" y="19596759"/>
          <a:ext cx="3793300" cy="916008"/>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E9017BE8-21CF-4B9A-9803-4AE460B02FBA}" type="TxLink">
            <a:rPr lang="en-US" sz="2400" b="0" i="0" u="none" strike="noStrike">
              <a:solidFill>
                <a:srgbClr val="000000"/>
              </a:solidFill>
              <a:latin typeface="Tw Cen MT" panose="020B0602020104020603" pitchFamily="34" charset="0"/>
              <a:cs typeface="Calibri"/>
            </a:rPr>
            <a:pPr algn="l"/>
            <a:t>₹1,47,221 </a:t>
          </a:fld>
          <a:endParaRPr lang="en-IN" sz="2400" b="0">
            <a:latin typeface="Tw Cen MT" panose="020B0602020104020603" pitchFamily="34" charset="0"/>
          </a:endParaRPr>
        </a:p>
      </xdr:txBody>
    </xdr:sp>
    <xdr:clientData/>
  </xdr:twoCellAnchor>
  <xdr:twoCellAnchor editAs="oneCell">
    <xdr:from>
      <xdr:col>5</xdr:col>
      <xdr:colOff>216013</xdr:colOff>
      <xdr:row>261</xdr:row>
      <xdr:rowOff>61232</xdr:rowOff>
    </xdr:from>
    <xdr:to>
      <xdr:col>5</xdr:col>
      <xdr:colOff>855549</xdr:colOff>
      <xdr:row>263</xdr:row>
      <xdr:rowOff>156481</xdr:rowOff>
    </xdr:to>
    <xdr:pic>
      <xdr:nvPicPr>
        <xdr:cNvPr id="8" name="Picture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133419" y="41018732"/>
          <a:ext cx="639536" cy="619125"/>
        </a:xfrm>
        <a:prstGeom prst="rect">
          <a:avLst/>
        </a:prstGeom>
      </xdr:spPr>
    </xdr:pic>
    <xdr:clientData/>
  </xdr:twoCellAnchor>
  <xdr:twoCellAnchor editAs="oneCell">
    <xdr:from>
      <xdr:col>5</xdr:col>
      <xdr:colOff>204106</xdr:colOff>
      <xdr:row>276</xdr:row>
      <xdr:rowOff>136069</xdr:rowOff>
    </xdr:from>
    <xdr:to>
      <xdr:col>5</xdr:col>
      <xdr:colOff>816428</xdr:colOff>
      <xdr:row>278</xdr:row>
      <xdr:rowOff>204107</xdr:rowOff>
    </xdr:to>
    <xdr:pic>
      <xdr:nvPicPr>
        <xdr:cNvPr id="12" name="Picture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055177" y="23132140"/>
          <a:ext cx="612322" cy="612322"/>
        </a:xfrm>
        <a:prstGeom prst="rect">
          <a:avLst/>
        </a:prstGeom>
      </xdr:spPr>
    </xdr:pic>
    <xdr:clientData/>
  </xdr:twoCellAnchor>
  <xdr:twoCellAnchor editAs="oneCell">
    <xdr:from>
      <xdr:col>5</xdr:col>
      <xdr:colOff>122465</xdr:colOff>
      <xdr:row>289</xdr:row>
      <xdr:rowOff>54426</xdr:rowOff>
    </xdr:from>
    <xdr:to>
      <xdr:col>5</xdr:col>
      <xdr:colOff>898071</xdr:colOff>
      <xdr:row>293</xdr:row>
      <xdr:rowOff>13604</xdr:rowOff>
    </xdr:to>
    <xdr:pic>
      <xdr:nvPicPr>
        <xdr:cNvPr id="14" name="Picture 13">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5973536" y="25173212"/>
          <a:ext cx="775606" cy="775606"/>
        </a:xfrm>
        <a:prstGeom prst="rect">
          <a:avLst/>
        </a:prstGeom>
      </xdr:spPr>
    </xdr:pic>
    <xdr:clientData/>
  </xdr:twoCellAnchor>
  <xdr:twoCellAnchor>
    <xdr:from>
      <xdr:col>2</xdr:col>
      <xdr:colOff>787978</xdr:colOff>
      <xdr:row>161</xdr:row>
      <xdr:rowOff>158334</xdr:rowOff>
    </xdr:from>
    <xdr:to>
      <xdr:col>9</xdr:col>
      <xdr:colOff>1</xdr:colOff>
      <xdr:row>177</xdr:row>
      <xdr:rowOff>13607</xdr:rowOff>
    </xdr:to>
    <xdr:graphicFrame macro="">
      <xdr:nvGraphicFramePr>
        <xdr:cNvPr id="38" name="Chart 37">
          <a:extLst>
            <a:ext uri="{FF2B5EF4-FFF2-40B4-BE49-F238E27FC236}">
              <a16:creationId xmlns:a16="http://schemas.microsoft.com/office/drawing/2014/main" id="{00000000-0008-0000-0200-00002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xdr:col>
      <xdr:colOff>272144</xdr:colOff>
      <xdr:row>155</xdr:row>
      <xdr:rowOff>235403</xdr:rowOff>
    </xdr:from>
    <xdr:to>
      <xdr:col>7</xdr:col>
      <xdr:colOff>394606</xdr:colOff>
      <xdr:row>158</xdr:row>
      <xdr:rowOff>27215</xdr:rowOff>
    </xdr:to>
    <xdr:sp macro="" textlink="">
      <xdr:nvSpPr>
        <xdr:cNvPr id="39" name="TextBox 38">
          <a:extLst>
            <a:ext uri="{FF2B5EF4-FFF2-40B4-BE49-F238E27FC236}">
              <a16:creationId xmlns:a16="http://schemas.microsoft.com/office/drawing/2014/main" id="{00000000-0008-0000-0200-000027000000}"/>
            </a:ext>
          </a:extLst>
        </xdr:cNvPr>
        <xdr:cNvSpPr txBox="1"/>
      </xdr:nvSpPr>
      <xdr:spPr>
        <a:xfrm>
          <a:off x="4041323" y="9692367"/>
          <a:ext cx="3306533" cy="526598"/>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lang="en-IN" sz="2000" b="1" i="0" u="none" strike="noStrike">
              <a:solidFill>
                <a:srgbClr val="000000"/>
              </a:solidFill>
              <a:latin typeface="Tw Cen MT" panose="020B0602020104020603" pitchFamily="34" charset="0"/>
              <a:cs typeface="Calibri"/>
            </a:rPr>
            <a:t>Total Expected Cost of Education</a:t>
          </a:r>
        </a:p>
      </xdr:txBody>
    </xdr:sp>
    <xdr:clientData/>
  </xdr:twoCellAnchor>
  <xdr:twoCellAnchor editAs="oneCell">
    <xdr:from>
      <xdr:col>4</xdr:col>
      <xdr:colOff>388423</xdr:colOff>
      <xdr:row>160</xdr:row>
      <xdr:rowOff>60616</xdr:rowOff>
    </xdr:from>
    <xdr:to>
      <xdr:col>5</xdr:col>
      <xdr:colOff>183079</xdr:colOff>
      <xdr:row>163</xdr:row>
      <xdr:rowOff>94016</xdr:rowOff>
    </xdr:to>
    <xdr:pic>
      <xdr:nvPicPr>
        <xdr:cNvPr id="34" name="Picture 33">
          <a:extLst>
            <a:ext uri="{FF2B5EF4-FFF2-40B4-BE49-F238E27FC236}">
              <a16:creationId xmlns:a16="http://schemas.microsoft.com/office/drawing/2014/main" id="{00000000-0008-0000-0200-000022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5116287" y="48949843"/>
          <a:ext cx="1041565" cy="1020537"/>
        </a:xfrm>
        <a:prstGeom prst="rect">
          <a:avLst/>
        </a:prstGeom>
      </xdr:spPr>
    </xdr:pic>
    <xdr:clientData/>
  </xdr:twoCellAnchor>
  <xdr:twoCellAnchor>
    <xdr:from>
      <xdr:col>4</xdr:col>
      <xdr:colOff>138794</xdr:colOff>
      <xdr:row>157</xdr:row>
      <xdr:rowOff>43541</xdr:rowOff>
    </xdr:from>
    <xdr:to>
      <xdr:col>6</xdr:col>
      <xdr:colOff>2721</xdr:colOff>
      <xdr:row>160</xdr:row>
      <xdr:rowOff>2719</xdr:rowOff>
    </xdr:to>
    <xdr:sp macro="" textlink="Working!C27">
      <xdr:nvSpPr>
        <xdr:cNvPr id="40" name="TextBox 39">
          <a:extLst>
            <a:ext uri="{FF2B5EF4-FFF2-40B4-BE49-F238E27FC236}">
              <a16:creationId xmlns:a16="http://schemas.microsoft.com/office/drawing/2014/main" id="{00000000-0008-0000-0200-000028000000}"/>
            </a:ext>
          </a:extLst>
        </xdr:cNvPr>
        <xdr:cNvSpPr txBox="1"/>
      </xdr:nvSpPr>
      <xdr:spPr>
        <a:xfrm>
          <a:off x="4846865" y="9840684"/>
          <a:ext cx="1796142" cy="571499"/>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fld id="{6443BCCD-69C7-43B0-BFA3-E181A20E7E92}" type="TxLink">
            <a:rPr lang="en-US" sz="2000" b="1" i="0" u="none" strike="noStrike">
              <a:solidFill>
                <a:srgbClr val="000000"/>
              </a:solidFill>
              <a:latin typeface="Tw Cen MT" panose="020B0602020104020603" pitchFamily="34" charset="0"/>
              <a:cs typeface="Calibri"/>
            </a:rPr>
            <a:pPr algn="l"/>
            <a:t>₹ 1,37,83,081</a:t>
          </a:fld>
          <a:endParaRPr lang="en-IN" sz="1800" b="1" i="0" u="none" strike="noStrike">
            <a:solidFill>
              <a:srgbClr val="000000"/>
            </a:solidFill>
            <a:latin typeface="Tw Cen MT" panose="020B0602020104020603" pitchFamily="34" charset="0"/>
            <a:cs typeface="Calibri"/>
          </a:endParaRPr>
        </a:p>
      </xdr:txBody>
    </xdr:sp>
    <xdr:clientData/>
  </xdr:twoCellAnchor>
  <xdr:twoCellAnchor>
    <xdr:from>
      <xdr:col>1</xdr:col>
      <xdr:colOff>138545</xdr:colOff>
      <xdr:row>215</xdr:row>
      <xdr:rowOff>70536</xdr:rowOff>
    </xdr:from>
    <xdr:to>
      <xdr:col>4</xdr:col>
      <xdr:colOff>831272</xdr:colOff>
      <xdr:row>236</xdr:row>
      <xdr:rowOff>0</xdr:rowOff>
    </xdr:to>
    <xdr:graphicFrame macro="">
      <xdr:nvGraphicFramePr>
        <xdr:cNvPr id="43" name="Chart 42">
          <a:extLst>
            <a:ext uri="{FF2B5EF4-FFF2-40B4-BE49-F238E27FC236}">
              <a16:creationId xmlns:a16="http://schemas.microsoft.com/office/drawing/2014/main" id="{00000000-0008-0000-0200-00002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3</xdr:col>
      <xdr:colOff>1091047</xdr:colOff>
      <xdr:row>198</xdr:row>
      <xdr:rowOff>63087</xdr:rowOff>
    </xdr:from>
    <xdr:to>
      <xdr:col>5</xdr:col>
      <xdr:colOff>264722</xdr:colOff>
      <xdr:row>203</xdr:row>
      <xdr:rowOff>98544</xdr:rowOff>
    </xdr:to>
    <xdr:pic>
      <xdr:nvPicPr>
        <xdr:cNvPr id="45" name="Picture 44">
          <a:extLst>
            <a:ext uri="{FF2B5EF4-FFF2-40B4-BE49-F238E27FC236}">
              <a16:creationId xmlns:a16="http://schemas.microsoft.com/office/drawing/2014/main" id="{00000000-0008-0000-0200-00002D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4675911" y="65647042"/>
          <a:ext cx="1563584" cy="1594093"/>
        </a:xfrm>
        <a:prstGeom prst="rect">
          <a:avLst/>
        </a:prstGeom>
      </xdr:spPr>
    </xdr:pic>
    <xdr:clientData/>
  </xdr:twoCellAnchor>
  <xdr:twoCellAnchor editAs="oneCell">
    <xdr:from>
      <xdr:col>10</xdr:col>
      <xdr:colOff>294409</xdr:colOff>
      <xdr:row>99</xdr:row>
      <xdr:rowOff>29689</xdr:rowOff>
    </xdr:from>
    <xdr:to>
      <xdr:col>10</xdr:col>
      <xdr:colOff>1056409</xdr:colOff>
      <xdr:row>102</xdr:row>
      <xdr:rowOff>148776</xdr:rowOff>
    </xdr:to>
    <xdr:pic>
      <xdr:nvPicPr>
        <xdr:cNvPr id="10" name="Picture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0287000" y="32276144"/>
          <a:ext cx="762000" cy="742542"/>
        </a:xfrm>
        <a:prstGeom prst="rect">
          <a:avLst/>
        </a:prstGeom>
      </xdr:spPr>
    </xdr:pic>
    <xdr:clientData/>
  </xdr:twoCellAnchor>
  <xdr:twoCellAnchor>
    <xdr:from>
      <xdr:col>1</xdr:col>
      <xdr:colOff>13610</xdr:colOff>
      <xdr:row>178</xdr:row>
      <xdr:rowOff>0</xdr:rowOff>
    </xdr:from>
    <xdr:to>
      <xdr:col>11</xdr:col>
      <xdr:colOff>17319</xdr:colOff>
      <xdr:row>192</xdr:row>
      <xdr:rowOff>155864</xdr:rowOff>
    </xdr:to>
    <xdr:graphicFrame macro="">
      <xdr:nvGraphicFramePr>
        <xdr:cNvPr id="47" name="Chart 46">
          <a:extLst>
            <a:ext uri="{FF2B5EF4-FFF2-40B4-BE49-F238E27FC236}">
              <a16:creationId xmlns:a16="http://schemas.microsoft.com/office/drawing/2014/main" id="{00000000-0008-0000-0200-00002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3</xdr:col>
      <xdr:colOff>1019300</xdr:colOff>
      <xdr:row>151</xdr:row>
      <xdr:rowOff>11133</xdr:rowOff>
    </xdr:from>
    <xdr:to>
      <xdr:col>5</xdr:col>
      <xdr:colOff>969818</xdr:colOff>
      <xdr:row>156</xdr:row>
      <xdr:rowOff>119041</xdr:rowOff>
    </xdr:to>
    <xdr:pic>
      <xdr:nvPicPr>
        <xdr:cNvPr id="48" name="Picture 47">
          <a:extLst>
            <a:ext uri="{FF2B5EF4-FFF2-40B4-BE49-F238E27FC236}">
              <a16:creationId xmlns:a16="http://schemas.microsoft.com/office/drawing/2014/main" id="{00000000-0008-0000-0200-000030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4604164" y="46129451"/>
          <a:ext cx="2340427" cy="1562635"/>
        </a:xfrm>
        <a:prstGeom prst="rect">
          <a:avLst/>
        </a:prstGeom>
      </xdr:spPr>
    </xdr:pic>
    <xdr:clientData/>
  </xdr:twoCellAnchor>
  <xdr:twoCellAnchor>
    <xdr:from>
      <xdr:col>4</xdr:col>
      <xdr:colOff>1109227</xdr:colOff>
      <xdr:row>254</xdr:row>
      <xdr:rowOff>83962</xdr:rowOff>
    </xdr:from>
    <xdr:to>
      <xdr:col>8</xdr:col>
      <xdr:colOff>652027</xdr:colOff>
      <xdr:row>255</xdr:row>
      <xdr:rowOff>43264</xdr:rowOff>
    </xdr:to>
    <xdr:sp macro="" textlink="Comprehension!E24">
      <xdr:nvSpPr>
        <xdr:cNvPr id="42" name="TextBox 41">
          <a:extLst>
            <a:ext uri="{FF2B5EF4-FFF2-40B4-BE49-F238E27FC236}">
              <a16:creationId xmlns:a16="http://schemas.microsoft.com/office/drawing/2014/main" id="{00000000-0008-0000-0200-00002A000000}"/>
            </a:ext>
          </a:extLst>
        </xdr:cNvPr>
        <xdr:cNvSpPr txBox="1"/>
      </xdr:nvSpPr>
      <xdr:spPr>
        <a:xfrm>
          <a:off x="5824102" y="39291243"/>
          <a:ext cx="2721769" cy="376021"/>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fld id="{0E700C9C-6CEF-4596-BF2C-69256F64692D}" type="TxLink">
            <a:rPr lang="en-US" sz="2000" b="1" i="0" u="none" strike="noStrike">
              <a:solidFill>
                <a:srgbClr val="000000"/>
              </a:solidFill>
              <a:latin typeface="Tw Cen MT" panose="020B0602020104020603" pitchFamily="34" charset="0"/>
              <a:cs typeface="Calibri"/>
            </a:rPr>
            <a:pPr algn="l"/>
            <a:t>₹19,30,92,279 </a:t>
          </a:fld>
          <a:endParaRPr lang="en-IN" sz="1600" b="1">
            <a:latin typeface="Tw Cen MT" panose="020B0602020104020603" pitchFamily="34" charset="0"/>
          </a:endParaRPr>
        </a:p>
      </xdr:txBody>
    </xdr:sp>
    <xdr:clientData/>
  </xdr:twoCellAnchor>
  <xdr:twoCellAnchor>
    <xdr:from>
      <xdr:col>0</xdr:col>
      <xdr:colOff>0</xdr:colOff>
      <xdr:row>74</xdr:row>
      <xdr:rowOff>17325</xdr:rowOff>
    </xdr:from>
    <xdr:to>
      <xdr:col>11</xdr:col>
      <xdr:colOff>149679</xdr:colOff>
      <xdr:row>91</xdr:row>
      <xdr:rowOff>17326</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oneCell">
    <xdr:from>
      <xdr:col>4</xdr:col>
      <xdr:colOff>69272</xdr:colOff>
      <xdr:row>3</xdr:row>
      <xdr:rowOff>17317</xdr:rowOff>
    </xdr:from>
    <xdr:to>
      <xdr:col>5</xdr:col>
      <xdr:colOff>640772</xdr:colOff>
      <xdr:row>8</xdr:row>
      <xdr:rowOff>103908</xdr:rowOff>
    </xdr:to>
    <xdr:pic>
      <xdr:nvPicPr>
        <xdr:cNvPr id="7" name="Picture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4797136" y="2666999"/>
          <a:ext cx="1818409" cy="1818409"/>
        </a:xfrm>
        <a:prstGeom prst="rect">
          <a:avLst/>
        </a:prstGeom>
      </xdr:spPr>
    </xdr:pic>
    <xdr:clientData/>
  </xdr:twoCellAnchor>
  <xdr:twoCellAnchor editAs="oneCell">
    <xdr:from>
      <xdr:col>8</xdr:col>
      <xdr:colOff>259772</xdr:colOff>
      <xdr:row>33</xdr:row>
      <xdr:rowOff>86592</xdr:rowOff>
    </xdr:from>
    <xdr:to>
      <xdr:col>8</xdr:col>
      <xdr:colOff>796636</xdr:colOff>
      <xdr:row>33</xdr:row>
      <xdr:rowOff>623456</xdr:rowOff>
    </xdr:to>
    <xdr:pic>
      <xdr:nvPicPr>
        <xdr:cNvPr id="15" name="Picture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156863" y="12798137"/>
          <a:ext cx="536864" cy="536864"/>
        </a:xfrm>
        <a:prstGeom prst="rect">
          <a:avLst/>
        </a:prstGeom>
      </xdr:spPr>
    </xdr:pic>
    <xdr:clientData/>
  </xdr:twoCellAnchor>
  <xdr:twoCellAnchor editAs="oneCell">
    <xdr:from>
      <xdr:col>8</xdr:col>
      <xdr:colOff>236591</xdr:colOff>
      <xdr:row>16</xdr:row>
      <xdr:rowOff>11454</xdr:rowOff>
    </xdr:from>
    <xdr:to>
      <xdr:col>8</xdr:col>
      <xdr:colOff>935182</xdr:colOff>
      <xdr:row>17</xdr:row>
      <xdr:rowOff>17318</xdr:rowOff>
    </xdr:to>
    <xdr:pic>
      <xdr:nvPicPr>
        <xdr:cNvPr id="21" name="Picture 20">
          <a:extLst>
            <a:ext uri="{FF2B5EF4-FFF2-40B4-BE49-F238E27FC236}">
              <a16:creationId xmlns:a16="http://schemas.microsoft.com/office/drawing/2014/main" id="{00000000-0008-0000-0200-000015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133682" y="7059954"/>
          <a:ext cx="698591" cy="698591"/>
        </a:xfrm>
        <a:prstGeom prst="rect">
          <a:avLst/>
        </a:prstGeom>
      </xdr:spPr>
    </xdr:pic>
    <xdr:clientData/>
  </xdr:twoCellAnchor>
  <xdr:twoCellAnchor editAs="oneCell">
    <xdr:from>
      <xdr:col>4</xdr:col>
      <xdr:colOff>1091047</xdr:colOff>
      <xdr:row>236</xdr:row>
      <xdr:rowOff>139574</xdr:rowOff>
    </xdr:from>
    <xdr:to>
      <xdr:col>10</xdr:col>
      <xdr:colOff>1006225</xdr:colOff>
      <xdr:row>248</xdr:row>
      <xdr:rowOff>110119</xdr:rowOff>
    </xdr:to>
    <xdr:pic>
      <xdr:nvPicPr>
        <xdr:cNvPr id="35" name="Picture 34">
          <a:extLst>
            <a:ext uri="{FF2B5EF4-FFF2-40B4-BE49-F238E27FC236}">
              <a16:creationId xmlns:a16="http://schemas.microsoft.com/office/drawing/2014/main" id="{00000000-0008-0000-0200-000023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5818911" y="81361847"/>
          <a:ext cx="5179905" cy="2880000"/>
        </a:xfrm>
        <a:prstGeom prst="rect">
          <a:avLst/>
        </a:prstGeom>
      </xdr:spPr>
    </xdr:pic>
    <xdr:clientData/>
  </xdr:twoCellAnchor>
  <xdr:twoCellAnchor editAs="oneCell">
    <xdr:from>
      <xdr:col>1</xdr:col>
      <xdr:colOff>17320</xdr:colOff>
      <xdr:row>236</xdr:row>
      <xdr:rowOff>139574</xdr:rowOff>
    </xdr:from>
    <xdr:to>
      <xdr:col>4</xdr:col>
      <xdr:colOff>862638</xdr:colOff>
      <xdr:row>248</xdr:row>
      <xdr:rowOff>110119</xdr:rowOff>
    </xdr:to>
    <xdr:pic>
      <xdr:nvPicPr>
        <xdr:cNvPr id="51" name="Picture 50">
          <a:extLst>
            <a:ext uri="{FF2B5EF4-FFF2-40B4-BE49-F238E27FC236}">
              <a16:creationId xmlns:a16="http://schemas.microsoft.com/office/drawing/2014/main" id="{00000000-0008-0000-0200-000033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90502" y="81361847"/>
          <a:ext cx="5400000" cy="2880000"/>
        </a:xfrm>
        <a:prstGeom prst="rect">
          <a:avLst/>
        </a:prstGeom>
      </xdr:spPr>
    </xdr:pic>
    <xdr:clientData/>
  </xdr:twoCellAnchor>
  <xdr:twoCellAnchor>
    <xdr:from>
      <xdr:col>4</xdr:col>
      <xdr:colOff>935181</xdr:colOff>
      <xdr:row>215</xdr:row>
      <xdr:rowOff>0</xdr:rowOff>
    </xdr:from>
    <xdr:to>
      <xdr:col>10</xdr:col>
      <xdr:colOff>1125681</xdr:colOff>
      <xdr:row>236</xdr:row>
      <xdr:rowOff>0</xdr:rowOff>
    </xdr:to>
    <xdr:graphicFrame macro="">
      <xdr:nvGraphicFramePr>
        <xdr:cNvPr id="49" name="Chart 48">
          <a:extLst>
            <a:ext uri="{FF2B5EF4-FFF2-40B4-BE49-F238E27FC236}">
              <a16:creationId xmlns:a16="http://schemas.microsoft.com/office/drawing/2014/main" id="{00000000-0008-0000-0200-00003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editAs="oneCell">
    <xdr:from>
      <xdr:col>8</xdr:col>
      <xdr:colOff>588819</xdr:colOff>
      <xdr:row>42</xdr:row>
      <xdr:rowOff>277091</xdr:rowOff>
    </xdr:from>
    <xdr:to>
      <xdr:col>10</xdr:col>
      <xdr:colOff>796636</xdr:colOff>
      <xdr:row>48</xdr:row>
      <xdr:rowOff>155863</xdr:rowOff>
    </xdr:to>
    <xdr:pic>
      <xdr:nvPicPr>
        <xdr:cNvPr id="13" name="Picture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8607137" y="17248909"/>
          <a:ext cx="2182090" cy="2182090"/>
        </a:xfrm>
        <a:prstGeom prst="rect">
          <a:avLst/>
        </a:prstGeom>
      </xdr:spPr>
    </xdr:pic>
    <xdr:clientData/>
  </xdr:twoCellAnchor>
  <xdr:twoCellAnchor>
    <xdr:from>
      <xdr:col>2</xdr:col>
      <xdr:colOff>623455</xdr:colOff>
      <xdr:row>59</xdr:row>
      <xdr:rowOff>51956</xdr:rowOff>
    </xdr:from>
    <xdr:to>
      <xdr:col>13</xdr:col>
      <xdr:colOff>34630</xdr:colOff>
      <xdr:row>72</xdr:row>
      <xdr:rowOff>173183</xdr:rowOff>
    </xdr:to>
    <xdr:graphicFrame macro="">
      <xdr:nvGraphicFramePr>
        <xdr:cNvPr id="50" name="Chart 49">
          <a:extLst>
            <a:ext uri="{FF2B5EF4-FFF2-40B4-BE49-F238E27FC236}">
              <a16:creationId xmlns:a16="http://schemas.microsoft.com/office/drawing/2014/main" id="{00000000-0008-0000-0200-00003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editAs="oneCell">
    <xdr:from>
      <xdr:col>1</xdr:col>
      <xdr:colOff>69272</xdr:colOff>
      <xdr:row>57</xdr:row>
      <xdr:rowOff>229467</xdr:rowOff>
    </xdr:from>
    <xdr:to>
      <xdr:col>3</xdr:col>
      <xdr:colOff>115917</xdr:colOff>
      <xdr:row>72</xdr:row>
      <xdr:rowOff>225137</xdr:rowOff>
    </xdr:to>
    <xdr:pic>
      <xdr:nvPicPr>
        <xdr:cNvPr id="46" name="Picture 45">
          <a:extLst>
            <a:ext uri="{FF2B5EF4-FFF2-40B4-BE49-F238E27FC236}">
              <a16:creationId xmlns:a16="http://schemas.microsoft.com/office/drawing/2014/main" id="{00000000-0008-0000-0200-00002E000000}"/>
            </a:ext>
          </a:extLst>
        </xdr:cNvPr>
        <xdr:cNvPicPr>
          <a:picLocks noChangeAspect="1"/>
        </xdr:cNvPicPr>
      </xdr:nvPicPr>
      <xdr:blipFill rotWithShape="1">
        <a:blip xmlns:r="http://schemas.openxmlformats.org/officeDocument/2006/relationships" r:embed="rId27">
          <a:extLst>
            <a:ext uri="{28A0092B-C50C-407E-A947-70E740481C1C}">
              <a14:useLocalDpi xmlns:a14="http://schemas.microsoft.com/office/drawing/2010/main" val="0"/>
            </a:ext>
          </a:extLst>
        </a:blip>
        <a:srcRect l="26705" r="23198"/>
        <a:stretch/>
      </xdr:blipFill>
      <xdr:spPr>
        <a:xfrm>
          <a:off x="242454" y="21288376"/>
          <a:ext cx="3458327" cy="3805670"/>
        </a:xfrm>
        <a:prstGeom prst="rect">
          <a:avLst/>
        </a:prstGeom>
      </xdr:spPr>
    </xdr:pic>
    <xdr:clientData/>
  </xdr:twoCellAnchor>
  <xdr:twoCellAnchor editAs="oneCell">
    <xdr:from>
      <xdr:col>1</xdr:col>
      <xdr:colOff>121231</xdr:colOff>
      <xdr:row>99</xdr:row>
      <xdr:rowOff>1</xdr:rowOff>
    </xdr:from>
    <xdr:to>
      <xdr:col>1</xdr:col>
      <xdr:colOff>952503</xdr:colOff>
      <xdr:row>103</xdr:row>
      <xdr:rowOff>0</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294413" y="32246456"/>
          <a:ext cx="831272" cy="831272"/>
        </a:xfrm>
        <a:prstGeom prst="rect">
          <a:avLst/>
        </a:prstGeom>
      </xdr:spPr>
    </xdr:pic>
    <xdr:clientData/>
  </xdr:twoCellAnchor>
  <xdr:twoCellAnchor>
    <xdr:from>
      <xdr:col>1</xdr:col>
      <xdr:colOff>779318</xdr:colOff>
      <xdr:row>346</xdr:row>
      <xdr:rowOff>103910</xdr:rowOff>
    </xdr:from>
    <xdr:to>
      <xdr:col>3</xdr:col>
      <xdr:colOff>51954</xdr:colOff>
      <xdr:row>351</xdr:row>
      <xdr:rowOff>1</xdr:rowOff>
    </xdr:to>
    <xdr:sp macro="" textlink="'Family Details'!C32">
      <xdr:nvSpPr>
        <xdr:cNvPr id="54" name="TextBox 53">
          <a:extLst>
            <a:ext uri="{FF2B5EF4-FFF2-40B4-BE49-F238E27FC236}">
              <a16:creationId xmlns:a16="http://schemas.microsoft.com/office/drawing/2014/main" id="{00000000-0008-0000-0200-000036000000}"/>
            </a:ext>
          </a:extLst>
        </xdr:cNvPr>
        <xdr:cNvSpPr txBox="1"/>
      </xdr:nvSpPr>
      <xdr:spPr>
        <a:xfrm>
          <a:off x="952500" y="106801228"/>
          <a:ext cx="2684318" cy="93518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6978A61-F6D8-44D6-98EC-09405ED13336}" type="TxLink">
            <a:rPr lang="en-US" sz="2400" b="0" i="0" u="none" strike="noStrike">
              <a:solidFill>
                <a:srgbClr val="000000"/>
              </a:solidFill>
              <a:latin typeface="Tw Cen MT"/>
            </a:rPr>
            <a:pPr algn="ctr"/>
            <a:t>Rakesh Agarwal</a:t>
          </a:fld>
          <a:endParaRPr lang="en-IN" sz="1400" b="0"/>
        </a:p>
      </xdr:txBody>
    </xdr:sp>
    <xdr:clientData/>
  </xdr:twoCellAnchor>
  <xdr:twoCellAnchor>
    <xdr:from>
      <xdr:col>3</xdr:col>
      <xdr:colOff>909204</xdr:colOff>
      <xdr:row>346</xdr:row>
      <xdr:rowOff>103910</xdr:rowOff>
    </xdr:from>
    <xdr:to>
      <xdr:col>6</xdr:col>
      <xdr:colOff>164522</xdr:colOff>
      <xdr:row>351</xdr:row>
      <xdr:rowOff>1</xdr:rowOff>
    </xdr:to>
    <xdr:sp macro="" textlink="'Family Details'!C33">
      <xdr:nvSpPr>
        <xdr:cNvPr id="55" name="TextBox 54">
          <a:extLst>
            <a:ext uri="{FF2B5EF4-FFF2-40B4-BE49-F238E27FC236}">
              <a16:creationId xmlns:a16="http://schemas.microsoft.com/office/drawing/2014/main" id="{00000000-0008-0000-0200-000037000000}"/>
            </a:ext>
          </a:extLst>
        </xdr:cNvPr>
        <xdr:cNvSpPr txBox="1"/>
      </xdr:nvSpPr>
      <xdr:spPr>
        <a:xfrm>
          <a:off x="4494068" y="106801228"/>
          <a:ext cx="2684318" cy="93518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D27C3A6-670C-4C5C-909D-B406DFA64417}" type="TxLink">
            <a:rPr lang="en-US" sz="2400" b="0" i="0" u="none" strike="noStrike">
              <a:solidFill>
                <a:srgbClr val="000000"/>
              </a:solidFill>
              <a:latin typeface="Tw Cen MT"/>
            </a:rPr>
            <a:pPr algn="ctr"/>
            <a:t>9830098765</a:t>
          </a:fld>
          <a:endParaRPr lang="en-IN" sz="1400" b="0"/>
        </a:p>
      </xdr:txBody>
    </xdr:sp>
    <xdr:clientData/>
  </xdr:twoCellAnchor>
  <xdr:twoCellAnchor>
    <xdr:from>
      <xdr:col>8</xdr:col>
      <xdr:colOff>17317</xdr:colOff>
      <xdr:row>346</xdr:row>
      <xdr:rowOff>103910</xdr:rowOff>
    </xdr:from>
    <xdr:to>
      <xdr:col>10</xdr:col>
      <xdr:colOff>727362</xdr:colOff>
      <xdr:row>351</xdr:row>
      <xdr:rowOff>1</xdr:rowOff>
    </xdr:to>
    <xdr:sp macro="" textlink="'Family Details'!C34">
      <xdr:nvSpPr>
        <xdr:cNvPr id="56" name="TextBox 55">
          <a:extLst>
            <a:ext uri="{FF2B5EF4-FFF2-40B4-BE49-F238E27FC236}">
              <a16:creationId xmlns:a16="http://schemas.microsoft.com/office/drawing/2014/main" id="{00000000-0008-0000-0200-000038000000}"/>
            </a:ext>
          </a:extLst>
        </xdr:cNvPr>
        <xdr:cNvSpPr txBox="1"/>
      </xdr:nvSpPr>
      <xdr:spPr>
        <a:xfrm>
          <a:off x="8035635" y="106801228"/>
          <a:ext cx="2684318" cy="93518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AA1F0F7-3C81-4AE7-A337-07BE4017F374}" type="TxLink">
            <a:rPr lang="en-US" sz="2400" b="0" i="0" u="none" strike="noStrike">
              <a:solidFill>
                <a:srgbClr val="000000"/>
              </a:solidFill>
              <a:latin typeface="Tw Cen MT"/>
            </a:rPr>
            <a:pPr algn="ctr"/>
            <a:t>siddhimukim@gmail.com</a:t>
          </a:fld>
          <a:endParaRPr lang="en-IN" sz="1400" b="0"/>
        </a:p>
      </xdr:txBody>
    </xdr:sp>
    <xdr:clientData/>
  </xdr:twoCellAnchor>
  <xdr:twoCellAnchor editAs="oneCell">
    <xdr:from>
      <xdr:col>1</xdr:col>
      <xdr:colOff>1697181</xdr:colOff>
      <xdr:row>344</xdr:row>
      <xdr:rowOff>363681</xdr:rowOff>
    </xdr:from>
    <xdr:to>
      <xdr:col>2</xdr:col>
      <xdr:colOff>432954</xdr:colOff>
      <xdr:row>346</xdr:row>
      <xdr:rowOff>173181</xdr:rowOff>
    </xdr:to>
    <xdr:pic>
      <xdr:nvPicPr>
        <xdr:cNvPr id="33" name="Picture 32">
          <a:extLst>
            <a:ext uri="{FF2B5EF4-FFF2-40B4-BE49-F238E27FC236}">
              <a16:creationId xmlns:a16="http://schemas.microsoft.com/office/drawing/2014/main" id="{00000000-0008-0000-0200-000021000000}"/>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1870363" y="100047136"/>
          <a:ext cx="813955" cy="813955"/>
        </a:xfrm>
        <a:prstGeom prst="rect">
          <a:avLst/>
        </a:prstGeom>
      </xdr:spPr>
    </xdr:pic>
    <xdr:clientData/>
  </xdr:twoCellAnchor>
  <xdr:twoCellAnchor editAs="oneCell">
    <xdr:from>
      <xdr:col>8</xdr:col>
      <xdr:colOff>865909</xdr:colOff>
      <xdr:row>344</xdr:row>
      <xdr:rowOff>190498</xdr:rowOff>
    </xdr:from>
    <xdr:to>
      <xdr:col>9</xdr:col>
      <xdr:colOff>660679</xdr:colOff>
      <xdr:row>345</xdr:row>
      <xdr:rowOff>296996</xdr:rowOff>
    </xdr:to>
    <xdr:pic>
      <xdr:nvPicPr>
        <xdr:cNvPr id="41" name="Picture 40">
          <a:extLst>
            <a:ext uri="{FF2B5EF4-FFF2-40B4-BE49-F238E27FC236}">
              <a16:creationId xmlns:a16="http://schemas.microsoft.com/office/drawing/2014/main" id="{00000000-0008-0000-0200-000029000000}"/>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8884227" y="99873953"/>
          <a:ext cx="781907" cy="781907"/>
        </a:xfrm>
        <a:prstGeom prst="rect">
          <a:avLst/>
        </a:prstGeom>
      </xdr:spPr>
    </xdr:pic>
    <xdr:clientData/>
  </xdr:twoCellAnchor>
  <xdr:twoCellAnchor editAs="oneCell">
    <xdr:from>
      <xdr:col>4</xdr:col>
      <xdr:colOff>728145</xdr:colOff>
      <xdr:row>344</xdr:row>
      <xdr:rowOff>248045</xdr:rowOff>
    </xdr:from>
    <xdr:to>
      <xdr:col>5</xdr:col>
      <xdr:colOff>324236</xdr:colOff>
      <xdr:row>346</xdr:row>
      <xdr:rowOff>86590</xdr:rowOff>
    </xdr:to>
    <xdr:pic>
      <xdr:nvPicPr>
        <xdr:cNvPr id="57" name="Picture 56">
          <a:extLst>
            <a:ext uri="{FF2B5EF4-FFF2-40B4-BE49-F238E27FC236}">
              <a16:creationId xmlns:a16="http://schemas.microsoft.com/office/drawing/2014/main" id="{00000000-0008-0000-0200-000039000000}"/>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5456009" y="99931500"/>
          <a:ext cx="843000" cy="843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652096</xdr:colOff>
      <xdr:row>6</xdr:row>
      <xdr:rowOff>167053</xdr:rowOff>
    </xdr:from>
    <xdr:to>
      <xdr:col>9</xdr:col>
      <xdr:colOff>534865</xdr:colOff>
      <xdr:row>15</xdr:row>
      <xdr:rowOff>272561</xdr:rowOff>
    </xdr:to>
    <xdr:graphicFrame macro="">
      <xdr:nvGraphicFramePr>
        <xdr:cNvPr id="5" name="Chart 4">
          <a:extLst>
            <a:ext uri="{FF2B5EF4-FFF2-40B4-BE49-F238E27FC236}">
              <a16:creationId xmlns:a16="http://schemas.microsoft.com/office/drawing/2014/main" id="{00000000-0008-0000-03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0</xdr:colOff>
      <xdr:row>31</xdr:row>
      <xdr:rowOff>0</xdr:rowOff>
    </xdr:from>
    <xdr:to>
      <xdr:col>22</xdr:col>
      <xdr:colOff>42627</xdr:colOff>
      <xdr:row>44</xdr:row>
      <xdr:rowOff>201931</xdr:rowOff>
    </xdr:to>
    <xdr:graphicFrame macro="">
      <xdr:nvGraphicFramePr>
        <xdr:cNvPr id="11" name="Chart 10">
          <a:extLst>
            <a:ext uri="{FF2B5EF4-FFF2-40B4-BE49-F238E27FC236}">
              <a16:creationId xmlns:a16="http://schemas.microsoft.com/office/drawing/2014/main" id="{00000000-0008-0000-03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29766</xdr:colOff>
      <xdr:row>17</xdr:row>
      <xdr:rowOff>285745</xdr:rowOff>
    </xdr:from>
    <xdr:to>
      <xdr:col>4</xdr:col>
      <xdr:colOff>0</xdr:colOff>
      <xdr:row>26</xdr:row>
      <xdr:rowOff>630281</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10766" y="6738933"/>
          <a:ext cx="6471047" cy="355922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xdr:colOff>
      <xdr:row>28</xdr:row>
      <xdr:rowOff>21648</xdr:rowOff>
    </xdr:from>
    <xdr:to>
      <xdr:col>3</xdr:col>
      <xdr:colOff>2021632</xdr:colOff>
      <xdr:row>37</xdr:row>
      <xdr:rowOff>64944</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88775" y="8846852"/>
          <a:ext cx="6492551" cy="266753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15</xdr:row>
      <xdr:rowOff>206374</xdr:rowOff>
    </xdr:from>
    <xdr:to>
      <xdr:col>4</xdr:col>
      <xdr:colOff>0</xdr:colOff>
      <xdr:row>34</xdr:row>
      <xdr:rowOff>15874</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81000" y="3984624"/>
          <a:ext cx="6238875" cy="37306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 /><Relationship Id="rId1" Type="http://schemas.openxmlformats.org/officeDocument/2006/relationships/printerSettings" Target="../printerSettings/printerSettings1.bin" /></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 /><Relationship Id="rId2" Type="http://schemas.openxmlformats.org/officeDocument/2006/relationships/hyperlink" Target="mailto:akash@gmail.com" TargetMode="External" /><Relationship Id="rId1" Type="http://schemas.openxmlformats.org/officeDocument/2006/relationships/hyperlink" Target="mailto:siddhimukim@gmail.com" TargetMode="External" /><Relationship Id="rId4" Type="http://schemas.openxmlformats.org/officeDocument/2006/relationships/drawing" Target="../drawings/drawing2.xml" /></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 /><Relationship Id="rId1" Type="http://schemas.openxmlformats.org/officeDocument/2006/relationships/printerSettings" Target="../printerSettings/printerSettings3.bin" /></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 /><Relationship Id="rId1" Type="http://schemas.openxmlformats.org/officeDocument/2006/relationships/printerSettings" Target="../printerSettings/printerSettings4.bin" /></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 /></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 /><Relationship Id="rId1" Type="http://schemas.openxmlformats.org/officeDocument/2006/relationships/printerSettings" Target="../printerSettings/printerSettings6.bin" /></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 /></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 /><Relationship Id="rId1" Type="http://schemas.openxmlformats.org/officeDocument/2006/relationships/printerSettings" Target="../printerSettings/printerSettings8.bin" /></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 /><Relationship Id="rId1" Type="http://schemas.openxmlformats.org/officeDocument/2006/relationships/printerSettings" Target="../printerSettings/printerSettings9.bin" /></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68B76-25A6-4B3A-ABC9-6B9A2C8DF602}">
  <sheetPr codeName="Sheet1"/>
  <dimension ref="A1:C34"/>
  <sheetViews>
    <sheetView showGridLines="0" topLeftCell="A7" zoomScale="70" zoomScaleNormal="70" workbookViewId="0">
      <selection activeCell="B2" sqref="B2"/>
    </sheetView>
  </sheetViews>
  <sheetFormatPr defaultRowHeight="15" x14ac:dyDescent="0.2"/>
  <cols>
    <col min="1" max="1" width="4.19140625" customWidth="1"/>
    <col min="2" max="2" width="100.12890625" style="99" customWidth="1"/>
    <col min="3" max="3" width="4.3125" customWidth="1"/>
  </cols>
  <sheetData>
    <row r="1" spans="1:3" ht="26.25" customHeight="1" x14ac:dyDescent="0.2">
      <c r="A1" s="100"/>
      <c r="B1" s="101"/>
      <c r="C1" s="102"/>
    </row>
    <row r="2" spans="1:3" ht="40.5" customHeight="1" x14ac:dyDescent="0.2">
      <c r="A2" s="103"/>
      <c r="B2" s="123" t="s">
        <v>103</v>
      </c>
      <c r="C2" s="104"/>
    </row>
    <row r="3" spans="1:3" ht="29.25" customHeight="1" x14ac:dyDescent="0.2">
      <c r="A3" s="103"/>
      <c r="B3" s="105"/>
      <c r="C3" s="104"/>
    </row>
    <row r="4" spans="1:3" ht="29.25" customHeight="1" x14ac:dyDescent="0.2">
      <c r="A4" s="103"/>
      <c r="B4" s="105"/>
      <c r="C4" s="104"/>
    </row>
    <row r="5" spans="1:3" ht="29.25" customHeight="1" x14ac:dyDescent="0.2">
      <c r="A5" s="103"/>
      <c r="B5" s="112" t="s">
        <v>104</v>
      </c>
      <c r="C5" s="104"/>
    </row>
    <row r="6" spans="1:3" ht="29.25" customHeight="1" x14ac:dyDescent="0.2">
      <c r="A6" s="103"/>
      <c r="B6" s="113" t="str">
        <f>PROPER(TRIM('Family Details'!C8))</f>
        <v>Akash Agarwal</v>
      </c>
      <c r="C6" s="104"/>
    </row>
    <row r="7" spans="1:3" ht="29.25" customHeight="1" x14ac:dyDescent="0.2">
      <c r="A7" s="103"/>
      <c r="B7" s="106" t="str">
        <f>"Contact No: "&amp;'Family Details'!C10</f>
        <v>Contact No: 1234567890</v>
      </c>
      <c r="C7" s="104"/>
    </row>
    <row r="8" spans="1:3" ht="29.25" customHeight="1" x14ac:dyDescent="0.2">
      <c r="A8" s="103"/>
      <c r="B8" s="106" t="str">
        <f>"Email: "&amp;LOWER('Family Details'!C11)</f>
        <v>Email: akash@gmail.com</v>
      </c>
      <c r="C8" s="104"/>
    </row>
    <row r="9" spans="1:3" ht="29.25" customHeight="1" x14ac:dyDescent="0.2">
      <c r="A9" s="103"/>
      <c r="B9" s="108"/>
      <c r="C9" s="104"/>
    </row>
    <row r="10" spans="1:3" ht="29.25" customHeight="1" x14ac:dyDescent="0.2">
      <c r="A10" s="103"/>
      <c r="B10" s="105"/>
      <c r="C10" s="104"/>
    </row>
    <row r="11" spans="1:3" ht="29.25" customHeight="1" x14ac:dyDescent="0.2">
      <c r="A11" s="103"/>
      <c r="B11" s="105"/>
      <c r="C11" s="104"/>
    </row>
    <row r="12" spans="1:3" ht="29.25" customHeight="1" x14ac:dyDescent="0.2">
      <c r="A12" s="103"/>
      <c r="B12" s="105"/>
      <c r="C12" s="104"/>
    </row>
    <row r="13" spans="1:3" ht="29.25" customHeight="1" x14ac:dyDescent="0.2">
      <c r="A13" s="103"/>
      <c r="B13" s="105"/>
      <c r="C13" s="104"/>
    </row>
    <row r="14" spans="1:3" ht="29.25" customHeight="1" x14ac:dyDescent="0.2">
      <c r="A14" s="103"/>
      <c r="B14" s="105"/>
      <c r="C14" s="104"/>
    </row>
    <row r="15" spans="1:3" ht="29.25" customHeight="1" x14ac:dyDescent="0.2">
      <c r="A15" s="103"/>
      <c r="B15" s="105"/>
      <c r="C15" s="104"/>
    </row>
    <row r="16" spans="1:3" ht="29.25" customHeight="1" x14ac:dyDescent="0.2">
      <c r="A16" s="103"/>
      <c r="B16" s="105"/>
      <c r="C16" s="104"/>
    </row>
    <row r="17" spans="1:3" ht="29.25" customHeight="1" x14ac:dyDescent="0.2">
      <c r="A17" s="103"/>
      <c r="B17" s="105"/>
      <c r="C17" s="104"/>
    </row>
    <row r="18" spans="1:3" ht="29.25" customHeight="1" x14ac:dyDescent="0.2">
      <c r="A18" s="103"/>
      <c r="B18" s="105"/>
      <c r="C18" s="104"/>
    </row>
    <row r="19" spans="1:3" ht="29.25" customHeight="1" x14ac:dyDescent="0.2">
      <c r="A19" s="103"/>
      <c r="B19" s="105"/>
      <c r="C19" s="104"/>
    </row>
    <row r="20" spans="1:3" ht="29.25" customHeight="1" x14ac:dyDescent="0.2">
      <c r="A20" s="103"/>
      <c r="B20" s="105"/>
      <c r="C20" s="104"/>
    </row>
    <row r="21" spans="1:3" ht="29.25" customHeight="1" x14ac:dyDescent="0.2">
      <c r="A21" s="103"/>
      <c r="B21" s="105"/>
      <c r="C21" s="104"/>
    </row>
    <row r="22" spans="1:3" ht="29.25" customHeight="1" x14ac:dyDescent="0.2">
      <c r="A22" s="103"/>
      <c r="B22" s="105"/>
      <c r="C22" s="104"/>
    </row>
    <row r="23" spans="1:3" ht="29.25" customHeight="1" x14ac:dyDescent="0.2">
      <c r="A23" s="103"/>
      <c r="B23" s="105"/>
      <c r="C23" s="104"/>
    </row>
    <row r="24" spans="1:3" ht="29.25" customHeight="1" x14ac:dyDescent="0.2">
      <c r="A24" s="103"/>
      <c r="B24" s="105"/>
      <c r="C24" s="104"/>
    </row>
    <row r="25" spans="1:3" ht="29.25" customHeight="1" x14ac:dyDescent="0.2">
      <c r="A25" s="103"/>
      <c r="B25" s="105"/>
      <c r="C25" s="104"/>
    </row>
    <row r="26" spans="1:3" ht="29.25" customHeight="1" x14ac:dyDescent="0.2">
      <c r="A26" s="103"/>
      <c r="C26" s="104"/>
    </row>
    <row r="27" spans="1:3" ht="29.25" customHeight="1" x14ac:dyDescent="0.2">
      <c r="A27" s="103"/>
      <c r="C27" s="104"/>
    </row>
    <row r="28" spans="1:3" ht="29.25" customHeight="1" x14ac:dyDescent="0.2">
      <c r="A28" s="103"/>
      <c r="B28" s="106" t="s">
        <v>105</v>
      </c>
      <c r="C28" s="104"/>
    </row>
    <row r="29" spans="1:3" ht="29.25" customHeight="1" x14ac:dyDescent="0.2">
      <c r="A29" s="103"/>
      <c r="B29" s="107" t="str">
        <f>PROPER(TRIM('Family Details'!C32))</f>
        <v>Rakesh Agarwal</v>
      </c>
      <c r="C29" s="104"/>
    </row>
    <row r="30" spans="1:3" ht="29.25" customHeight="1" x14ac:dyDescent="0.2">
      <c r="A30" s="103"/>
      <c r="B30" s="114" t="str">
        <f>"Contact No: "&amp;'Family Details'!C33</f>
        <v>Contact No: 9830098765</v>
      </c>
      <c r="C30" s="104"/>
    </row>
    <row r="31" spans="1:3" ht="29.25" customHeight="1" x14ac:dyDescent="0.2">
      <c r="A31" s="103"/>
      <c r="B31" s="114" t="str">
        <f>"Email: "&amp;LOWER('Family Details'!C34)</f>
        <v>Email: siddhimukim@gmail.com</v>
      </c>
      <c r="C31" s="104"/>
    </row>
    <row r="32" spans="1:3" ht="29.25" customHeight="1" x14ac:dyDescent="0.2">
      <c r="A32" s="103"/>
      <c r="B32" s="105"/>
      <c r="C32" s="104"/>
    </row>
    <row r="33" spans="1:3" ht="29.25" customHeight="1" x14ac:dyDescent="0.2">
      <c r="A33" s="103"/>
      <c r="B33" s="105"/>
      <c r="C33" s="104"/>
    </row>
    <row r="34" spans="1:3" ht="26.25" customHeight="1" thickBot="1" x14ac:dyDescent="0.25">
      <c r="A34" s="109"/>
      <c r="B34" s="110"/>
      <c r="C34" s="111"/>
    </row>
  </sheetData>
  <pageMargins left="0.7" right="0.7" top="0.75" bottom="0.75" header="0.3" footer="0.3"/>
  <pageSetup paperSize="9" scale="74"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DD22DD-F0AB-DB4F-AD37-C0CE330C6802}">
  <sheetPr codeName="Sheet2">
    <pageSetUpPr fitToPage="1"/>
  </sheetPr>
  <dimension ref="B2:H34"/>
  <sheetViews>
    <sheetView showGridLines="0" zoomScale="60" zoomScaleNormal="60" workbookViewId="0">
      <selection activeCell="C34" sqref="C34"/>
    </sheetView>
  </sheetViews>
  <sheetFormatPr defaultColWidth="10.8515625" defaultRowHeight="24" x14ac:dyDescent="0.3"/>
  <cols>
    <col min="1" max="1" width="4.5625" style="250" customWidth="1"/>
    <col min="2" max="2" width="52.03515625" style="250" customWidth="1"/>
    <col min="3" max="3" width="46.48828125" style="250" customWidth="1"/>
    <col min="4" max="16384" width="10.8515625" style="250"/>
  </cols>
  <sheetData>
    <row r="2" spans="2:8" x14ac:dyDescent="0.3">
      <c r="B2" s="313" t="s">
        <v>198</v>
      </c>
    </row>
    <row r="3" spans="2:8" ht="23.25" customHeight="1" x14ac:dyDescent="0.3">
      <c r="B3" s="313"/>
    </row>
    <row r="4" spans="2:8" ht="35.25" customHeight="1" x14ac:dyDescent="0.3">
      <c r="B4" s="313"/>
      <c r="C4" s="248"/>
    </row>
    <row r="6" spans="2:8" ht="27.75" x14ac:dyDescent="0.3">
      <c r="B6" s="312" t="s">
        <v>199</v>
      </c>
      <c r="C6" s="312"/>
    </row>
    <row r="7" spans="2:8" s="251" customFormat="1" ht="9.75" customHeight="1" x14ac:dyDescent="0.3">
      <c r="B7" s="249"/>
      <c r="C7" s="249"/>
      <c r="G7"/>
    </row>
    <row r="8" spans="2:8" ht="24.75" customHeight="1" x14ac:dyDescent="0.3">
      <c r="B8" s="252" t="s">
        <v>0</v>
      </c>
      <c r="C8" s="255" t="s">
        <v>226</v>
      </c>
    </row>
    <row r="9" spans="2:8" ht="24.75" customHeight="1" x14ac:dyDescent="0.3">
      <c r="B9" s="252" t="s">
        <v>2</v>
      </c>
      <c r="C9" s="255">
        <v>37</v>
      </c>
    </row>
    <row r="10" spans="2:8" ht="24.75" customHeight="1" x14ac:dyDescent="0.3">
      <c r="B10" s="252" t="s">
        <v>4</v>
      </c>
      <c r="C10" s="256">
        <v>1234567890</v>
      </c>
    </row>
    <row r="11" spans="2:8" ht="24.75" customHeight="1" x14ac:dyDescent="0.3">
      <c r="B11" s="252" t="s">
        <v>5</v>
      </c>
      <c r="C11" s="310" t="s">
        <v>213</v>
      </c>
    </row>
    <row r="12" spans="2:8" ht="9.75" customHeight="1" x14ac:dyDescent="0.3">
      <c r="C12" s="254"/>
    </row>
    <row r="13" spans="2:8" x14ac:dyDescent="0.3">
      <c r="B13" s="252" t="s">
        <v>1</v>
      </c>
      <c r="C13" s="255" t="s">
        <v>214</v>
      </c>
    </row>
    <row r="14" spans="2:8" x14ac:dyDescent="0.3">
      <c r="B14" s="252" t="s">
        <v>3</v>
      </c>
      <c r="C14" s="255">
        <v>32</v>
      </c>
    </row>
    <row r="15" spans="2:8" ht="9.75" customHeight="1" x14ac:dyDescent="0.3">
      <c r="C15" s="254"/>
      <c r="H15"/>
    </row>
    <row r="16" spans="2:8" x14ac:dyDescent="0.3">
      <c r="B16" s="252" t="s">
        <v>137</v>
      </c>
      <c r="C16" s="255" t="s">
        <v>215</v>
      </c>
      <c r="E16" s="251"/>
    </row>
    <row r="17" spans="2:3" x14ac:dyDescent="0.3">
      <c r="B17" s="252" t="s">
        <v>139</v>
      </c>
      <c r="C17" s="255">
        <v>20</v>
      </c>
    </row>
    <row r="18" spans="2:3" ht="9.75" customHeight="1" x14ac:dyDescent="0.3">
      <c r="C18" s="254"/>
    </row>
    <row r="19" spans="2:3" x14ac:dyDescent="0.3">
      <c r="B19" s="252" t="s">
        <v>138</v>
      </c>
      <c r="C19" s="255" t="s">
        <v>216</v>
      </c>
    </row>
    <row r="20" spans="2:3" x14ac:dyDescent="0.3">
      <c r="B20" s="252" t="s">
        <v>140</v>
      </c>
      <c r="C20" s="255">
        <v>15</v>
      </c>
    </row>
    <row r="21" spans="2:3" ht="9.75" customHeight="1" x14ac:dyDescent="0.3">
      <c r="B21" s="251"/>
      <c r="C21" s="253"/>
    </row>
    <row r="22" spans="2:3" x14ac:dyDescent="0.3">
      <c r="B22" s="252" t="s">
        <v>141</v>
      </c>
      <c r="C22" s="255" t="s">
        <v>217</v>
      </c>
    </row>
    <row r="23" spans="2:3" x14ac:dyDescent="0.3">
      <c r="B23" s="252" t="s">
        <v>142</v>
      </c>
      <c r="C23" s="255">
        <v>10</v>
      </c>
    </row>
    <row r="24" spans="2:3" ht="9.75" customHeight="1" x14ac:dyDescent="0.3">
      <c r="B24" s="251"/>
      <c r="C24" s="253"/>
    </row>
    <row r="25" spans="2:3" x14ac:dyDescent="0.3">
      <c r="B25" s="252" t="s">
        <v>143</v>
      </c>
      <c r="C25" s="255" t="s">
        <v>227</v>
      </c>
    </row>
    <row r="26" spans="2:3" x14ac:dyDescent="0.3">
      <c r="B26" s="252" t="s">
        <v>144</v>
      </c>
      <c r="C26" s="255">
        <v>5</v>
      </c>
    </row>
    <row r="27" spans="2:3" ht="9.75" customHeight="1" x14ac:dyDescent="0.3">
      <c r="C27" s="254"/>
    </row>
    <row r="28" spans="2:3" x14ac:dyDescent="0.3">
      <c r="B28" s="252" t="s">
        <v>205</v>
      </c>
      <c r="C28" s="257">
        <v>200000</v>
      </c>
    </row>
    <row r="29" spans="2:3" ht="9.75" customHeight="1" x14ac:dyDescent="0.3">
      <c r="C29" s="254"/>
    </row>
    <row r="30" spans="2:3" ht="27.75" x14ac:dyDescent="0.3">
      <c r="B30" s="312" t="s">
        <v>221</v>
      </c>
      <c r="C30" s="312"/>
    </row>
    <row r="31" spans="2:3" ht="9.75" customHeight="1" x14ac:dyDescent="0.3">
      <c r="C31" s="254"/>
    </row>
    <row r="32" spans="2:3" x14ac:dyDescent="0.3">
      <c r="B32" s="258" t="s">
        <v>222</v>
      </c>
      <c r="C32" s="259" t="s">
        <v>228</v>
      </c>
    </row>
    <row r="33" spans="2:3" x14ac:dyDescent="0.3">
      <c r="B33" s="258" t="s">
        <v>223</v>
      </c>
      <c r="C33" s="260">
        <v>9830098765</v>
      </c>
    </row>
    <row r="34" spans="2:3" x14ac:dyDescent="0.3">
      <c r="B34" s="258" t="s">
        <v>224</v>
      </c>
      <c r="C34" s="311" t="s">
        <v>218</v>
      </c>
    </row>
  </sheetData>
  <mergeCells count="3">
    <mergeCell ref="B6:C6"/>
    <mergeCell ref="B30:C30"/>
    <mergeCell ref="B2:B4"/>
  </mergeCells>
  <hyperlinks>
    <hyperlink ref="C34" r:id="rId1" xr:uid="{6B769EC3-50F7-F74C-A03D-2FAD74AF7DF7}"/>
    <hyperlink ref="C11" r:id="rId2" xr:uid="{9829B1FC-B89D-3F4D-8758-F6D1067B41CC}"/>
  </hyperlinks>
  <printOptions horizontalCentered="1" verticalCentered="1"/>
  <pageMargins left="0.70866141732283472" right="0.70866141732283472" top="0.74803149606299213" bottom="0.74803149606299213" header="0.31496062992125984" footer="0.31496062992125984"/>
  <pageSetup paperSize="9" scale="70" orientation="portrait"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AAD812-8916-47F8-A473-A243249BE7EC}">
  <sheetPr codeName="Sheet10">
    <pageSetUpPr fitToPage="1"/>
  </sheetPr>
  <dimension ref="B1:Q346"/>
  <sheetViews>
    <sheetView showGridLines="0" tabSelected="1" showWhiteSpace="0" view="pageLayout" zoomScale="55" zoomScaleNormal="70" zoomScalePageLayoutView="55" workbookViewId="0">
      <selection activeCell="B2" sqref="B2"/>
    </sheetView>
  </sheetViews>
  <sheetFormatPr defaultColWidth="9" defaultRowHeight="16.5" x14ac:dyDescent="0.2"/>
  <cols>
    <col min="1" max="1" width="2.21875" style="179" customWidth="1"/>
    <col min="2" max="2" width="26.7578125" style="179" customWidth="1"/>
    <col min="3" max="3" width="17.140625" style="179" customWidth="1"/>
    <col min="4" max="4" width="14.796875" style="179" customWidth="1"/>
    <col min="5" max="5" width="16.02734375" style="179" customWidth="1"/>
    <col min="6" max="6" width="13.31640625" style="179" customWidth="1"/>
    <col min="7" max="7" width="3.9453125" style="179" customWidth="1"/>
    <col min="8" max="8" width="9" style="179"/>
    <col min="9" max="10" width="12.69921875" style="179" customWidth="1"/>
    <col min="11" max="11" width="15.53515625" style="179" customWidth="1"/>
    <col min="12" max="12" width="2.21875" style="179" customWidth="1"/>
    <col min="13" max="14" width="9" style="179"/>
    <col min="15" max="15" width="13.31640625" style="179" bestFit="1" customWidth="1"/>
    <col min="16" max="17" width="9.125" style="179" bestFit="1" customWidth="1"/>
    <col min="18" max="16384" width="9" style="179"/>
  </cols>
  <sheetData>
    <row r="1" spans="2:11" s="272" customFormat="1" ht="132.75" customHeight="1" thickBot="1" x14ac:dyDescent="0.25">
      <c r="B1" s="346" t="str">
        <f>UPPER(CONCATENATE("FINANCIAL REPORT FOR ",'Family Details'!C8," &amp; FAMILY"))</f>
        <v>FINANCIAL REPORT FOR AKASH AGARWAL &amp; FAMILY</v>
      </c>
      <c r="C1" s="346"/>
      <c r="D1" s="346"/>
      <c r="E1" s="346"/>
      <c r="F1" s="346"/>
      <c r="G1" s="346"/>
      <c r="H1" s="346"/>
      <c r="I1" s="346"/>
      <c r="J1" s="346"/>
      <c r="K1" s="346"/>
    </row>
    <row r="2" spans="2:11" ht="24" x14ac:dyDescent="0.3">
      <c r="C2" s="335" t="str">
        <f>"Report Created by "&amp;'Family Details'!C32</f>
        <v>Report Created by Rakesh Agarwal</v>
      </c>
      <c r="D2" s="335"/>
      <c r="E2" s="335"/>
      <c r="F2" s="335"/>
      <c r="G2" s="335"/>
      <c r="H2" s="335"/>
      <c r="I2" s="335"/>
    </row>
    <row r="4" spans="2:11" ht="27.75" x14ac:dyDescent="0.2">
      <c r="B4" s="273"/>
      <c r="C4" s="273"/>
      <c r="D4" s="273"/>
      <c r="E4" s="273"/>
      <c r="F4" s="273"/>
      <c r="G4" s="273"/>
      <c r="H4" s="273"/>
      <c r="I4" s="273"/>
      <c r="J4" s="273"/>
      <c r="K4" s="273"/>
    </row>
    <row r="5" spans="2:11" ht="27.75" x14ac:dyDescent="0.2">
      <c r="B5" s="273"/>
      <c r="C5" s="273"/>
      <c r="D5" s="273"/>
      <c r="E5" s="273"/>
      <c r="F5" s="273"/>
      <c r="G5" s="273"/>
      <c r="H5" s="273"/>
      <c r="I5" s="273"/>
      <c r="J5" s="273"/>
      <c r="K5" s="273"/>
    </row>
    <row r="6" spans="2:11" ht="27.75" x14ac:dyDescent="0.2">
      <c r="B6" s="273"/>
      <c r="C6" s="273"/>
      <c r="D6" s="273"/>
      <c r="E6" s="273"/>
      <c r="F6" s="273"/>
      <c r="G6" s="273"/>
      <c r="H6" s="273"/>
      <c r="I6" s="273"/>
      <c r="J6" s="273"/>
      <c r="K6" s="273"/>
    </row>
    <row r="7" spans="2:11" ht="27.75" x14ac:dyDescent="0.2">
      <c r="B7" s="273"/>
      <c r="C7" s="273"/>
      <c r="D7" s="273"/>
      <c r="E7" s="273"/>
      <c r="F7" s="273"/>
      <c r="G7" s="273"/>
      <c r="H7" s="273"/>
      <c r="I7" s="273"/>
      <c r="J7" s="273"/>
      <c r="K7" s="273"/>
    </row>
    <row r="8" spans="2:11" ht="27.75" x14ac:dyDescent="0.2">
      <c r="B8" s="273"/>
      <c r="C8" s="273"/>
      <c r="D8" s="273"/>
      <c r="E8" s="273"/>
      <c r="F8" s="273"/>
      <c r="G8" s="273"/>
      <c r="H8" s="273"/>
      <c r="I8" s="273"/>
      <c r="J8" s="273"/>
      <c r="K8" s="273"/>
    </row>
    <row r="9" spans="2:11" x14ac:dyDescent="0.2">
      <c r="B9" s="265"/>
      <c r="C9" s="265"/>
      <c r="D9" s="265"/>
      <c r="E9" s="265"/>
      <c r="F9" s="265"/>
      <c r="G9" s="265"/>
      <c r="H9" s="265"/>
      <c r="I9" s="265"/>
      <c r="J9" s="265"/>
      <c r="K9" s="265"/>
    </row>
    <row r="10" spans="2:11" ht="54.75" customHeight="1" x14ac:dyDescent="0.25">
      <c r="B10" s="266"/>
      <c r="C10" s="334" t="s">
        <v>162</v>
      </c>
      <c r="D10" s="334"/>
      <c r="E10" s="334"/>
      <c r="F10" s="334"/>
      <c r="G10" s="334"/>
      <c r="H10" s="334"/>
      <c r="I10" s="334"/>
      <c r="J10" s="267"/>
      <c r="K10" s="268"/>
    </row>
    <row r="11" spans="2:11" ht="22.5" customHeight="1" x14ac:dyDescent="0.3">
      <c r="B11" s="269"/>
      <c r="C11" s="283" t="str">
        <f>'Family Details'!B8</f>
        <v>Name of Client</v>
      </c>
      <c r="D11" s="283"/>
      <c r="E11" s="283"/>
      <c r="F11" s="283" t="str">
        <f>'Family Details'!C8</f>
        <v>Akash Agarwal</v>
      </c>
      <c r="G11" s="283"/>
      <c r="H11" s="283"/>
      <c r="I11" s="283"/>
      <c r="J11" s="340"/>
      <c r="K11" s="340"/>
    </row>
    <row r="12" spans="2:11" ht="22.5" customHeight="1" x14ac:dyDescent="0.3">
      <c r="B12" s="270"/>
      <c r="C12" s="283" t="str">
        <f>'Family Details'!B9</f>
        <v>Age of the Client</v>
      </c>
      <c r="D12" s="283"/>
      <c r="E12" s="283"/>
      <c r="F12" s="343">
        <f>'Family Details'!C9</f>
        <v>37</v>
      </c>
      <c r="G12" s="343"/>
      <c r="H12" s="343"/>
      <c r="I12" s="343"/>
      <c r="J12" s="271"/>
      <c r="K12" s="271"/>
    </row>
    <row r="13" spans="2:11" ht="22.5" customHeight="1" x14ac:dyDescent="0.3">
      <c r="B13" s="270"/>
      <c r="C13" s="283" t="str">
        <f>'Family Details'!B28</f>
        <v>Present Monthly Expenses</v>
      </c>
      <c r="D13" s="283"/>
      <c r="E13" s="283"/>
      <c r="F13" s="341">
        <f>'Family Details'!C28</f>
        <v>200000</v>
      </c>
      <c r="G13" s="341"/>
      <c r="H13" s="341"/>
      <c r="I13" s="283"/>
      <c r="J13" s="271"/>
      <c r="K13" s="271"/>
    </row>
    <row r="14" spans="2:11" ht="22.5" customHeight="1" x14ac:dyDescent="0.3">
      <c r="B14" s="269"/>
      <c r="C14" s="283" t="str">
        <f>'Family Details'!B10</f>
        <v>Mobile number of the Client</v>
      </c>
      <c r="D14" s="283"/>
      <c r="E14" s="283"/>
      <c r="F14" s="342">
        <f>'Family Details'!C10</f>
        <v>1234567890</v>
      </c>
      <c r="G14" s="342"/>
      <c r="H14" s="342"/>
      <c r="I14" s="283"/>
      <c r="J14" s="271"/>
      <c r="K14" s="271"/>
    </row>
    <row r="15" spans="2:11" ht="22.5" customHeight="1" x14ac:dyDescent="0.3">
      <c r="B15" s="269"/>
      <c r="C15" s="283" t="str">
        <f>'Family Details'!B11</f>
        <v>Email ID of the Client</v>
      </c>
      <c r="D15" s="283"/>
      <c r="E15" s="283"/>
      <c r="F15" s="283" t="str">
        <f>'Family Details'!C11</f>
        <v>akash@gmail.com</v>
      </c>
      <c r="G15" s="284"/>
      <c r="H15" s="284"/>
      <c r="I15" s="284"/>
      <c r="J15" s="271"/>
      <c r="K15" s="271"/>
    </row>
    <row r="16" spans="2:11" ht="22.5" customHeight="1" x14ac:dyDescent="0.25">
      <c r="B16" s="269"/>
      <c r="C16" s="267"/>
      <c r="D16" s="267"/>
      <c r="E16" s="267"/>
      <c r="F16" s="267"/>
      <c r="G16" s="267"/>
      <c r="H16" s="267"/>
      <c r="I16" s="267"/>
      <c r="J16" s="271"/>
      <c r="K16" s="271"/>
    </row>
    <row r="17" spans="2:11" ht="54.75" customHeight="1" x14ac:dyDescent="0.2">
      <c r="B17" s="265"/>
      <c r="C17" s="336" t="s">
        <v>200</v>
      </c>
      <c r="D17" s="336"/>
      <c r="E17" s="336"/>
      <c r="F17" s="336"/>
      <c r="G17" s="336"/>
      <c r="H17" s="336"/>
      <c r="I17" s="336"/>
      <c r="J17" s="265"/>
      <c r="K17" s="265"/>
    </row>
    <row r="18" spans="2:11" ht="22.5" customHeight="1" x14ac:dyDescent="0.3">
      <c r="B18" s="274"/>
      <c r="C18" s="283" t="str">
        <f>'Family Details'!B13</f>
        <v>Name of Spouse</v>
      </c>
      <c r="D18" s="285"/>
      <c r="E18" s="285"/>
      <c r="F18" s="286" t="str">
        <f>'Family Details'!C13</f>
        <v>Priyanka</v>
      </c>
      <c r="G18" s="285"/>
      <c r="H18" s="285"/>
      <c r="I18" s="285"/>
      <c r="J18" s="274"/>
      <c r="K18" s="274"/>
    </row>
    <row r="19" spans="2:11" ht="22.5" customHeight="1" x14ac:dyDescent="0.3">
      <c r="B19" s="265"/>
      <c r="C19" s="283" t="str">
        <f>'Family Details'!B14</f>
        <v>Age of the Client's spouse</v>
      </c>
      <c r="D19" s="283"/>
      <c r="E19" s="283"/>
      <c r="F19" s="343">
        <f>'Family Details'!C14</f>
        <v>32</v>
      </c>
      <c r="G19" s="343"/>
      <c r="H19" s="343"/>
      <c r="I19" s="343"/>
      <c r="J19" s="265"/>
      <c r="K19" s="265"/>
    </row>
    <row r="20" spans="2:11" ht="22.5" customHeight="1" x14ac:dyDescent="0.25">
      <c r="B20" s="265"/>
      <c r="C20" s="267"/>
      <c r="D20" s="265"/>
      <c r="E20" s="265"/>
      <c r="F20" s="265"/>
      <c r="G20" s="265"/>
      <c r="H20" s="265"/>
      <c r="I20" s="265"/>
      <c r="J20" s="265"/>
      <c r="K20" s="265"/>
    </row>
    <row r="21" spans="2:11" ht="54.75" customHeight="1" x14ac:dyDescent="0.2">
      <c r="B21" s="265"/>
      <c r="C21" s="336" t="s">
        <v>190</v>
      </c>
      <c r="D21" s="336"/>
      <c r="E21" s="336"/>
      <c r="F21" s="336"/>
      <c r="G21" s="336"/>
      <c r="H21" s="336"/>
      <c r="I21" s="336"/>
      <c r="J21" s="265"/>
      <c r="K21" s="265"/>
    </row>
    <row r="22" spans="2:11" ht="22.5" customHeight="1" x14ac:dyDescent="0.3">
      <c r="B22" s="265"/>
      <c r="C22" s="283" t="str">
        <f>'Family Details'!B16</f>
        <v>Name of 1st child</v>
      </c>
      <c r="D22" s="283"/>
      <c r="E22" s="283"/>
      <c r="F22" s="287" t="str">
        <f>'Family Details'!C16</f>
        <v>Sneha</v>
      </c>
      <c r="G22" s="283"/>
      <c r="H22" s="283"/>
      <c r="I22" s="283"/>
      <c r="J22" s="265"/>
      <c r="K22" s="265"/>
    </row>
    <row r="23" spans="2:11" ht="22.5" customHeight="1" x14ac:dyDescent="0.3">
      <c r="B23" s="265"/>
      <c r="C23" s="283" t="str">
        <f>'Family Details'!B17</f>
        <v>Age of the 1st child</v>
      </c>
      <c r="D23" s="283"/>
      <c r="E23" s="283"/>
      <c r="F23" s="343">
        <f>'Family Details'!C17</f>
        <v>20</v>
      </c>
      <c r="G23" s="343"/>
      <c r="H23" s="343"/>
      <c r="I23" s="343"/>
      <c r="J23" s="265"/>
      <c r="K23" s="265"/>
    </row>
    <row r="24" spans="2:11" ht="22.5" customHeight="1" x14ac:dyDescent="0.3">
      <c r="B24" s="265"/>
      <c r="C24" s="283"/>
      <c r="D24" s="283"/>
      <c r="E24" s="283"/>
      <c r="F24" s="287"/>
      <c r="G24" s="283"/>
      <c r="H24" s="283"/>
      <c r="I24" s="283"/>
      <c r="J24" s="265"/>
      <c r="K24" s="265"/>
    </row>
    <row r="25" spans="2:11" ht="22.5" customHeight="1" x14ac:dyDescent="0.3">
      <c r="B25" s="265"/>
      <c r="C25" s="283" t="str">
        <f>'Family Details'!B19</f>
        <v>Name of 2nd child</v>
      </c>
      <c r="D25" s="283"/>
      <c r="E25" s="283"/>
      <c r="F25" s="287" t="str">
        <f>'Family Details'!C19</f>
        <v>Amit</v>
      </c>
      <c r="G25" s="283"/>
      <c r="H25" s="283"/>
      <c r="I25" s="283"/>
      <c r="J25" s="265"/>
      <c r="K25" s="265"/>
    </row>
    <row r="26" spans="2:11" ht="22.5" customHeight="1" x14ac:dyDescent="0.3">
      <c r="B26" s="265"/>
      <c r="C26" s="283" t="str">
        <f>'Family Details'!B20</f>
        <v>Age of the 2nd child</v>
      </c>
      <c r="D26" s="283"/>
      <c r="E26" s="283"/>
      <c r="F26" s="343">
        <f>'Family Details'!C20</f>
        <v>15</v>
      </c>
      <c r="G26" s="343"/>
      <c r="H26" s="343"/>
      <c r="I26" s="343"/>
      <c r="J26" s="265"/>
      <c r="K26" s="265"/>
    </row>
    <row r="27" spans="2:11" ht="22.5" customHeight="1" x14ac:dyDescent="0.3">
      <c r="B27" s="265"/>
      <c r="C27" s="283"/>
      <c r="D27" s="283"/>
      <c r="E27" s="283"/>
      <c r="F27" s="287"/>
      <c r="G27" s="283"/>
      <c r="H27" s="283"/>
      <c r="I27" s="283"/>
      <c r="J27" s="265"/>
      <c r="K27" s="265"/>
    </row>
    <row r="28" spans="2:11" ht="22.5" customHeight="1" x14ac:dyDescent="0.3">
      <c r="B28" s="265"/>
      <c r="C28" s="283" t="str">
        <f>'Family Details'!B22</f>
        <v>Name of 3rd child</v>
      </c>
      <c r="D28" s="283"/>
      <c r="E28" s="283"/>
      <c r="F28" s="287" t="str">
        <f>'Family Details'!C22</f>
        <v>Neekunj</v>
      </c>
      <c r="G28" s="283"/>
      <c r="H28" s="283"/>
      <c r="I28" s="283"/>
      <c r="J28" s="265"/>
      <c r="K28" s="265"/>
    </row>
    <row r="29" spans="2:11" ht="22.5" customHeight="1" x14ac:dyDescent="0.3">
      <c r="B29" s="265"/>
      <c r="C29" s="283" t="str">
        <f>'Family Details'!B23</f>
        <v>Age of the 3rd child</v>
      </c>
      <c r="D29" s="283"/>
      <c r="E29" s="283"/>
      <c r="F29" s="343">
        <f>'Family Details'!C23</f>
        <v>10</v>
      </c>
      <c r="G29" s="343"/>
      <c r="H29" s="343"/>
      <c r="I29" s="343"/>
      <c r="J29" s="265"/>
      <c r="K29" s="265"/>
    </row>
    <row r="30" spans="2:11" ht="25.5" x14ac:dyDescent="0.3">
      <c r="B30" s="220"/>
      <c r="C30" s="283"/>
      <c r="D30" s="288"/>
      <c r="E30" s="288"/>
      <c r="F30" s="287"/>
      <c r="G30" s="276"/>
      <c r="H30" s="276"/>
      <c r="I30" s="276"/>
    </row>
    <row r="31" spans="2:11" ht="25.5" x14ac:dyDescent="0.3">
      <c r="B31" s="221"/>
      <c r="C31" s="283" t="str">
        <f>'Family Details'!B25</f>
        <v>Name of 4th child</v>
      </c>
      <c r="D31" s="289"/>
      <c r="E31" s="289"/>
      <c r="F31" s="287" t="str">
        <f>'Family Details'!C25</f>
        <v>Reena</v>
      </c>
      <c r="G31" s="276"/>
      <c r="H31" s="276"/>
      <c r="I31" s="276"/>
    </row>
    <row r="32" spans="2:11" ht="25.5" x14ac:dyDescent="0.3">
      <c r="B32" s="221"/>
      <c r="C32" s="283" t="str">
        <f>'Family Details'!B26</f>
        <v>Age of the 4th child</v>
      </c>
      <c r="D32" s="289"/>
      <c r="E32" s="289"/>
      <c r="F32" s="343">
        <f>'Family Details'!C26</f>
        <v>5</v>
      </c>
      <c r="G32" s="343"/>
      <c r="H32" s="343"/>
      <c r="I32" s="343"/>
    </row>
    <row r="33" spans="2:11" ht="20.25" x14ac:dyDescent="0.25">
      <c r="B33" s="221"/>
      <c r="C33" s="267"/>
      <c r="D33" s="221"/>
      <c r="E33" s="221"/>
      <c r="F33" s="221"/>
    </row>
    <row r="34" spans="2:11" ht="54.75" customHeight="1" x14ac:dyDescent="0.2">
      <c r="B34" s="221"/>
      <c r="C34" s="337" t="str">
        <f>'Family Details'!B30</f>
        <v>CERTIFIED FINANCIAL GOAL PLANNER DETAILS</v>
      </c>
      <c r="D34" s="337"/>
      <c r="E34" s="337"/>
      <c r="F34" s="337"/>
      <c r="G34" s="337"/>
      <c r="H34" s="337"/>
      <c r="I34" s="337"/>
    </row>
    <row r="35" spans="2:11" ht="27.75" x14ac:dyDescent="0.35">
      <c r="B35" s="221"/>
      <c r="C35" s="344" t="str">
        <f>'Family Details'!B32</f>
        <v>Name</v>
      </c>
      <c r="D35" s="344"/>
      <c r="E35" s="344"/>
      <c r="F35" s="314" t="str">
        <f>'Family Details'!C32</f>
        <v>Rakesh Agarwal</v>
      </c>
      <c r="G35" s="314"/>
      <c r="H35" s="314"/>
      <c r="I35" s="277"/>
    </row>
    <row r="36" spans="2:11" ht="54" customHeight="1" x14ac:dyDescent="0.35">
      <c r="B36" s="221"/>
      <c r="C36" s="345" t="str">
        <f>'Family Details'!B33</f>
        <v>Mobile Number</v>
      </c>
      <c r="D36" s="345"/>
      <c r="E36" s="345"/>
      <c r="F36" s="314">
        <f>'Family Details'!C33</f>
        <v>9830098765</v>
      </c>
      <c r="G36" s="314"/>
      <c r="H36" s="314"/>
      <c r="I36" s="277"/>
    </row>
    <row r="37" spans="2:11" ht="27.75" x14ac:dyDescent="0.35">
      <c r="B37" s="221"/>
      <c r="C37" s="344" t="str">
        <f>'Family Details'!B34</f>
        <v>Email ID</v>
      </c>
      <c r="D37" s="344"/>
      <c r="E37" s="344"/>
      <c r="F37" s="290" t="str">
        <f>'Family Details'!C34</f>
        <v>siddhimukim@gmail.com</v>
      </c>
      <c r="G37" s="277"/>
      <c r="H37" s="277"/>
      <c r="I37" s="277"/>
    </row>
    <row r="38" spans="2:11" ht="20.25" x14ac:dyDescent="0.25">
      <c r="B38" s="221"/>
      <c r="C38" s="267"/>
      <c r="D38" s="221"/>
      <c r="E38" s="221"/>
      <c r="F38" s="221"/>
    </row>
    <row r="39" spans="2:11" ht="17.25" x14ac:dyDescent="0.2">
      <c r="B39" s="328" t="str">
        <f>PROPER(CONCATENATE("FINANCIAL REPORT FOR ",'Family Details'!C8," &amp; FAMILY"))</f>
        <v>Financial Report For Akash Agarwal &amp; Family</v>
      </c>
      <c r="C39" s="328"/>
      <c r="D39" s="328"/>
      <c r="E39" s="328"/>
      <c r="F39" s="328"/>
      <c r="G39" s="328"/>
      <c r="H39" s="328"/>
      <c r="I39" s="328"/>
      <c r="J39" s="328"/>
      <c r="K39" s="328"/>
    </row>
    <row r="40" spans="2:11" ht="17.25" x14ac:dyDescent="0.2">
      <c r="B40" s="262"/>
      <c r="C40" s="262"/>
      <c r="D40" s="262"/>
      <c r="E40" s="262"/>
      <c r="F40" s="262"/>
      <c r="G40" s="262"/>
      <c r="H40" s="262"/>
      <c r="I40" s="262"/>
      <c r="J40" s="262"/>
      <c r="K40" s="262"/>
    </row>
    <row r="41" spans="2:11" ht="36" x14ac:dyDescent="0.2">
      <c r="B41" s="354" t="s">
        <v>172</v>
      </c>
      <c r="C41" s="354"/>
      <c r="D41" s="354"/>
      <c r="E41" s="354"/>
      <c r="F41" s="354"/>
      <c r="G41" s="354"/>
      <c r="H41" s="354"/>
      <c r="I41" s="354"/>
      <c r="J41" s="354"/>
      <c r="K41" s="354"/>
    </row>
    <row r="43" spans="2:11" ht="25.5" x14ac:dyDescent="0.2">
      <c r="B43" s="339" t="s">
        <v>173</v>
      </c>
      <c r="C43" s="339"/>
      <c r="E43" s="338" t="s">
        <v>207</v>
      </c>
      <c r="F43" s="338"/>
      <c r="G43" s="338"/>
      <c r="H43" s="338"/>
    </row>
    <row r="44" spans="2:11" ht="47.25" customHeight="1" x14ac:dyDescent="0.3">
      <c r="B44" s="355" t="s">
        <v>187</v>
      </c>
      <c r="C44" s="355"/>
      <c r="D44" s="296"/>
      <c r="E44" s="338"/>
      <c r="F44" s="338"/>
      <c r="G44" s="338"/>
      <c r="H44" s="338"/>
    </row>
    <row r="45" spans="2:11" ht="23.25" customHeight="1" x14ac:dyDescent="0.2">
      <c r="B45" s="291" t="s">
        <v>9</v>
      </c>
      <c r="C45" s="292">
        <f>Retirement!K3</f>
        <v>60</v>
      </c>
      <c r="D45" s="297"/>
      <c r="E45" s="295"/>
      <c r="F45" s="295"/>
      <c r="G45" s="295"/>
      <c r="H45" s="295"/>
    </row>
    <row r="46" spans="2:11" ht="39.75" x14ac:dyDescent="0.3">
      <c r="B46" s="291" t="s">
        <v>28</v>
      </c>
      <c r="C46" s="293">
        <v>0.05</v>
      </c>
      <c r="D46" s="298"/>
    </row>
    <row r="47" spans="2:11" ht="18.75" customHeight="1" x14ac:dyDescent="0.3">
      <c r="B47" s="291" t="s">
        <v>29</v>
      </c>
      <c r="C47" s="293">
        <v>0.05</v>
      </c>
      <c r="D47" s="298"/>
      <c r="E47" s="338" t="s">
        <v>206</v>
      </c>
      <c r="F47" s="338"/>
      <c r="G47" s="338"/>
      <c r="H47" s="338"/>
      <c r="I47" s="295"/>
      <c r="J47" s="295"/>
    </row>
    <row r="48" spans="2:11" ht="18.75" customHeight="1" x14ac:dyDescent="0.2">
      <c r="B48" s="291" t="s">
        <v>188</v>
      </c>
      <c r="C48" s="293">
        <f>Retirement!G16</f>
        <v>0.11</v>
      </c>
      <c r="D48" s="298"/>
      <c r="E48" s="338"/>
      <c r="F48" s="338"/>
      <c r="G48" s="338"/>
      <c r="H48" s="338"/>
      <c r="I48" s="295"/>
      <c r="J48" s="295"/>
    </row>
    <row r="49" spans="2:11" ht="18.75" customHeight="1" x14ac:dyDescent="0.3">
      <c r="B49" s="291" t="s">
        <v>10</v>
      </c>
      <c r="C49" s="293">
        <v>7.0000000000000007E-2</v>
      </c>
      <c r="D49" s="298"/>
      <c r="E49" s="338"/>
      <c r="F49" s="338"/>
      <c r="G49" s="338"/>
      <c r="H49" s="338"/>
      <c r="I49" s="295"/>
      <c r="J49" s="295"/>
    </row>
    <row r="50" spans="2:11" ht="59.25" x14ac:dyDescent="0.3">
      <c r="B50" s="291" t="s">
        <v>30</v>
      </c>
      <c r="C50" s="293">
        <v>1</v>
      </c>
      <c r="D50" s="298"/>
      <c r="E50" s="338"/>
      <c r="F50" s="338"/>
      <c r="G50" s="338"/>
      <c r="H50" s="338"/>
      <c r="I50" s="295"/>
      <c r="J50" s="295"/>
    </row>
    <row r="51" spans="2:11" ht="18.75" customHeight="1" x14ac:dyDescent="0.2">
      <c r="B51" s="291" t="s">
        <v>11</v>
      </c>
      <c r="C51" s="294">
        <v>90</v>
      </c>
      <c r="E51" s="279"/>
      <c r="F51" s="279"/>
      <c r="G51" s="279"/>
      <c r="H51" s="279"/>
      <c r="I51" s="279"/>
      <c r="J51" s="279"/>
      <c r="K51" s="279"/>
    </row>
    <row r="52" spans="2:11" ht="18.75" customHeight="1" x14ac:dyDescent="0.2">
      <c r="B52" s="263"/>
      <c r="C52" s="264"/>
      <c r="E52" s="279"/>
      <c r="F52" s="279"/>
      <c r="G52" s="279"/>
      <c r="H52" s="279"/>
      <c r="I52" s="279"/>
      <c r="J52" s="279"/>
      <c r="K52" s="279"/>
    </row>
    <row r="53" spans="2:11" ht="18.75" customHeight="1" x14ac:dyDescent="0.2">
      <c r="B53" s="358" t="str">
        <f>Summary!B6</f>
        <v>Akash Agarwal and Priyanka would need to accumulate Rs. 17.05 Cr by Akash Agarwal’s age of 60. This amount when invested in a 7% return portfolio will take care of 30 years of post-retirement household expenses.
The current annual expenses of Rs. 24 L will become Rs. 73.72 L in the first year of retirement due to inflation and continue to grow by 5% through the years.</v>
      </c>
      <c r="C53" s="359"/>
      <c r="D53" s="359"/>
      <c r="E53" s="359"/>
      <c r="F53" s="359"/>
      <c r="G53" s="359"/>
      <c r="H53" s="359"/>
      <c r="I53" s="359"/>
      <c r="J53" s="359"/>
      <c r="K53" s="360"/>
    </row>
    <row r="54" spans="2:11" ht="18.75" customHeight="1" x14ac:dyDescent="0.2">
      <c r="B54" s="361"/>
      <c r="C54" s="362"/>
      <c r="D54" s="362"/>
      <c r="E54" s="362"/>
      <c r="F54" s="362"/>
      <c r="G54" s="362"/>
      <c r="H54" s="362"/>
      <c r="I54" s="362"/>
      <c r="J54" s="362"/>
      <c r="K54" s="363"/>
    </row>
    <row r="55" spans="2:11" ht="18.75" customHeight="1" x14ac:dyDescent="0.2">
      <c r="B55" s="361"/>
      <c r="C55" s="362"/>
      <c r="D55" s="362"/>
      <c r="E55" s="362"/>
      <c r="F55" s="362"/>
      <c r="G55" s="362"/>
      <c r="H55" s="362"/>
      <c r="I55" s="362"/>
      <c r="J55" s="362"/>
      <c r="K55" s="363"/>
    </row>
    <row r="56" spans="2:11" ht="18.75" customHeight="1" x14ac:dyDescent="0.2">
      <c r="B56" s="361"/>
      <c r="C56" s="362"/>
      <c r="D56" s="362"/>
      <c r="E56" s="362"/>
      <c r="F56" s="362"/>
      <c r="G56" s="362"/>
      <c r="H56" s="362"/>
      <c r="I56" s="362"/>
      <c r="J56" s="362"/>
      <c r="K56" s="363"/>
    </row>
    <row r="57" spans="2:11" ht="18.75" customHeight="1" x14ac:dyDescent="0.2">
      <c r="B57" s="364"/>
      <c r="C57" s="365"/>
      <c r="D57" s="365"/>
      <c r="E57" s="365"/>
      <c r="F57" s="365"/>
      <c r="G57" s="365"/>
      <c r="H57" s="365"/>
      <c r="I57" s="365"/>
      <c r="J57" s="365"/>
      <c r="K57" s="366"/>
    </row>
    <row r="58" spans="2:11" ht="17.25" x14ac:dyDescent="0.2">
      <c r="B58" s="239"/>
      <c r="C58" s="240"/>
      <c r="E58" s="219"/>
      <c r="F58" s="219"/>
      <c r="G58" s="219"/>
      <c r="H58" s="219"/>
      <c r="I58" s="219"/>
      <c r="J58" s="219"/>
      <c r="K58" s="219"/>
    </row>
    <row r="59" spans="2:11" ht="33" x14ac:dyDescent="0.2">
      <c r="B59" s="239"/>
      <c r="C59" s="240"/>
      <c r="E59" s="317" t="s">
        <v>211</v>
      </c>
      <c r="F59" s="317"/>
      <c r="G59" s="317"/>
      <c r="H59" s="317"/>
      <c r="I59" s="317"/>
      <c r="J59" s="317"/>
      <c r="K59" s="317"/>
    </row>
    <row r="60" spans="2:11" ht="18.75" customHeight="1" x14ac:dyDescent="0.2">
      <c r="B60" s="239"/>
      <c r="C60" s="240"/>
      <c r="E60" s="299"/>
      <c r="F60" s="299"/>
      <c r="G60" s="299"/>
      <c r="H60" s="299"/>
      <c r="I60" s="299"/>
      <c r="J60" s="299"/>
      <c r="K60" s="299"/>
    </row>
    <row r="61" spans="2:11" ht="18.75" customHeight="1" x14ac:dyDescent="0.2">
      <c r="B61" s="239"/>
      <c r="C61" s="240"/>
    </row>
    <row r="62" spans="2:11" ht="17.25" x14ac:dyDescent="0.2">
      <c r="B62" s="239"/>
      <c r="C62" s="240"/>
      <c r="E62" s="219"/>
      <c r="F62" s="219"/>
      <c r="G62" s="219"/>
      <c r="H62" s="219"/>
      <c r="I62" s="219"/>
      <c r="J62" s="219"/>
      <c r="K62" s="219"/>
    </row>
    <row r="63" spans="2:11" ht="17.25" x14ac:dyDescent="0.2">
      <c r="B63" s="239"/>
      <c r="C63" s="240"/>
      <c r="E63" s="219"/>
      <c r="F63" s="219"/>
      <c r="G63" s="219"/>
      <c r="H63" s="219"/>
      <c r="I63" s="219"/>
      <c r="J63" s="219"/>
      <c r="K63" s="219"/>
    </row>
    <row r="64" spans="2:11" ht="17.25" x14ac:dyDescent="0.2">
      <c r="B64" s="239"/>
      <c r="C64" s="240"/>
      <c r="E64" s="219"/>
      <c r="F64" s="219"/>
      <c r="G64" s="219"/>
      <c r="H64" s="219"/>
      <c r="I64" s="219"/>
      <c r="J64" s="219"/>
      <c r="K64" s="219"/>
    </row>
    <row r="65" spans="2:11" ht="17.25" x14ac:dyDescent="0.2">
      <c r="B65" s="239"/>
      <c r="C65" s="240"/>
      <c r="E65" s="219"/>
      <c r="F65" s="219"/>
      <c r="G65" s="219"/>
      <c r="H65" s="219"/>
      <c r="I65" s="219"/>
      <c r="J65" s="219"/>
      <c r="K65" s="219"/>
    </row>
    <row r="66" spans="2:11" ht="17.25" x14ac:dyDescent="0.2">
      <c r="B66" s="239"/>
      <c r="C66" s="240"/>
      <c r="E66" s="219"/>
      <c r="F66" s="219"/>
      <c r="G66" s="219"/>
      <c r="H66" s="219"/>
      <c r="I66" s="219"/>
      <c r="J66" s="219"/>
      <c r="K66" s="219"/>
    </row>
    <row r="67" spans="2:11" ht="17.25" x14ac:dyDescent="0.2">
      <c r="B67" s="239"/>
      <c r="C67" s="240"/>
      <c r="E67" s="219"/>
      <c r="F67" s="219"/>
      <c r="G67" s="219"/>
      <c r="H67" s="219"/>
      <c r="I67" s="219"/>
      <c r="J67" s="219"/>
      <c r="K67" s="219"/>
    </row>
    <row r="68" spans="2:11" ht="17.25" x14ac:dyDescent="0.2">
      <c r="B68" s="239"/>
      <c r="C68" s="240"/>
      <c r="E68" s="219"/>
      <c r="F68" s="219"/>
      <c r="G68" s="219"/>
      <c r="H68" s="219"/>
      <c r="I68" s="219"/>
      <c r="J68" s="219"/>
      <c r="K68" s="219"/>
    </row>
    <row r="69" spans="2:11" ht="17.25" x14ac:dyDescent="0.2">
      <c r="B69" s="239"/>
      <c r="C69" s="240"/>
      <c r="E69" s="219"/>
      <c r="F69" s="219"/>
      <c r="G69" s="219"/>
      <c r="H69" s="219"/>
      <c r="I69" s="219"/>
      <c r="J69" s="219"/>
      <c r="K69" s="219"/>
    </row>
    <row r="70" spans="2:11" ht="17.25" x14ac:dyDescent="0.2">
      <c r="B70" s="239"/>
      <c r="C70" s="240"/>
      <c r="E70" s="219"/>
      <c r="F70" s="219"/>
      <c r="G70" s="219"/>
      <c r="H70" s="219"/>
      <c r="I70" s="219"/>
      <c r="J70" s="219"/>
      <c r="K70" s="219"/>
    </row>
    <row r="71" spans="2:11" ht="17.25" x14ac:dyDescent="0.2">
      <c r="B71" s="239"/>
      <c r="C71" s="240"/>
      <c r="E71" s="219"/>
      <c r="F71" s="219"/>
      <c r="G71" s="219"/>
      <c r="H71" s="219"/>
      <c r="I71" s="219"/>
      <c r="J71" s="219"/>
      <c r="K71" s="219"/>
    </row>
    <row r="72" spans="2:11" ht="17.25" x14ac:dyDescent="0.2">
      <c r="B72" s="239"/>
      <c r="C72" s="240"/>
      <c r="E72" s="219"/>
      <c r="F72" s="219"/>
      <c r="G72" s="219"/>
      <c r="H72" s="219"/>
      <c r="I72" s="219"/>
      <c r="J72" s="219"/>
      <c r="K72" s="219"/>
    </row>
    <row r="73" spans="2:11" ht="17.25" x14ac:dyDescent="0.2">
      <c r="B73" s="239"/>
      <c r="C73" s="240"/>
      <c r="E73" s="219"/>
      <c r="F73" s="219"/>
      <c r="G73" s="219"/>
      <c r="H73" s="219"/>
      <c r="I73" s="219"/>
      <c r="J73" s="219"/>
      <c r="K73" s="219"/>
    </row>
    <row r="74" spans="2:11" ht="17.25" x14ac:dyDescent="0.2">
      <c r="B74" s="239"/>
      <c r="C74" s="240"/>
      <c r="E74" s="219"/>
      <c r="F74" s="219"/>
      <c r="G74" s="219"/>
      <c r="H74" s="219"/>
      <c r="I74" s="219"/>
      <c r="J74" s="219"/>
      <c r="K74" s="219"/>
    </row>
    <row r="75" spans="2:11" ht="17.25" x14ac:dyDescent="0.2">
      <c r="B75" s="239"/>
      <c r="C75" s="240"/>
      <c r="E75" s="219"/>
      <c r="F75" s="219"/>
      <c r="G75" s="219"/>
      <c r="H75" s="219"/>
      <c r="I75" s="219"/>
      <c r="J75" s="219"/>
      <c r="K75" s="219"/>
    </row>
    <row r="76" spans="2:11" ht="17.25" x14ac:dyDescent="0.2">
      <c r="B76" s="239"/>
      <c r="C76" s="240"/>
      <c r="E76" s="219"/>
      <c r="F76" s="219"/>
      <c r="G76" s="219"/>
      <c r="H76" s="219"/>
      <c r="I76" s="219"/>
      <c r="J76" s="219"/>
      <c r="K76" s="219"/>
    </row>
    <row r="77" spans="2:11" ht="17.25" x14ac:dyDescent="0.2">
      <c r="B77" s="239"/>
      <c r="C77" s="240"/>
      <c r="E77" s="219"/>
      <c r="F77" s="219"/>
      <c r="G77" s="219"/>
      <c r="H77" s="219"/>
      <c r="I77" s="219"/>
      <c r="J77" s="219"/>
      <c r="K77" s="219"/>
    </row>
    <row r="78" spans="2:11" ht="17.25" x14ac:dyDescent="0.2">
      <c r="B78" s="239"/>
      <c r="C78" s="240"/>
      <c r="E78" s="219"/>
      <c r="F78" s="219"/>
      <c r="G78" s="219"/>
      <c r="H78" s="219"/>
      <c r="I78" s="219"/>
      <c r="J78" s="219"/>
      <c r="K78" s="219"/>
    </row>
    <row r="79" spans="2:11" ht="17.25" x14ac:dyDescent="0.2">
      <c r="B79" s="239"/>
      <c r="C79" s="240"/>
      <c r="E79" s="219"/>
      <c r="F79" s="219"/>
      <c r="G79" s="219"/>
      <c r="H79" s="219"/>
      <c r="I79" s="219"/>
      <c r="J79" s="219"/>
      <c r="K79" s="219"/>
    </row>
    <row r="80" spans="2:11" ht="17.25" x14ac:dyDescent="0.2">
      <c r="B80" s="239"/>
      <c r="C80" s="240"/>
      <c r="E80" s="219"/>
      <c r="F80" s="219"/>
      <c r="G80" s="219"/>
      <c r="H80" s="219"/>
      <c r="I80" s="219"/>
      <c r="J80" s="219"/>
      <c r="K80" s="219"/>
    </row>
    <row r="81" spans="2:11" ht="17.25" x14ac:dyDescent="0.2">
      <c r="B81" s="239"/>
      <c r="C81" s="240"/>
      <c r="E81" s="219"/>
      <c r="F81" s="219"/>
      <c r="G81" s="219"/>
      <c r="H81" s="219"/>
      <c r="I81" s="219"/>
      <c r="J81" s="219"/>
      <c r="K81" s="219"/>
    </row>
    <row r="82" spans="2:11" ht="17.25" x14ac:dyDescent="0.2">
      <c r="B82" s="239"/>
      <c r="C82" s="240"/>
      <c r="E82" s="219"/>
      <c r="F82" s="219"/>
      <c r="G82" s="219"/>
      <c r="H82" s="219"/>
      <c r="I82" s="219"/>
      <c r="J82" s="219"/>
      <c r="K82" s="219"/>
    </row>
    <row r="83" spans="2:11" ht="17.25" x14ac:dyDescent="0.2">
      <c r="B83" s="239"/>
      <c r="C83" s="240"/>
      <c r="E83" s="219"/>
      <c r="F83" s="219"/>
      <c r="G83" s="219"/>
      <c r="H83" s="219"/>
      <c r="I83" s="219"/>
      <c r="J83" s="219"/>
      <c r="K83" s="219"/>
    </row>
    <row r="84" spans="2:11" ht="17.25" x14ac:dyDescent="0.2">
      <c r="B84" s="239"/>
      <c r="C84" s="240"/>
      <c r="E84" s="219"/>
      <c r="F84" s="219"/>
      <c r="G84" s="219"/>
      <c r="H84" s="219"/>
      <c r="I84" s="219"/>
      <c r="J84" s="219"/>
      <c r="K84" s="219"/>
    </row>
    <row r="85" spans="2:11" ht="17.25" x14ac:dyDescent="0.2">
      <c r="B85" s="239"/>
      <c r="C85" s="240"/>
      <c r="E85" s="219"/>
      <c r="F85" s="219"/>
      <c r="G85" s="219"/>
      <c r="H85" s="219"/>
      <c r="I85" s="219"/>
      <c r="J85" s="219"/>
      <c r="K85" s="219"/>
    </row>
    <row r="86" spans="2:11" ht="17.25" x14ac:dyDescent="0.2">
      <c r="B86" s="239"/>
      <c r="C86" s="240"/>
      <c r="E86" s="219"/>
      <c r="F86" s="219"/>
      <c r="G86" s="219"/>
      <c r="H86" s="219"/>
      <c r="I86" s="219"/>
      <c r="J86" s="219"/>
      <c r="K86" s="219"/>
    </row>
    <row r="87" spans="2:11" ht="17.25" x14ac:dyDescent="0.2">
      <c r="B87" s="239"/>
      <c r="C87" s="240"/>
      <c r="E87" s="219"/>
      <c r="F87" s="219"/>
      <c r="G87" s="219"/>
      <c r="H87" s="219"/>
      <c r="I87" s="219"/>
      <c r="J87" s="219"/>
      <c r="K87" s="219"/>
    </row>
    <row r="88" spans="2:11" ht="17.25" x14ac:dyDescent="0.2">
      <c r="B88" s="239"/>
      <c r="C88" s="240"/>
      <c r="E88" s="219"/>
      <c r="F88" s="219"/>
      <c r="G88" s="219"/>
      <c r="H88" s="219"/>
      <c r="I88" s="219"/>
      <c r="J88" s="219"/>
      <c r="K88" s="219"/>
    </row>
    <row r="89" spans="2:11" ht="17.25" x14ac:dyDescent="0.2">
      <c r="B89" s="239"/>
      <c r="C89" s="240"/>
      <c r="E89" s="219"/>
      <c r="F89" s="219"/>
      <c r="G89" s="219"/>
      <c r="H89" s="219"/>
      <c r="I89" s="219"/>
      <c r="J89" s="219"/>
      <c r="K89" s="219"/>
    </row>
    <row r="90" spans="2:11" ht="17.25" x14ac:dyDescent="0.2">
      <c r="B90" s="239"/>
      <c r="C90" s="240"/>
      <c r="E90" s="219"/>
      <c r="F90" s="219"/>
      <c r="G90" s="219"/>
      <c r="H90" s="219"/>
      <c r="I90" s="219"/>
      <c r="J90" s="219"/>
      <c r="K90" s="219"/>
    </row>
    <row r="91" spans="2:11" ht="17.25" x14ac:dyDescent="0.2">
      <c r="B91" s="239"/>
      <c r="C91" s="240"/>
      <c r="E91" s="219"/>
      <c r="F91" s="219"/>
      <c r="G91" s="219"/>
      <c r="H91" s="219"/>
      <c r="I91" s="219"/>
      <c r="J91" s="219"/>
      <c r="K91" s="219"/>
    </row>
    <row r="92" spans="2:11" ht="17.25" x14ac:dyDescent="0.2">
      <c r="B92" s="239"/>
      <c r="C92" s="240"/>
      <c r="E92" s="219"/>
      <c r="F92" s="219"/>
      <c r="G92" s="219"/>
      <c r="H92" s="219"/>
      <c r="I92" s="219"/>
      <c r="J92" s="219"/>
      <c r="K92" s="219"/>
    </row>
    <row r="93" spans="2:11" ht="17.25" x14ac:dyDescent="0.2">
      <c r="B93" s="239"/>
      <c r="C93" s="240"/>
      <c r="E93" s="219"/>
      <c r="F93" s="219"/>
      <c r="G93" s="219"/>
      <c r="H93" s="219"/>
      <c r="I93" s="219"/>
      <c r="J93" s="219"/>
      <c r="K93" s="219"/>
    </row>
    <row r="94" spans="2:11" ht="17.25" x14ac:dyDescent="0.2">
      <c r="B94" s="328" t="str">
        <f>PROPER(CONCATENATE("FINANCIAL REPORT FOR ",'Family Details'!C8," &amp; FAMILY"))</f>
        <v>Financial Report For Akash Agarwal &amp; Family</v>
      </c>
      <c r="C94" s="328"/>
      <c r="D94" s="328"/>
      <c r="E94" s="328"/>
      <c r="F94" s="328"/>
      <c r="G94" s="328"/>
      <c r="H94" s="328"/>
      <c r="I94" s="328"/>
      <c r="J94" s="328"/>
      <c r="K94" s="328"/>
    </row>
    <row r="95" spans="2:11" ht="17.25" x14ac:dyDescent="0.2">
      <c r="B95" s="281"/>
      <c r="C95" s="281"/>
      <c r="D95" s="281"/>
      <c r="E95" s="281"/>
      <c r="F95" s="281"/>
      <c r="G95" s="281"/>
      <c r="H95" s="281"/>
      <c r="I95" s="281"/>
      <c r="J95" s="281"/>
      <c r="K95" s="281"/>
    </row>
    <row r="96" spans="2:11" ht="35.25" customHeight="1" x14ac:dyDescent="0.2">
      <c r="B96" s="324" t="s">
        <v>209</v>
      </c>
      <c r="C96" s="324"/>
      <c r="D96" s="324"/>
      <c r="E96" s="325"/>
      <c r="F96" s="330" t="s">
        <v>210</v>
      </c>
      <c r="G96" s="330"/>
      <c r="H96" s="330"/>
      <c r="I96" s="330"/>
      <c r="J96" s="330"/>
      <c r="K96" s="330"/>
    </row>
    <row r="97" spans="2:13" ht="35.25" customHeight="1" x14ac:dyDescent="0.2">
      <c r="B97" s="324"/>
      <c r="C97" s="324"/>
      <c r="D97" s="324"/>
      <c r="E97" s="325"/>
      <c r="F97" s="330"/>
      <c r="G97" s="330"/>
      <c r="H97" s="330"/>
      <c r="I97" s="330"/>
      <c r="J97" s="330"/>
      <c r="K97" s="330"/>
    </row>
    <row r="98" spans="2:13" x14ac:dyDescent="0.2">
      <c r="B98" s="324"/>
      <c r="C98" s="324"/>
      <c r="D98" s="324"/>
      <c r="E98" s="325"/>
      <c r="F98" s="330"/>
      <c r="G98" s="330"/>
      <c r="H98" s="330"/>
      <c r="I98" s="330"/>
      <c r="J98" s="330"/>
      <c r="K98" s="330"/>
    </row>
    <row r="99" spans="2:13" x14ac:dyDescent="0.2">
      <c r="B99" s="324"/>
      <c r="C99" s="324"/>
      <c r="D99" s="324"/>
      <c r="E99" s="325"/>
      <c r="F99" s="330"/>
      <c r="G99" s="330"/>
      <c r="H99" s="330"/>
      <c r="I99" s="330"/>
      <c r="J99" s="330"/>
      <c r="K99" s="330"/>
    </row>
    <row r="104" spans="2:13" ht="101.25" customHeight="1" x14ac:dyDescent="0.3">
      <c r="B104" s="301" t="str">
        <f>Working!F31</f>
        <v>Age</v>
      </c>
      <c r="C104" s="301" t="str">
        <f>Working!G31</f>
        <v>Yearly Expense</v>
      </c>
      <c r="D104" s="326" t="str">
        <f>Working!H31</f>
        <v>Corpus value</v>
      </c>
      <c r="E104" s="327"/>
      <c r="F104" s="326" t="str">
        <f>Retirement!G27</f>
        <v>Age Of Withdrawal 
(At end of each age)</v>
      </c>
      <c r="G104" s="326"/>
      <c r="H104" s="326" t="str">
        <f>Retirement!H27</f>
        <v>Withdrawal Required 
(B-O-Y)</v>
      </c>
      <c r="I104" s="326"/>
      <c r="J104" s="326" t="str">
        <f>Retirement!J27</f>
        <v>Corpus Balance after Withdrawal</v>
      </c>
      <c r="K104" s="326"/>
      <c r="L104" s="329"/>
      <c r="M104" s="329"/>
    </row>
    <row r="105" spans="2:13" s="300" customFormat="1" ht="20.25" x14ac:dyDescent="0.25">
      <c r="B105" s="302">
        <f ca="1">Working!F32</f>
        <v>37</v>
      </c>
      <c r="C105" s="303">
        <f>Working!C32</f>
        <v>2400000</v>
      </c>
      <c r="D105" s="316">
        <f>Working!D32</f>
        <v>0</v>
      </c>
      <c r="E105" s="316"/>
      <c r="F105" s="323">
        <f>Retirement!G28</f>
        <v>60</v>
      </c>
      <c r="G105" s="323"/>
      <c r="H105" s="315">
        <f>Retirement!H28</f>
        <v>7371657.0142027456</v>
      </c>
      <c r="I105" s="315"/>
      <c r="J105" s="315">
        <f>Retirement!J28</f>
        <v>163096294.0774039</v>
      </c>
      <c r="K105" s="315"/>
      <c r="L105" s="304"/>
    </row>
    <row r="106" spans="2:13" s="300" customFormat="1" ht="20.25" x14ac:dyDescent="0.25">
      <c r="B106" s="302">
        <f>Working!B33</f>
        <v>38</v>
      </c>
      <c r="C106" s="303">
        <f>Working!C33</f>
        <v>2520000</v>
      </c>
      <c r="D106" s="316">
        <f>Working!D33</f>
        <v>1870234.8807983585</v>
      </c>
      <c r="E106" s="316"/>
      <c r="F106" s="323">
        <f>Retirement!G29</f>
        <v>61</v>
      </c>
      <c r="G106" s="323"/>
      <c r="H106" s="315">
        <f>Retirement!H29</f>
        <v>7740239.8649128834</v>
      </c>
      <c r="I106" s="315"/>
      <c r="J106" s="315">
        <f>Retirement!J29</f>
        <v>166772794.79790929</v>
      </c>
      <c r="K106" s="315"/>
      <c r="L106" s="304"/>
    </row>
    <row r="107" spans="2:13" s="300" customFormat="1" ht="20.25" x14ac:dyDescent="0.25">
      <c r="B107" s="302">
        <f>Working!B34</f>
        <v>39</v>
      </c>
      <c r="C107" s="303">
        <f>Working!C34</f>
        <v>2646000</v>
      </c>
      <c r="D107" s="316">
        <f>Working!D34</f>
        <v>3946195.5984845334</v>
      </c>
      <c r="E107" s="316"/>
      <c r="F107" s="323">
        <f>Retirement!G30</f>
        <v>62</v>
      </c>
      <c r="G107" s="323"/>
      <c r="H107" s="315">
        <f>Retirement!H30</f>
        <v>8127251.8581585279</v>
      </c>
      <c r="I107" s="315"/>
      <c r="J107" s="315">
        <f>Retirement!J30</f>
        <v>170319638.57560441</v>
      </c>
      <c r="K107" s="315"/>
      <c r="L107" s="304"/>
    </row>
    <row r="108" spans="2:13" s="300" customFormat="1" ht="20.25" x14ac:dyDescent="0.25">
      <c r="B108" s="302">
        <f>Working!B35</f>
        <v>40</v>
      </c>
      <c r="C108" s="303">
        <f>Working!C35</f>
        <v>2778300</v>
      </c>
      <c r="D108" s="316">
        <f>Working!D35</f>
        <v>6250511.995116191</v>
      </c>
      <c r="E108" s="316"/>
      <c r="F108" s="323">
        <f>Retirement!G31</f>
        <v>63</v>
      </c>
      <c r="G108" s="323"/>
      <c r="H108" s="315">
        <f>Retirement!H31</f>
        <v>8533614.4510664549</v>
      </c>
      <c r="I108" s="315"/>
      <c r="J108" s="315">
        <f>Retirement!J31</f>
        <v>173708398.82483026</v>
      </c>
      <c r="K108" s="315"/>
      <c r="L108" s="304"/>
    </row>
    <row r="109" spans="2:13" s="300" customFormat="1" ht="20.25" x14ac:dyDescent="0.25">
      <c r="B109" s="302">
        <f>Working!B36</f>
        <v>41</v>
      </c>
      <c r="C109" s="303">
        <f>Working!C36</f>
        <v>2917215</v>
      </c>
      <c r="D109" s="316">
        <f>Working!D36</f>
        <v>8808303.1953773275</v>
      </c>
      <c r="E109" s="316"/>
      <c r="F109" s="323">
        <f>Retirement!G32</f>
        <v>64</v>
      </c>
      <c r="G109" s="323"/>
      <c r="H109" s="315">
        <f>Retirement!H32</f>
        <v>8960295.1736197788</v>
      </c>
      <c r="I109" s="315"/>
      <c r="J109" s="315">
        <f>Retirement!J32</f>
        <v>176907691.56894863</v>
      </c>
      <c r="K109" s="315"/>
      <c r="L109" s="304"/>
    </row>
    <row r="110" spans="2:13" s="300" customFormat="1" ht="20.25" x14ac:dyDescent="0.25">
      <c r="B110" s="302">
        <f>Working!B37</f>
        <v>42</v>
      </c>
      <c r="C110" s="303">
        <f>Working!C37</f>
        <v>3063075.75</v>
      </c>
      <c r="D110" s="316">
        <f>Working!D37</f>
        <v>11647451.427667189</v>
      </c>
      <c r="E110" s="316"/>
      <c r="F110" s="323">
        <f>Retirement!G33</f>
        <v>65</v>
      </c>
      <c r="G110" s="323"/>
      <c r="H110" s="315">
        <f>Retirement!H33</f>
        <v>9408309.9323007688</v>
      </c>
      <c r="I110" s="315"/>
      <c r="J110" s="315">
        <f>Retirement!J33</f>
        <v>179882920.04647428</v>
      </c>
      <c r="K110" s="315"/>
      <c r="L110" s="304"/>
    </row>
    <row r="111" spans="2:13" s="300" customFormat="1" ht="20.25" x14ac:dyDescent="0.25">
      <c r="B111" s="302">
        <f>Working!B38</f>
        <v>43</v>
      </c>
      <c r="C111" s="303">
        <f>Working!C38</f>
        <v>3216229.5375000001</v>
      </c>
      <c r="D111" s="316">
        <f>Working!D38</f>
        <v>14798905.965508932</v>
      </c>
      <c r="E111" s="316"/>
      <c r="F111" s="323">
        <f>Retirement!G34</f>
        <v>66</v>
      </c>
      <c r="G111" s="323"/>
      <c r="H111" s="315">
        <f>Retirement!H34</f>
        <v>9878725.428915808</v>
      </c>
      <c r="I111" s="315"/>
      <c r="J111" s="315">
        <f>Retirement!J34</f>
        <v>182595999.02081168</v>
      </c>
      <c r="K111" s="315"/>
      <c r="L111" s="304"/>
    </row>
    <row r="112" spans="2:13" s="300" customFormat="1" ht="20.25" x14ac:dyDescent="0.25">
      <c r="B112" s="302">
        <f>Working!B39</f>
        <v>44</v>
      </c>
      <c r="C112" s="303">
        <f>Working!C39</f>
        <v>3377041.0143750003</v>
      </c>
      <c r="D112" s="316">
        <f>Working!D39</f>
        <v>18297020.502513267</v>
      </c>
      <c r="E112" s="316"/>
      <c r="F112" s="323">
        <f>Retirement!G35</f>
        <v>67</v>
      </c>
      <c r="G112" s="323"/>
      <c r="H112" s="315">
        <f>Retirement!H35</f>
        <v>10372661.700361598</v>
      </c>
      <c r="I112" s="315"/>
      <c r="J112" s="315">
        <f>Retirement!J35</f>
        <v>185005057.2519069</v>
      </c>
      <c r="K112" s="315"/>
      <c r="L112" s="304"/>
    </row>
    <row r="113" spans="2:12" s="300" customFormat="1" ht="20.25" x14ac:dyDescent="0.25">
      <c r="B113" s="302">
        <f>Working!B40</f>
        <v>45</v>
      </c>
      <c r="C113" s="303">
        <f>Working!C40</f>
        <v>3545893.0650937506</v>
      </c>
      <c r="D113" s="316">
        <f>Working!D40</f>
        <v>22179927.638588082</v>
      </c>
      <c r="E113" s="316"/>
      <c r="F113" s="323">
        <f>Retirement!G36</f>
        <v>68</v>
      </c>
      <c r="G113" s="323"/>
      <c r="H113" s="315">
        <f>Retirement!H36</f>
        <v>10891294.785379678</v>
      </c>
      <c r="I113" s="315"/>
      <c r="J113" s="315">
        <f>Retirement!J36</f>
        <v>187064116.47416073</v>
      </c>
      <c r="K113" s="315"/>
      <c r="L113" s="304"/>
    </row>
    <row r="114" spans="2:12" s="300" customFormat="1" ht="20.25" x14ac:dyDescent="0.25">
      <c r="B114" s="302">
        <f>Working!B41</f>
        <v>46</v>
      </c>
      <c r="C114" s="303">
        <f>Working!C41</f>
        <v>3723187.7183484384</v>
      </c>
      <c r="D114" s="316">
        <f>Working!D41</f>
        <v>26489954.55963112</v>
      </c>
      <c r="E114" s="316"/>
      <c r="F114" s="323">
        <f>Retirement!G37</f>
        <v>69</v>
      </c>
      <c r="G114" s="323"/>
      <c r="H114" s="315">
        <f>Retirement!H37</f>
        <v>11435859.524648663</v>
      </c>
      <c r="I114" s="315"/>
      <c r="J114" s="315">
        <f>Retirement!J37</f>
        <v>188722745.10270333</v>
      </c>
      <c r="K114" s="315"/>
      <c r="L114" s="304"/>
    </row>
    <row r="115" spans="2:12" s="300" customFormat="1" ht="20.25" x14ac:dyDescent="0.25">
      <c r="B115" s="302">
        <f>Working!B42</f>
        <v>47</v>
      </c>
      <c r="C115" s="303">
        <f>Working!C42</f>
        <v>3909347.1042658603</v>
      </c>
      <c r="D115" s="316">
        <f>Working!D42</f>
        <v>31274084.441988885</v>
      </c>
      <c r="E115" s="316"/>
      <c r="F115" s="323">
        <f>Retirement!G38</f>
        <v>70</v>
      </c>
      <c r="G115" s="323"/>
      <c r="H115" s="315">
        <f>Retirement!H38</f>
        <v>12007652.500881096</v>
      </c>
      <c r="I115" s="315"/>
      <c r="J115" s="315">
        <f>Retirement!J38</f>
        <v>189925684.75901148</v>
      </c>
      <c r="K115" s="315"/>
      <c r="L115" s="304"/>
    </row>
    <row r="116" spans="2:12" s="300" customFormat="1" ht="20.25" x14ac:dyDescent="0.25">
      <c r="B116" s="302">
        <f>Working!B43</f>
        <v>48</v>
      </c>
      <c r="C116" s="303">
        <f>Working!C43</f>
        <v>4104814.4594791536</v>
      </c>
      <c r="D116" s="316">
        <f>Working!D43</f>
        <v>36584468.611406013</v>
      </c>
      <c r="E116" s="316"/>
      <c r="F116" s="323">
        <f>Retirement!G39</f>
        <v>71</v>
      </c>
      <c r="G116" s="323"/>
      <c r="H116" s="315">
        <f>Retirement!H39</f>
        <v>12608035.125925152</v>
      </c>
      <c r="I116" s="315"/>
      <c r="J116" s="315">
        <f>Retirement!J39</f>
        <v>190612447.56621712</v>
      </c>
      <c r="K116" s="315"/>
      <c r="L116" s="304"/>
    </row>
    <row r="117" spans="2:12" s="300" customFormat="1" ht="20.25" x14ac:dyDescent="0.25">
      <c r="B117" s="302">
        <f>Working!B44</f>
        <v>49</v>
      </c>
      <c r="C117" s="303">
        <f>Working!C44</f>
        <v>4310055.1824531117</v>
      </c>
      <c r="D117" s="316">
        <f>Working!D44</f>
        <v>42478995.03945902</v>
      </c>
      <c r="E117" s="316"/>
      <c r="F117" s="323">
        <f>Retirement!G40</f>
        <v>72</v>
      </c>
      <c r="G117" s="323"/>
      <c r="H117" s="315">
        <f>Retirement!H40</f>
        <v>13238436.88222141</v>
      </c>
      <c r="I117" s="315"/>
      <c r="J117" s="315">
        <f>Retirement!J40</f>
        <v>190716882.01363093</v>
      </c>
      <c r="K117" s="315"/>
      <c r="L117" s="304"/>
    </row>
    <row r="118" spans="2:12" s="300" customFormat="1" ht="20.25" x14ac:dyDescent="0.25">
      <c r="B118" s="302">
        <f>Working!B45</f>
        <v>50</v>
      </c>
      <c r="C118" s="303">
        <f>Working!C45</f>
        <v>4525557.9415757675</v>
      </c>
      <c r="D118" s="316">
        <f>Working!D45</f>
        <v>49021919.374597847</v>
      </c>
      <c r="E118" s="316"/>
      <c r="F118" s="323">
        <f>Retirement!G41</f>
        <v>73</v>
      </c>
      <c r="G118" s="323"/>
      <c r="H118" s="315">
        <f>Retirement!H41</f>
        <v>13900358.726332482</v>
      </c>
      <c r="I118" s="315"/>
      <c r="J118" s="315">
        <f>Retirement!J41</f>
        <v>190166705.02825263</v>
      </c>
      <c r="K118" s="315"/>
      <c r="L118" s="304"/>
    </row>
    <row r="119" spans="2:12" s="300" customFormat="1" ht="20.25" x14ac:dyDescent="0.25">
      <c r="B119" s="302">
        <f>Working!B46</f>
        <v>51</v>
      </c>
      <c r="C119" s="303">
        <f>Working!C46</f>
        <v>4751835.8386545563</v>
      </c>
      <c r="D119" s="316">
        <f>Working!D46</f>
        <v>56284565.386601947</v>
      </c>
      <c r="E119" s="316"/>
      <c r="F119" s="323">
        <f>Retirement!G42</f>
        <v>74</v>
      </c>
      <c r="G119" s="323"/>
      <c r="H119" s="315">
        <f>Retirement!H42</f>
        <v>14595376.662649106</v>
      </c>
      <c r="I119" s="315"/>
      <c r="J119" s="315">
        <f>Retirement!J42</f>
        <v>188882997.71758124</v>
      </c>
      <c r="K119" s="315"/>
      <c r="L119" s="304"/>
    </row>
    <row r="120" spans="2:12" s="300" customFormat="1" ht="20.25" x14ac:dyDescent="0.25">
      <c r="B120" s="302">
        <f>Working!B47</f>
        <v>52</v>
      </c>
      <c r="C120" s="303">
        <f>Working!C47</f>
        <v>4989427.6305872845</v>
      </c>
      <c r="D120" s="316">
        <f>Working!D47</f>
        <v>64346102.459926501</v>
      </c>
      <c r="E120" s="316"/>
      <c r="F120" s="323">
        <f>Retirement!G43</f>
        <v>75</v>
      </c>
      <c r="G120" s="323"/>
      <c r="H120" s="315">
        <f>Retirement!H43</f>
        <v>15325145.495781561</v>
      </c>
      <c r="I120" s="315"/>
      <c r="J120" s="315">
        <f>Retirement!J43</f>
        <v>186779662.06203038</v>
      </c>
      <c r="K120" s="315"/>
      <c r="L120" s="304"/>
    </row>
    <row r="121" spans="2:12" s="300" customFormat="1" ht="20.25" x14ac:dyDescent="0.25">
      <c r="B121" s="302">
        <f>Working!B48</f>
        <v>53</v>
      </c>
      <c r="C121" s="303">
        <f>Working!C48</f>
        <v>5238899.0121166492</v>
      </c>
      <c r="D121" s="316">
        <f>Working!D48</f>
        <v>73294408.611316755</v>
      </c>
      <c r="E121" s="316"/>
      <c r="F121" s="323">
        <f>Retirement!G44</f>
        <v>76</v>
      </c>
      <c r="G121" s="323"/>
      <c r="H121" s="315">
        <f>Retirement!H44</f>
        <v>16091402.77057064</v>
      </c>
      <c r="I121" s="315"/>
      <c r="J121" s="315">
        <f>Retirement!J44</f>
        <v>183762835.63580188</v>
      </c>
      <c r="K121" s="315"/>
      <c r="L121" s="304"/>
    </row>
    <row r="122" spans="2:12" s="300" customFormat="1" ht="20.25" x14ac:dyDescent="0.25">
      <c r="B122" s="302">
        <f>Working!B49</f>
        <v>54</v>
      </c>
      <c r="C122" s="303">
        <f>Working!C49</f>
        <v>5500843.9627224822</v>
      </c>
      <c r="D122" s="316">
        <f>Working!D49</f>
        <v>83227028.439359933</v>
      </c>
      <c r="E122" s="316"/>
      <c r="F122" s="323">
        <f>Retirement!G45</f>
        <v>77</v>
      </c>
      <c r="G122" s="323"/>
      <c r="H122" s="315">
        <f>Retirement!H45</f>
        <v>16895972.909099173</v>
      </c>
      <c r="I122" s="315"/>
      <c r="J122" s="315">
        <f>Retirement!J45</f>
        <v>179730261.22120887</v>
      </c>
      <c r="K122" s="315"/>
      <c r="L122" s="304"/>
    </row>
    <row r="123" spans="2:12" s="300" customFormat="1" ht="20.25" x14ac:dyDescent="0.25">
      <c r="B123" s="302">
        <f>Working!B50</f>
        <v>55</v>
      </c>
      <c r="C123" s="303">
        <f>Working!C50</f>
        <v>5775886.1608586069</v>
      </c>
      <c r="D123" s="316">
        <f>Working!D50</f>
        <v>94252236.448487848</v>
      </c>
      <c r="E123" s="316"/>
      <c r="F123" s="323">
        <f>Retirement!G46</f>
        <v>78</v>
      </c>
      <c r="G123" s="323"/>
      <c r="H123" s="315">
        <f>Retirement!H46</f>
        <v>17740771.554554131</v>
      </c>
      <c r="I123" s="315"/>
      <c r="J123" s="315">
        <f>Retirement!J46</f>
        <v>174570607.95213938</v>
      </c>
      <c r="K123" s="315"/>
      <c r="L123" s="304"/>
    </row>
    <row r="124" spans="2:12" s="300" customFormat="1" ht="20.25" x14ac:dyDescent="0.25">
      <c r="B124" s="302">
        <f>Working!B51</f>
        <v>56</v>
      </c>
      <c r="C124" s="303">
        <f>Working!C51</f>
        <v>6064680.4689015374</v>
      </c>
      <c r="D124" s="316">
        <f>Working!D51</f>
        <v>106490217.33861981</v>
      </c>
      <c r="E124" s="316"/>
      <c r="F124" s="323">
        <f>Retirement!G47</f>
        <v>79</v>
      </c>
      <c r="G124" s="323"/>
      <c r="H124" s="315">
        <f>Retirement!H47</f>
        <v>18627810.13228184</v>
      </c>
      <c r="I124" s="315"/>
      <c r="J124" s="315">
        <f>Retirement!J47</f>
        <v>168162740.37650731</v>
      </c>
      <c r="K124" s="315"/>
      <c r="L124" s="304"/>
    </row>
    <row r="125" spans="2:12" s="300" customFormat="1" ht="20.25" x14ac:dyDescent="0.25">
      <c r="B125" s="302">
        <f>Working!B52</f>
        <v>57</v>
      </c>
      <c r="C125" s="303">
        <f>Working!C52</f>
        <v>6367914.4923466146</v>
      </c>
      <c r="D125" s="316">
        <f>Working!D52</f>
        <v>120074376.12666634</v>
      </c>
      <c r="E125" s="316"/>
      <c r="F125" s="323">
        <f>Retirement!G48</f>
        <v>80</v>
      </c>
      <c r="G125" s="323"/>
      <c r="H125" s="315">
        <f>Retirement!H48</f>
        <v>19559200.638895933</v>
      </c>
      <c r="I125" s="315"/>
      <c r="J125" s="315">
        <f>Retirement!J48</f>
        <v>160374931.5639669</v>
      </c>
      <c r="K125" s="315"/>
      <c r="L125" s="304"/>
    </row>
    <row r="126" spans="2:12" s="300" customFormat="1" ht="20.25" x14ac:dyDescent="0.25">
      <c r="B126" s="302">
        <f>Working!B53</f>
        <v>58</v>
      </c>
      <c r="C126" s="303">
        <f>Working!C53</f>
        <v>6686310.2169639459</v>
      </c>
      <c r="D126" s="316">
        <f>Working!D53</f>
        <v>135152792.38139793</v>
      </c>
      <c r="E126" s="316"/>
      <c r="F126" s="323">
        <f>Retirement!G49</f>
        <v>81</v>
      </c>
      <c r="G126" s="323"/>
      <c r="H126" s="315">
        <f>Retirement!H49</f>
        <v>20537160.670840729</v>
      </c>
      <c r="I126" s="315"/>
      <c r="J126" s="315">
        <f>Retirement!J49</f>
        <v>151064016.10260385</v>
      </c>
      <c r="K126" s="315"/>
      <c r="L126" s="304"/>
    </row>
    <row r="127" spans="2:12" s="300" customFormat="1" ht="20.25" x14ac:dyDescent="0.25">
      <c r="B127" s="302">
        <f>Working!B54</f>
        <v>59</v>
      </c>
      <c r="C127" s="303">
        <f>Working!C54</f>
        <v>7020625.727812143</v>
      </c>
      <c r="D127" s="316">
        <f>Working!D54</f>
        <v>151889834.42415002</v>
      </c>
      <c r="E127" s="316"/>
      <c r="F127" s="323">
        <f>Retirement!G50</f>
        <v>82</v>
      </c>
      <c r="G127" s="323"/>
      <c r="H127" s="315">
        <f>Retirement!H50</f>
        <v>21564018.704382766</v>
      </c>
      <c r="I127" s="315"/>
      <c r="J127" s="315">
        <f>Retirement!J50</f>
        <v>140074478.52540335</v>
      </c>
      <c r="K127" s="315"/>
      <c r="L127" s="304"/>
    </row>
    <row r="128" spans="2:12" s="300" customFormat="1" ht="20.25" x14ac:dyDescent="0.25">
      <c r="B128" s="302">
        <f>Working!B55</f>
        <v>60</v>
      </c>
      <c r="C128" s="303">
        <f>Working!C55</f>
        <v>7371657.0142027503</v>
      </c>
      <c r="D128" s="316">
        <f>Working!D55</f>
        <v>170467951.0916048</v>
      </c>
      <c r="E128" s="316"/>
      <c r="F128" s="323">
        <f>Retirement!G51</f>
        <v>83</v>
      </c>
      <c r="G128" s="323"/>
      <c r="H128" s="315">
        <f>Retirement!H51</f>
        <v>22642219.639601905</v>
      </c>
      <c r="I128" s="315"/>
      <c r="J128" s="315">
        <f>Retirement!J51</f>
        <v>127237472.3825797</v>
      </c>
      <c r="K128" s="315"/>
      <c r="L128" s="304"/>
    </row>
    <row r="129" spans="2:12" s="300" customFormat="1" ht="20.25" x14ac:dyDescent="0.25">
      <c r="B129" s="302" t="str">
        <f>Working!B56</f>
        <v/>
      </c>
      <c r="C129" s="303" t="str">
        <f>Working!C56</f>
        <v/>
      </c>
      <c r="D129" s="316" t="str">
        <f>Working!D56</f>
        <v/>
      </c>
      <c r="E129" s="316"/>
      <c r="F129" s="323">
        <f>Retirement!G52</f>
        <v>84</v>
      </c>
      <c r="G129" s="323"/>
      <c r="H129" s="315">
        <f>Retirement!H52</f>
        <v>23774330.621582001</v>
      </c>
      <c r="I129" s="315"/>
      <c r="J129" s="315">
        <f>Retirement!J52</f>
        <v>112369764.82777828</v>
      </c>
      <c r="K129" s="315"/>
      <c r="L129" s="304"/>
    </row>
    <row r="130" spans="2:12" s="300" customFormat="1" ht="20.25" x14ac:dyDescent="0.25">
      <c r="B130" s="302" t="str">
        <f>Working!B57</f>
        <v/>
      </c>
      <c r="C130" s="303" t="str">
        <f>Working!C57</f>
        <v/>
      </c>
      <c r="D130" s="316" t="str">
        <f>Working!D57</f>
        <v/>
      </c>
      <c r="E130" s="316"/>
      <c r="F130" s="323">
        <f>Retirement!G53</f>
        <v>85</v>
      </c>
      <c r="G130" s="323"/>
      <c r="H130" s="315">
        <f>Retirement!H53</f>
        <v>24963047.152661104</v>
      </c>
      <c r="I130" s="315"/>
      <c r="J130" s="315">
        <f>Retirement!J53</f>
        <v>95272601.213061661</v>
      </c>
      <c r="K130" s="315"/>
      <c r="L130" s="304"/>
    </row>
    <row r="131" spans="2:12" s="300" customFormat="1" ht="20.25" x14ac:dyDescent="0.25">
      <c r="B131" s="302" t="str">
        <f>Working!B58</f>
        <v/>
      </c>
      <c r="C131" s="303" t="str">
        <f>Working!C58</f>
        <v/>
      </c>
      <c r="D131" s="316" t="str">
        <f>Working!D58</f>
        <v/>
      </c>
      <c r="E131" s="316"/>
      <c r="F131" s="323">
        <f>Retirement!G54</f>
        <v>86</v>
      </c>
      <c r="G131" s="323"/>
      <c r="H131" s="315">
        <f>Retirement!H54</f>
        <v>26211199.510294162</v>
      </c>
      <c r="I131" s="315"/>
      <c r="J131" s="315">
        <f>Retirement!J54</f>
        <v>75730483.787681818</v>
      </c>
      <c r="K131" s="315"/>
      <c r="L131" s="304"/>
    </row>
    <row r="132" spans="2:12" s="300" customFormat="1" ht="20.25" x14ac:dyDescent="0.25">
      <c r="B132" s="302" t="str">
        <f>Working!B59</f>
        <v/>
      </c>
      <c r="C132" s="303" t="str">
        <f>Working!C59</f>
        <v/>
      </c>
      <c r="D132" s="316" t="str">
        <f>Working!D59</f>
        <v/>
      </c>
      <c r="E132" s="316"/>
      <c r="F132" s="323">
        <f>Retirement!G55</f>
        <v>87</v>
      </c>
      <c r="G132" s="323"/>
      <c r="H132" s="315">
        <f>Retirement!H55</f>
        <v>27521759.485808872</v>
      </c>
      <c r="I132" s="315"/>
      <c r="J132" s="315">
        <f>Retirement!J55</f>
        <v>53509858.167010672</v>
      </c>
      <c r="K132" s="315"/>
      <c r="L132" s="304"/>
    </row>
    <row r="133" spans="2:12" s="300" customFormat="1" ht="20.25" x14ac:dyDescent="0.25">
      <c r="B133" s="302" t="str">
        <f>Working!B60</f>
        <v/>
      </c>
      <c r="C133" s="303" t="str">
        <f>Working!C60</f>
        <v/>
      </c>
      <c r="D133" s="316" t="str">
        <f>Working!D60</f>
        <v/>
      </c>
      <c r="E133" s="316"/>
      <c r="F133" s="323">
        <f>Retirement!G56</f>
        <v>88</v>
      </c>
      <c r="G133" s="323"/>
      <c r="H133" s="315">
        <f>Retirement!H56</f>
        <v>28897847.460099317</v>
      </c>
      <c r="I133" s="315"/>
      <c r="J133" s="315">
        <f>Retirement!J56</f>
        <v>28357700.778602108</v>
      </c>
      <c r="K133" s="315"/>
      <c r="L133" s="304"/>
    </row>
    <row r="134" spans="2:12" s="300" customFormat="1" ht="20.25" x14ac:dyDescent="0.25">
      <c r="B134" s="302" t="str">
        <f>Working!B61</f>
        <v/>
      </c>
      <c r="C134" s="303" t="str">
        <f>Working!C61</f>
        <v/>
      </c>
      <c r="D134" s="316" t="str">
        <f>Working!D61</f>
        <v/>
      </c>
      <c r="E134" s="316"/>
      <c r="F134" s="323">
        <f>Retirement!G57</f>
        <v>89</v>
      </c>
      <c r="G134" s="323"/>
      <c r="H134" s="315">
        <f>Retirement!H57</f>
        <v>30342739.833104283</v>
      </c>
      <c r="I134" s="315"/>
      <c r="J134" s="315">
        <f>Retirement!J57</f>
        <v>0</v>
      </c>
      <c r="K134" s="315"/>
      <c r="L134" s="304"/>
    </row>
    <row r="135" spans="2:12" s="300" customFormat="1" ht="20.25" x14ac:dyDescent="0.25">
      <c r="B135" s="302" t="str">
        <f>Working!B62</f>
        <v/>
      </c>
      <c r="C135" s="303" t="str">
        <f>Working!C62</f>
        <v/>
      </c>
      <c r="D135" s="316" t="str">
        <f>Working!D62</f>
        <v/>
      </c>
      <c r="E135" s="316"/>
      <c r="F135" s="323">
        <f>Retirement!G58</f>
        <v>90</v>
      </c>
      <c r="G135" s="323"/>
      <c r="H135" s="315">
        <f>Retirement!H58</f>
        <v>31859876.824759498</v>
      </c>
      <c r="I135" s="315"/>
      <c r="J135" s="315">
        <f>Retirement!J58</f>
        <v>-31859876.824759498</v>
      </c>
      <c r="K135" s="315"/>
      <c r="L135" s="304"/>
    </row>
    <row r="136" spans="2:12" s="300" customFormat="1" ht="20.25" x14ac:dyDescent="0.25">
      <c r="B136" s="302" t="str">
        <f>Working!B63</f>
        <v/>
      </c>
      <c r="C136" s="303" t="str">
        <f>Working!C63</f>
        <v/>
      </c>
      <c r="D136" s="316" t="str">
        <f>Working!D63</f>
        <v/>
      </c>
      <c r="E136" s="316"/>
      <c r="F136" s="323">
        <f>Retirement!G59</f>
        <v>91</v>
      </c>
      <c r="G136" s="323"/>
      <c r="H136" s="315">
        <f>Retirement!H59</f>
        <v>33452870.665997475</v>
      </c>
      <c r="I136" s="315"/>
      <c r="J136" s="315">
        <f>Retirement!J59</f>
        <v>-67542938.86849013</v>
      </c>
      <c r="K136" s="315"/>
      <c r="L136" s="304"/>
    </row>
    <row r="137" spans="2:12" s="300" customFormat="1" ht="20.25" x14ac:dyDescent="0.25">
      <c r="B137" s="302" t="str">
        <f>Working!B64</f>
        <v/>
      </c>
      <c r="C137" s="303" t="str">
        <f>Working!C64</f>
        <v/>
      </c>
      <c r="D137" s="316" t="str">
        <f>Working!D64</f>
        <v/>
      </c>
      <c r="E137" s="316"/>
      <c r="F137" s="323">
        <f>Retirement!G60</f>
        <v>92</v>
      </c>
      <c r="G137" s="323"/>
      <c r="H137" s="315">
        <f>Retirement!H60</f>
        <v>35125514.199297354</v>
      </c>
      <c r="I137" s="315"/>
      <c r="J137" s="315">
        <f>Retirement!J60</f>
        <v>-107396458.7885818</v>
      </c>
      <c r="K137" s="315"/>
      <c r="L137" s="304"/>
    </row>
    <row r="138" spans="2:12" s="300" customFormat="1" ht="20.25" x14ac:dyDescent="0.25">
      <c r="B138" s="302" t="str">
        <f>Working!B65</f>
        <v/>
      </c>
      <c r="C138" s="303" t="str">
        <f>Working!C65</f>
        <v/>
      </c>
      <c r="D138" s="316" t="str">
        <f>Working!D65</f>
        <v/>
      </c>
      <c r="E138" s="316"/>
      <c r="F138" s="323">
        <f>Retirement!G61</f>
        <v>93</v>
      </c>
      <c r="G138" s="323"/>
      <c r="H138" s="315">
        <f>Retirement!H61</f>
        <v>36881789.909262225</v>
      </c>
      <c r="I138" s="315"/>
      <c r="J138" s="315">
        <f>Retirement!J61</f>
        <v>-151796000.81304476</v>
      </c>
      <c r="K138" s="315"/>
      <c r="L138" s="304"/>
    </row>
    <row r="139" spans="2:12" s="300" customFormat="1" ht="20.25" x14ac:dyDescent="0.25">
      <c r="B139" s="302" t="str">
        <f>Working!B66</f>
        <v/>
      </c>
      <c r="C139" s="303" t="str">
        <f>Working!C66</f>
        <v/>
      </c>
      <c r="D139" s="316" t="str">
        <f>Working!D66</f>
        <v/>
      </c>
      <c r="E139" s="316"/>
      <c r="F139" s="323">
        <f>Retirement!G62</f>
        <v>94</v>
      </c>
      <c r="G139" s="323"/>
      <c r="H139" s="315">
        <f>Retirement!H62</f>
        <v>38725879.404725336</v>
      </c>
      <c r="I139" s="315"/>
      <c r="J139" s="315">
        <f>Retirement!J62</f>
        <v>-201147600.27468324</v>
      </c>
      <c r="K139" s="315"/>
      <c r="L139" s="304"/>
    </row>
    <row r="140" spans="2:12" s="300" customFormat="1" ht="20.25" x14ac:dyDescent="0.25">
      <c r="B140" s="302" t="str">
        <f>Working!B67</f>
        <v/>
      </c>
      <c r="C140" s="303" t="str">
        <f>Working!C67</f>
        <v/>
      </c>
      <c r="D140" s="316" t="str">
        <f>Working!D67</f>
        <v/>
      </c>
      <c r="E140" s="316"/>
      <c r="F140" s="323">
        <f>Retirement!G63</f>
        <v>95</v>
      </c>
      <c r="G140" s="323"/>
      <c r="H140" s="315">
        <f>Retirement!H63</f>
        <v>40662173.374961607</v>
      </c>
      <c r="I140" s="315"/>
      <c r="J140" s="315">
        <f>Retirement!J63</f>
        <v>-255890105.66887268</v>
      </c>
      <c r="K140" s="315"/>
      <c r="L140" s="304"/>
    </row>
    <row r="141" spans="2:12" s="300" customFormat="1" ht="20.25" x14ac:dyDescent="0.25">
      <c r="D141" s="316"/>
      <c r="E141" s="316"/>
      <c r="F141" s="323">
        <f>Retirement!G64</f>
        <v>96</v>
      </c>
      <c r="G141" s="323"/>
      <c r="H141" s="315">
        <f>Retirement!H64</f>
        <v>42695282.043709688</v>
      </c>
      <c r="I141" s="315"/>
      <c r="J141" s="315">
        <f>Retirement!J64</f>
        <v>-316497695.10940349</v>
      </c>
      <c r="K141" s="315"/>
      <c r="L141" s="304"/>
    </row>
    <row r="142" spans="2:12" s="300" customFormat="1" ht="20.25" x14ac:dyDescent="0.25">
      <c r="D142" s="316"/>
      <c r="E142" s="316"/>
      <c r="F142" s="323">
        <f>Retirement!G65</f>
        <v>97</v>
      </c>
      <c r="G142" s="323"/>
      <c r="H142" s="315">
        <f>Retirement!H65</f>
        <v>44830046.145895176</v>
      </c>
      <c r="I142" s="315"/>
      <c r="J142" s="315">
        <f>Retirement!J65</f>
        <v>-383482579.91295695</v>
      </c>
      <c r="K142" s="315"/>
      <c r="L142" s="304"/>
    </row>
    <row r="143" spans="2:12" s="300" customFormat="1" ht="20.25" x14ac:dyDescent="0.25">
      <c r="F143" s="323">
        <f>Retirement!G66</f>
        <v>98</v>
      </c>
      <c r="G143" s="323"/>
      <c r="H143" s="315">
        <f>Retirement!H66</f>
        <v>47071548.453189939</v>
      </c>
      <c r="I143" s="315"/>
      <c r="J143" s="315">
        <f>Retirement!J66</f>
        <v>-457397908.96005392</v>
      </c>
      <c r="K143" s="315"/>
      <c r="L143" s="304"/>
    </row>
    <row r="144" spans="2:12" s="300" customFormat="1" ht="20.25" x14ac:dyDescent="0.25">
      <c r="F144" s="323">
        <f>Retirement!G67</f>
        <v>99</v>
      </c>
      <c r="G144" s="323"/>
      <c r="H144" s="315">
        <f>Retirement!H67</f>
        <v>49425125.875849441</v>
      </c>
      <c r="I144" s="315"/>
      <c r="J144" s="315">
        <f>Retirement!J67</f>
        <v>-538840888.46310723</v>
      </c>
      <c r="K144" s="315"/>
      <c r="L144" s="304"/>
    </row>
    <row r="145" spans="2:12" s="300" customFormat="1" ht="20.25" x14ac:dyDescent="0.25">
      <c r="F145" s="323">
        <f>Retirement!G68</f>
        <v>100</v>
      </c>
      <c r="G145" s="323"/>
      <c r="H145" s="315">
        <f>Retirement!H68</f>
        <v>51896382.169641912</v>
      </c>
      <c r="I145" s="315"/>
      <c r="J145" s="315">
        <f>Retirement!J68</f>
        <v>-628456132.8251667</v>
      </c>
      <c r="K145" s="315"/>
      <c r="L145" s="304"/>
    </row>
    <row r="146" spans="2:12" s="300" customFormat="1" ht="20.25" x14ac:dyDescent="0.25">
      <c r="B146" s="304"/>
      <c r="C146" s="305"/>
      <c r="D146" s="305"/>
      <c r="E146" s="306"/>
      <c r="F146" s="323"/>
      <c r="G146" s="323"/>
      <c r="H146" s="315"/>
      <c r="I146" s="315"/>
    </row>
    <row r="147" spans="2:12" s="300" customFormat="1" ht="20.25" x14ac:dyDescent="0.25">
      <c r="B147" s="304"/>
      <c r="C147" s="305"/>
      <c r="D147" s="305"/>
      <c r="E147" s="306"/>
      <c r="F147" s="305"/>
      <c r="G147" s="304"/>
    </row>
    <row r="148" spans="2:12" x14ac:dyDescent="0.2">
      <c r="B148" s="329" t="str">
        <f>PROPER(CONCATENATE("FINANCIAL REPORT FOR ",'Family Details'!C8," &amp; FAMILY"))</f>
        <v>Financial Report For Akash Agarwal &amp; Family</v>
      </c>
      <c r="C148" s="329"/>
      <c r="D148" s="329"/>
      <c r="E148" s="329"/>
      <c r="F148" s="329"/>
      <c r="G148" s="329"/>
      <c r="H148" s="329"/>
      <c r="I148" s="329"/>
      <c r="J148" s="329"/>
      <c r="K148" s="329"/>
    </row>
    <row r="149" spans="2:12" x14ac:dyDescent="0.2">
      <c r="B149" s="261"/>
      <c r="C149" s="261"/>
      <c r="D149" s="261"/>
      <c r="E149" s="261"/>
      <c r="F149" s="261"/>
      <c r="G149" s="261"/>
      <c r="H149" s="261"/>
      <c r="I149" s="261"/>
      <c r="J149" s="261"/>
      <c r="K149" s="261"/>
    </row>
    <row r="150" spans="2:12" ht="36" x14ac:dyDescent="0.2">
      <c r="B150" s="354" t="s">
        <v>181</v>
      </c>
      <c r="C150" s="354"/>
      <c r="D150" s="354"/>
      <c r="E150" s="354"/>
      <c r="F150" s="354"/>
      <c r="G150" s="354"/>
      <c r="H150" s="354"/>
      <c r="I150" s="354"/>
      <c r="J150" s="354"/>
      <c r="K150" s="354"/>
    </row>
    <row r="152" spans="2:12" ht="20.25" x14ac:dyDescent="0.2">
      <c r="B152" s="356" t="s">
        <v>177</v>
      </c>
      <c r="C152" s="356"/>
      <c r="D152" s="208"/>
      <c r="E152" s="208"/>
      <c r="F152" s="208"/>
      <c r="I152" s="356" t="s">
        <v>178</v>
      </c>
      <c r="J152" s="356"/>
      <c r="K152" s="356"/>
    </row>
    <row r="153" spans="2:12" x14ac:dyDescent="0.2">
      <c r="D153" s="329"/>
      <c r="E153" s="329"/>
      <c r="F153" s="329"/>
      <c r="G153" s="329"/>
      <c r="H153" s="329"/>
    </row>
    <row r="154" spans="2:12" ht="25.5" customHeight="1" x14ac:dyDescent="0.2">
      <c r="B154" s="228" t="s">
        <v>173</v>
      </c>
      <c r="C154" s="229"/>
      <c r="D154" s="206"/>
      <c r="E154" s="206"/>
      <c r="F154" s="206"/>
      <c r="G154" s="206"/>
      <c r="H154" s="206"/>
      <c r="I154" s="228" t="s">
        <v>173</v>
      </c>
      <c r="J154" s="229"/>
      <c r="K154" s="229"/>
    </row>
    <row r="155" spans="2:12" ht="25.5" customHeight="1" x14ac:dyDescent="0.2">
      <c r="B155" s="229" t="s">
        <v>44</v>
      </c>
      <c r="C155" s="230">
        <f>Education!H4</f>
        <v>18</v>
      </c>
      <c r="D155" s="212"/>
      <c r="E155" s="212"/>
      <c r="F155" s="212"/>
      <c r="G155" s="212"/>
      <c r="H155" s="212"/>
      <c r="I155" s="229" t="s">
        <v>44</v>
      </c>
      <c r="J155" s="230"/>
      <c r="K155" s="231">
        <f>Education!H19</f>
        <v>21</v>
      </c>
      <c r="L155" s="209"/>
    </row>
    <row r="156" spans="2:12" ht="25.5" customHeight="1" x14ac:dyDescent="0.2">
      <c r="B156" s="229" t="s">
        <v>45</v>
      </c>
      <c r="C156" s="232">
        <f>Education!I4</f>
        <v>500000</v>
      </c>
      <c r="D156" s="213"/>
      <c r="E156" s="213"/>
      <c r="F156" s="213"/>
      <c r="G156" s="213"/>
      <c r="H156" s="213"/>
      <c r="I156" s="229" t="s">
        <v>45</v>
      </c>
      <c r="J156" s="232"/>
      <c r="K156" s="233">
        <f>Education!I19</f>
        <v>1000000</v>
      </c>
      <c r="L156" s="210"/>
    </row>
    <row r="157" spans="2:12" ht="25.5" customHeight="1" x14ac:dyDescent="0.2">
      <c r="B157" s="229" t="s">
        <v>179</v>
      </c>
      <c r="C157" s="234">
        <f>Education!J4</f>
        <v>0.1</v>
      </c>
      <c r="D157" s="214"/>
      <c r="E157" s="214"/>
      <c r="F157" s="214"/>
      <c r="G157" s="214"/>
      <c r="H157" s="214"/>
      <c r="I157" s="229" t="s">
        <v>179</v>
      </c>
      <c r="J157" s="234"/>
      <c r="K157" s="235">
        <f>Education!J19</f>
        <v>0.1</v>
      </c>
      <c r="L157" s="203"/>
    </row>
    <row r="158" spans="2:12" ht="25.5" customHeight="1" x14ac:dyDescent="0.2">
      <c r="B158" s="229" t="s">
        <v>46</v>
      </c>
      <c r="C158" s="234">
        <f>Education!L4</f>
        <v>0.11</v>
      </c>
      <c r="D158" s="214"/>
      <c r="E158" s="214"/>
      <c r="F158" s="214"/>
      <c r="G158" s="214"/>
      <c r="H158" s="214"/>
      <c r="I158" s="229" t="s">
        <v>46</v>
      </c>
      <c r="J158" s="234"/>
      <c r="K158" s="235">
        <f>Education!L19</f>
        <v>0.11</v>
      </c>
      <c r="L158" s="203"/>
    </row>
    <row r="159" spans="2:12" ht="25.5" customHeight="1" x14ac:dyDescent="0.2">
      <c r="B159" s="206"/>
      <c r="C159" s="214"/>
      <c r="D159" s="214"/>
      <c r="E159" s="214"/>
      <c r="F159" s="214"/>
      <c r="G159" s="214"/>
      <c r="H159" s="214"/>
      <c r="I159" s="206"/>
      <c r="J159" s="214"/>
      <c r="K159" s="215"/>
      <c r="L159" s="203"/>
    </row>
    <row r="160" spans="2:12" ht="25.5" customHeight="1" x14ac:dyDescent="0.2">
      <c r="B160" s="180" t="s">
        <v>182</v>
      </c>
      <c r="C160" s="206"/>
      <c r="D160" s="206"/>
      <c r="E160" s="206"/>
      <c r="F160" s="206"/>
      <c r="G160" s="206"/>
      <c r="H160" s="206"/>
      <c r="I160" s="180" t="s">
        <v>182</v>
      </c>
      <c r="J160" s="206"/>
      <c r="K160" s="216"/>
    </row>
    <row r="161" spans="2:15" ht="25.5" customHeight="1" x14ac:dyDescent="0.2">
      <c r="B161" s="206" t="str">
        <f>IF(ISBLANK('Family Details'!C16),"",'Family Details'!C16&amp;" Graduation")</f>
        <v>Sneha Graduation</v>
      </c>
      <c r="C161" s="206"/>
      <c r="D161" s="206"/>
      <c r="E161" s="206"/>
      <c r="F161" s="206"/>
      <c r="G161" s="206"/>
      <c r="H161" s="206"/>
      <c r="I161" s="206" t="str">
        <f>IF(ISBLANK('Family Details'!C16),"",'Family Details'!C16&amp;" Post-Graduation")</f>
        <v>Sneha Post-Graduation</v>
      </c>
      <c r="J161" s="206"/>
      <c r="K161" s="206"/>
    </row>
    <row r="162" spans="2:15" ht="25.5" customHeight="1" x14ac:dyDescent="0.2">
      <c r="B162" s="206" t="s">
        <v>180</v>
      </c>
      <c r="C162" s="213">
        <f>Education!K4</f>
        <v>0</v>
      </c>
      <c r="D162" s="213"/>
      <c r="E162" s="213"/>
      <c r="F162" s="213"/>
      <c r="G162" s="213"/>
      <c r="H162" s="206"/>
      <c r="I162" s="206" t="s">
        <v>180</v>
      </c>
      <c r="J162" s="206"/>
      <c r="K162" s="213">
        <f>Education!K19</f>
        <v>1100000</v>
      </c>
      <c r="O162" s="207"/>
    </row>
    <row r="163" spans="2:15" ht="25.5" customHeight="1" x14ac:dyDescent="0.2">
      <c r="B163" s="206" t="s">
        <v>47</v>
      </c>
      <c r="C163" s="213">
        <f>Education!M4</f>
        <v>0</v>
      </c>
      <c r="D163" s="213"/>
      <c r="E163" s="213"/>
      <c r="F163" s="213"/>
      <c r="G163" s="213"/>
      <c r="H163" s="206"/>
      <c r="I163" s="206" t="s">
        <v>47</v>
      </c>
      <c r="J163" s="206"/>
      <c r="K163" s="213">
        <f>Education!M19</f>
        <v>86589.613135442429</v>
      </c>
    </row>
    <row r="164" spans="2:15" ht="25.5" customHeight="1" x14ac:dyDescent="0.2">
      <c r="B164" s="206"/>
      <c r="C164" s="206"/>
      <c r="D164" s="206"/>
      <c r="E164" s="206"/>
      <c r="F164" s="206"/>
      <c r="G164" s="206"/>
      <c r="H164" s="206"/>
      <c r="I164" s="206"/>
      <c r="J164" s="206"/>
      <c r="K164" s="206"/>
    </row>
    <row r="165" spans="2:15" ht="25.5" customHeight="1" x14ac:dyDescent="0.2">
      <c r="B165" s="206" t="str">
        <f>IF(ISBLANK('Family Details'!C19),"",'Family Details'!C19&amp;" Graduation")</f>
        <v>Amit Graduation</v>
      </c>
      <c r="C165" s="206"/>
      <c r="D165" s="206"/>
      <c r="E165" s="206"/>
      <c r="F165" s="206"/>
      <c r="G165" s="206"/>
      <c r="H165" s="206"/>
      <c r="I165" s="206" t="str">
        <f>IF(ISBLANK('Family Details'!C19),"",'Family Details'!C19&amp;" Post-Graduation")</f>
        <v>Amit Post-Graduation</v>
      </c>
      <c r="J165" s="206"/>
      <c r="K165" s="206"/>
    </row>
    <row r="166" spans="2:15" ht="25.5" customHeight="1" x14ac:dyDescent="0.2">
      <c r="B166" s="206" t="s">
        <v>180</v>
      </c>
      <c r="C166" s="213">
        <f>Education!K7</f>
        <v>665500.00000000023</v>
      </c>
      <c r="D166" s="213"/>
      <c r="E166" s="213"/>
      <c r="F166" s="213"/>
      <c r="G166" s="213"/>
      <c r="H166" s="206"/>
      <c r="I166" s="206" t="s">
        <v>180</v>
      </c>
      <c r="J166" s="206"/>
      <c r="K166" s="213">
        <f>Education!K22</f>
        <v>1771561.0000000009</v>
      </c>
    </row>
    <row r="167" spans="2:15" ht="25.5" customHeight="1" x14ac:dyDescent="0.2">
      <c r="B167" s="206" t="s">
        <v>47</v>
      </c>
      <c r="C167" s="213">
        <f>Education!M7</f>
        <v>15674.790086156212</v>
      </c>
      <c r="D167" s="213"/>
      <c r="E167" s="213"/>
      <c r="F167" s="213"/>
      <c r="G167" s="213"/>
      <c r="H167" s="206"/>
      <c r="I167" s="206" t="s">
        <v>47</v>
      </c>
      <c r="J167" s="206"/>
      <c r="K167" s="213">
        <f>Education!M22</f>
        <v>17623.646256256929</v>
      </c>
    </row>
    <row r="168" spans="2:15" ht="25.5" customHeight="1" x14ac:dyDescent="0.2">
      <c r="B168" s="206"/>
      <c r="C168" s="213"/>
      <c r="D168" s="213"/>
      <c r="E168" s="213"/>
      <c r="F168" s="213"/>
      <c r="G168" s="213"/>
      <c r="H168" s="206"/>
      <c r="I168" s="206"/>
      <c r="J168" s="206"/>
      <c r="K168" s="206"/>
    </row>
    <row r="169" spans="2:15" ht="25.5" customHeight="1" x14ac:dyDescent="0.2">
      <c r="B169" s="206" t="str">
        <f>IF(ISBLANK('Family Details'!C22),"",'Family Details'!C22&amp;" Graduation")</f>
        <v>Neekunj Graduation</v>
      </c>
      <c r="C169" s="213"/>
      <c r="D169" s="213"/>
      <c r="E169" s="213"/>
      <c r="F169" s="213"/>
      <c r="G169" s="213"/>
      <c r="H169" s="206"/>
      <c r="I169" s="206" t="str">
        <f>IF(ISBLANK('Family Details'!C22),"",'Family Details'!C22&amp;" Post-Graduation")</f>
        <v>Neekunj Post-Graduation</v>
      </c>
      <c r="J169" s="206"/>
      <c r="K169" s="206"/>
    </row>
    <row r="170" spans="2:15" ht="25.5" customHeight="1" x14ac:dyDescent="0.2">
      <c r="B170" s="206" t="s">
        <v>180</v>
      </c>
      <c r="C170" s="213">
        <f>Education!K10</f>
        <v>1071794.4050000005</v>
      </c>
      <c r="D170" s="213"/>
      <c r="E170" s="213"/>
      <c r="F170" s="213"/>
      <c r="G170" s="213"/>
      <c r="H170" s="206"/>
      <c r="I170" s="206" t="s">
        <v>180</v>
      </c>
      <c r="J170" s="206"/>
      <c r="K170" s="213">
        <f>Education!K25</f>
        <v>2853116.7061100025</v>
      </c>
    </row>
    <row r="171" spans="2:15" ht="25.5" customHeight="1" x14ac:dyDescent="0.2">
      <c r="B171" s="206" t="s">
        <v>47</v>
      </c>
      <c r="C171" s="213">
        <f>Education!M10</f>
        <v>7114.1108401770716</v>
      </c>
      <c r="D171" s="213"/>
      <c r="E171" s="213"/>
      <c r="F171" s="213"/>
      <c r="G171" s="213"/>
      <c r="H171" s="206"/>
      <c r="I171" s="206" t="s">
        <v>47</v>
      </c>
      <c r="J171" s="206"/>
      <c r="K171" s="213">
        <f>Education!M25</f>
        <v>11481.326097492625</v>
      </c>
    </row>
    <row r="172" spans="2:15" ht="25.5" customHeight="1" x14ac:dyDescent="0.2">
      <c r="B172" s="206"/>
      <c r="C172" s="206"/>
      <c r="D172" s="206"/>
      <c r="E172" s="206"/>
      <c r="F172" s="206"/>
      <c r="G172" s="206"/>
      <c r="H172" s="206"/>
      <c r="I172" s="206"/>
      <c r="J172" s="206"/>
      <c r="K172" s="206"/>
    </row>
    <row r="173" spans="2:15" ht="25.5" customHeight="1" x14ac:dyDescent="0.2">
      <c r="B173" s="206" t="str">
        <f>IF(ISBLANK('Family Details'!C25),"",'Family Details'!C25&amp;" Graduation")</f>
        <v>Reena Graduation</v>
      </c>
      <c r="C173" s="213"/>
      <c r="D173" s="213"/>
      <c r="E173" s="213"/>
      <c r="F173" s="213"/>
      <c r="G173" s="213"/>
      <c r="H173" s="206"/>
      <c r="I173" s="206" t="str">
        <f>IF(ISBLANK('Family Details'!C25),"",'Family Details'!C25&amp;" Post-Graduation")</f>
        <v>Reena Post-Graduation</v>
      </c>
      <c r="J173" s="206"/>
      <c r="K173" s="206"/>
    </row>
    <row r="174" spans="2:15" ht="25.5" customHeight="1" x14ac:dyDescent="0.2">
      <c r="B174" s="206" t="s">
        <v>180</v>
      </c>
      <c r="C174" s="213">
        <f>Education!K13</f>
        <v>1726135.6071965515</v>
      </c>
      <c r="D174" s="213"/>
      <c r="E174" s="213"/>
      <c r="F174" s="213"/>
      <c r="G174" s="213"/>
      <c r="H174" s="206"/>
      <c r="I174" s="206" t="s">
        <v>180</v>
      </c>
      <c r="J174" s="206"/>
      <c r="K174" s="213">
        <f>Education!K28</f>
        <v>4594972.9863572214</v>
      </c>
    </row>
    <row r="175" spans="2:15" ht="25.5" customHeight="1" x14ac:dyDescent="0.2">
      <c r="B175" s="206" t="s">
        <v>47</v>
      </c>
      <c r="C175" s="213">
        <f>Education!M13</f>
        <v>5183.8671935284892</v>
      </c>
      <c r="D175" s="213"/>
      <c r="E175" s="213"/>
      <c r="F175" s="213"/>
      <c r="G175" s="213"/>
      <c r="H175" s="206"/>
      <c r="I175" s="206" t="s">
        <v>47</v>
      </c>
      <c r="J175" s="206"/>
      <c r="K175" s="213">
        <f>Education!M28</f>
        <v>9229.5682197069509</v>
      </c>
    </row>
    <row r="176" spans="2:15" ht="17.25" x14ac:dyDescent="0.2">
      <c r="B176" s="206"/>
      <c r="C176" s="213"/>
      <c r="D176" s="213"/>
      <c r="E176" s="213"/>
      <c r="F176" s="213"/>
      <c r="G176" s="213"/>
      <c r="H176" s="206"/>
      <c r="I176" s="206"/>
      <c r="J176" s="206"/>
      <c r="K176" s="213"/>
    </row>
    <row r="177" spans="2:11" ht="17.25" x14ac:dyDescent="0.2">
      <c r="B177" s="206"/>
      <c r="C177" s="213"/>
      <c r="D177" s="213"/>
      <c r="E177" s="213"/>
      <c r="F177" s="213"/>
      <c r="G177" s="213"/>
      <c r="H177" s="206"/>
      <c r="I177" s="206"/>
      <c r="J177" s="206"/>
      <c r="K177" s="213"/>
    </row>
    <row r="178" spans="2:11" ht="33" x14ac:dyDescent="0.4">
      <c r="B178" s="353" t="s">
        <v>196</v>
      </c>
      <c r="C178" s="353"/>
      <c r="D178" s="353"/>
      <c r="E178" s="353"/>
      <c r="F178" s="213"/>
      <c r="G178" s="213"/>
      <c r="H178" s="206"/>
      <c r="I178" s="206"/>
      <c r="J178" s="206"/>
      <c r="K178" s="213"/>
    </row>
    <row r="179" spans="2:11" ht="17.25" x14ac:dyDescent="0.2">
      <c r="B179" s="206"/>
      <c r="C179" s="213"/>
      <c r="D179" s="213"/>
      <c r="E179" s="213"/>
      <c r="F179" s="213"/>
      <c r="G179" s="213"/>
      <c r="H179" s="206"/>
      <c r="I179" s="206"/>
      <c r="J179" s="206"/>
      <c r="K179" s="213"/>
    </row>
    <row r="180" spans="2:11" ht="17.25" x14ac:dyDescent="0.2">
      <c r="B180" s="206"/>
      <c r="C180" s="213"/>
      <c r="D180" s="213"/>
      <c r="E180" s="213"/>
      <c r="F180" s="213"/>
      <c r="G180" s="213"/>
      <c r="H180" s="206"/>
      <c r="I180" s="206"/>
      <c r="J180" s="206"/>
      <c r="K180" s="213"/>
    </row>
    <row r="181" spans="2:11" ht="17.25" x14ac:dyDescent="0.2">
      <c r="B181" s="206"/>
      <c r="C181" s="213"/>
      <c r="D181" s="213"/>
      <c r="E181" s="213"/>
      <c r="F181" s="213"/>
      <c r="G181" s="213"/>
      <c r="H181" s="206"/>
      <c r="I181" s="206"/>
      <c r="J181" s="206"/>
      <c r="K181" s="213"/>
    </row>
    <row r="182" spans="2:11" ht="17.25" x14ac:dyDescent="0.2">
      <c r="B182" s="206"/>
      <c r="C182" s="213"/>
      <c r="D182" s="213"/>
      <c r="E182" s="213"/>
      <c r="F182" s="213"/>
      <c r="G182" s="213"/>
      <c r="H182" s="206"/>
      <c r="I182" s="206"/>
      <c r="J182" s="206"/>
      <c r="K182" s="213"/>
    </row>
    <row r="183" spans="2:11" ht="17.25" x14ac:dyDescent="0.2">
      <c r="B183" s="206"/>
      <c r="C183" s="213"/>
      <c r="D183" s="213"/>
      <c r="E183" s="213"/>
      <c r="F183" s="213"/>
      <c r="G183" s="213"/>
      <c r="H183" s="206"/>
      <c r="I183" s="206"/>
      <c r="J183" s="206"/>
      <c r="K183" s="213"/>
    </row>
    <row r="184" spans="2:11" ht="17.25" x14ac:dyDescent="0.2">
      <c r="B184" s="206"/>
      <c r="C184" s="213"/>
      <c r="D184" s="213"/>
      <c r="E184" s="213"/>
      <c r="F184" s="213"/>
      <c r="G184" s="213"/>
      <c r="H184" s="206"/>
      <c r="I184" s="206"/>
      <c r="J184" s="206"/>
      <c r="K184" s="213"/>
    </row>
    <row r="185" spans="2:11" ht="17.25" x14ac:dyDescent="0.2">
      <c r="B185" s="206"/>
      <c r="C185" s="213"/>
      <c r="D185" s="213"/>
      <c r="E185" s="213"/>
      <c r="F185" s="213"/>
      <c r="G185" s="213"/>
      <c r="H185" s="206"/>
      <c r="I185" s="206"/>
      <c r="J185" s="206"/>
      <c r="K185" s="213"/>
    </row>
    <row r="186" spans="2:11" ht="17.25" x14ac:dyDescent="0.2">
      <c r="B186" s="206"/>
      <c r="C186" s="213"/>
      <c r="D186" s="213"/>
      <c r="E186" s="213"/>
      <c r="F186" s="213"/>
      <c r="G186" s="213"/>
      <c r="H186" s="206"/>
      <c r="I186" s="206"/>
      <c r="J186" s="206"/>
      <c r="K186" s="213"/>
    </row>
    <row r="187" spans="2:11" ht="17.25" x14ac:dyDescent="0.2">
      <c r="B187" s="206"/>
      <c r="C187" s="213"/>
      <c r="D187" s="213"/>
      <c r="E187" s="213"/>
      <c r="F187" s="213"/>
      <c r="G187" s="213"/>
      <c r="H187" s="206"/>
      <c r="I187" s="206"/>
      <c r="J187" s="206"/>
      <c r="K187" s="213"/>
    </row>
    <row r="188" spans="2:11" ht="17.25" x14ac:dyDescent="0.2">
      <c r="B188" s="206"/>
      <c r="C188" s="213"/>
      <c r="D188" s="213"/>
      <c r="E188" s="213"/>
      <c r="F188" s="213"/>
      <c r="G188" s="213"/>
      <c r="H188" s="206"/>
      <c r="I188" s="206"/>
      <c r="J188" s="206"/>
      <c r="K188" s="213"/>
    </row>
    <row r="189" spans="2:11" ht="17.25" x14ac:dyDescent="0.2">
      <c r="B189" s="206"/>
      <c r="C189" s="213"/>
      <c r="D189" s="213"/>
      <c r="E189" s="213"/>
      <c r="F189" s="213"/>
      <c r="G189" s="213"/>
      <c r="H189" s="206"/>
      <c r="I189" s="206"/>
      <c r="J189" s="206"/>
      <c r="K189" s="213"/>
    </row>
    <row r="190" spans="2:11" ht="17.25" x14ac:dyDescent="0.2">
      <c r="B190" s="206"/>
      <c r="C190" s="213"/>
      <c r="D190" s="213"/>
      <c r="E190" s="213"/>
      <c r="F190" s="213"/>
      <c r="G190" s="213"/>
      <c r="H190" s="206"/>
      <c r="I190" s="206"/>
      <c r="J190" s="206"/>
      <c r="K190" s="213"/>
    </row>
    <row r="191" spans="2:11" ht="17.25" x14ac:dyDescent="0.2">
      <c r="B191" s="206"/>
      <c r="C191" s="213"/>
      <c r="D191" s="213"/>
      <c r="E191" s="213"/>
      <c r="F191" s="213"/>
      <c r="G191" s="213"/>
      <c r="H191" s="206"/>
      <c r="I191" s="206"/>
      <c r="J191" s="206"/>
      <c r="K191" s="213"/>
    </row>
    <row r="192" spans="2:11" ht="17.25" x14ac:dyDescent="0.2">
      <c r="B192" s="206"/>
      <c r="C192" s="213"/>
      <c r="D192" s="213"/>
      <c r="E192" s="213"/>
      <c r="F192" s="213"/>
      <c r="G192" s="213"/>
      <c r="H192" s="206"/>
      <c r="I192" s="206"/>
      <c r="J192" s="206"/>
      <c r="K192" s="213"/>
    </row>
    <row r="193" spans="2:11" ht="17.25" x14ac:dyDescent="0.2">
      <c r="B193" s="206"/>
      <c r="C193" s="213"/>
      <c r="D193" s="213"/>
      <c r="E193" s="213"/>
      <c r="F193" s="213"/>
      <c r="G193" s="213"/>
      <c r="H193" s="206"/>
      <c r="I193" s="206"/>
      <c r="J193" s="206"/>
      <c r="K193" s="213"/>
    </row>
    <row r="194" spans="2:11" ht="17.25" x14ac:dyDescent="0.2">
      <c r="B194" s="206"/>
      <c r="C194" s="213"/>
      <c r="D194" s="213"/>
      <c r="E194" s="213"/>
      <c r="F194" s="213"/>
      <c r="G194" s="213"/>
      <c r="H194" s="206"/>
      <c r="I194" s="206"/>
      <c r="J194" s="206"/>
      <c r="K194" s="213"/>
    </row>
    <row r="195" spans="2:11" ht="17.25" x14ac:dyDescent="0.2">
      <c r="B195" s="357" t="str">
        <f>PROPER(CONCATENATE("FINANCIAL REPORT FOR ",'Family Details'!C8," &amp; FAMILY"))</f>
        <v>Financial Report For Akash Agarwal &amp; Family</v>
      </c>
      <c r="C195" s="357"/>
      <c r="D195" s="357"/>
      <c r="E195" s="357"/>
      <c r="F195" s="357"/>
      <c r="G195" s="357"/>
      <c r="H195" s="357"/>
      <c r="I195" s="357"/>
      <c r="J195" s="357"/>
      <c r="K195" s="357"/>
    </row>
    <row r="196" spans="2:11" x14ac:dyDescent="0.2">
      <c r="C196" s="207"/>
      <c r="D196" s="207"/>
      <c r="E196" s="207"/>
      <c r="F196" s="207"/>
      <c r="K196" s="207"/>
    </row>
    <row r="197" spans="2:11" ht="36" x14ac:dyDescent="0.2">
      <c r="B197" s="354" t="s">
        <v>183</v>
      </c>
      <c r="C197" s="354"/>
      <c r="D197" s="354"/>
      <c r="E197" s="354"/>
      <c r="F197" s="354"/>
      <c r="G197" s="354"/>
      <c r="H197" s="354"/>
      <c r="I197" s="354"/>
      <c r="J197" s="354"/>
      <c r="K197" s="354"/>
    </row>
    <row r="198" spans="2:11" x14ac:dyDescent="0.2">
      <c r="C198" s="207"/>
      <c r="D198" s="207"/>
      <c r="E198" s="207"/>
      <c r="F198" s="207"/>
      <c r="K198" s="207"/>
    </row>
    <row r="199" spans="2:11" ht="24" customHeight="1" x14ac:dyDescent="0.2">
      <c r="B199" s="228" t="s">
        <v>173</v>
      </c>
      <c r="C199" s="229"/>
      <c r="D199" s="207"/>
      <c r="E199" s="204"/>
      <c r="F199" s="207"/>
      <c r="H199" s="322" t="str">
        <f>CONCATENATE(Marriage!B4,CHAR(10),CHAR(10),Marriage!B10)</f>
        <v>The expected expenses of marriage if considered for today is considered at Rs. 10 L. The future cost of Sneha’s marriage is Rs 14.77 L and Amit’s marriage is Rs 18.86 L, considering an inflation rate of 5 %.
The monthly SIP that would be required for Sneha and Amit’s graduation planning are Rs.86590 and Rs. 17624 respectively in a growth oriented portfolio giving a return of 11 %.</v>
      </c>
      <c r="I199" s="322"/>
      <c r="J199" s="322"/>
      <c r="K199" s="322"/>
    </row>
    <row r="200" spans="2:11" ht="24" customHeight="1" x14ac:dyDescent="0.2">
      <c r="B200" s="229" t="s">
        <v>170</v>
      </c>
      <c r="C200" s="230">
        <f>Marriage!H3</f>
        <v>28</v>
      </c>
      <c r="D200" s="207"/>
      <c r="E200" s="207"/>
      <c r="F200" s="207"/>
      <c r="H200" s="322"/>
      <c r="I200" s="322"/>
      <c r="J200" s="322"/>
      <c r="K200" s="322"/>
    </row>
    <row r="201" spans="2:11" ht="24" customHeight="1" x14ac:dyDescent="0.2">
      <c r="B201" s="229" t="s">
        <v>171</v>
      </c>
      <c r="C201" s="232">
        <f>Marriage!I3</f>
        <v>1000000</v>
      </c>
      <c r="D201" s="207"/>
      <c r="E201" s="207"/>
      <c r="F201" s="207"/>
      <c r="H201" s="322"/>
      <c r="I201" s="322"/>
      <c r="J201" s="322"/>
      <c r="K201" s="322"/>
    </row>
    <row r="202" spans="2:11" ht="24" customHeight="1" x14ac:dyDescent="0.2">
      <c r="B202" s="229" t="s">
        <v>8</v>
      </c>
      <c r="C202" s="234">
        <f>Marriage!J3</f>
        <v>0.05</v>
      </c>
      <c r="D202" s="207"/>
      <c r="E202" s="207"/>
      <c r="F202" s="207"/>
      <c r="H202" s="322"/>
      <c r="I202" s="322"/>
      <c r="J202" s="322"/>
      <c r="K202" s="322"/>
    </row>
    <row r="203" spans="2:11" ht="24" customHeight="1" x14ac:dyDescent="0.3">
      <c r="B203" s="229" t="s">
        <v>46</v>
      </c>
      <c r="C203" s="234">
        <f>Marriage!L3</f>
        <v>0.11</v>
      </c>
      <c r="E203" s="282"/>
      <c r="F203" s="282"/>
      <c r="G203" s="282"/>
      <c r="H203" s="322"/>
      <c r="I203" s="322"/>
      <c r="J203" s="322"/>
      <c r="K203" s="322"/>
    </row>
    <row r="204" spans="2:11" ht="32.25" customHeight="1" x14ac:dyDescent="0.35">
      <c r="B204" s="275"/>
      <c r="C204" s="278"/>
      <c r="D204" s="318"/>
      <c r="E204" s="318"/>
      <c r="F204" s="318"/>
      <c r="G204" s="282"/>
      <c r="H204" s="322"/>
      <c r="I204" s="322"/>
      <c r="J204" s="322"/>
      <c r="K204" s="322"/>
    </row>
    <row r="205" spans="2:11" ht="15.75" customHeight="1" x14ac:dyDescent="0.2">
      <c r="B205" s="180" t="s">
        <v>186</v>
      </c>
      <c r="C205" s="213"/>
      <c r="D205" s="321" t="s">
        <v>212</v>
      </c>
      <c r="E205" s="321"/>
      <c r="F205" s="321"/>
      <c r="H205" s="322"/>
      <c r="I205" s="322"/>
      <c r="J205" s="322"/>
      <c r="K205" s="322"/>
    </row>
    <row r="206" spans="2:11" ht="22.5" customHeight="1" x14ac:dyDescent="0.25">
      <c r="B206" s="300" t="str">
        <f>Working!B17</f>
        <v>Sneha</v>
      </c>
      <c r="C206" s="307">
        <f>Working!C17</f>
        <v>1477455.4437890626</v>
      </c>
      <c r="D206" s="321"/>
      <c r="E206" s="321"/>
      <c r="F206" s="321"/>
      <c r="H206" s="322"/>
      <c r="I206" s="322"/>
      <c r="J206" s="322"/>
      <c r="K206" s="322"/>
    </row>
    <row r="207" spans="2:11" ht="22.5" customHeight="1" x14ac:dyDescent="0.25">
      <c r="B207" s="300" t="str">
        <f>Working!B18</f>
        <v>Amit</v>
      </c>
      <c r="C207" s="307">
        <f>Working!C18</f>
        <v>1885649.142323236</v>
      </c>
      <c r="D207" s="321"/>
      <c r="E207" s="321"/>
      <c r="F207" s="321"/>
      <c r="G207" s="309"/>
      <c r="H207" s="322"/>
      <c r="I207" s="322"/>
      <c r="J207" s="322"/>
      <c r="K207" s="322"/>
    </row>
    <row r="208" spans="2:11" ht="22.5" customHeight="1" x14ac:dyDescent="0.25">
      <c r="B208" s="300" t="str">
        <f>Working!B19</f>
        <v>Neekunj</v>
      </c>
      <c r="C208" s="307">
        <f>Working!C19</f>
        <v>2406619.2336910847</v>
      </c>
      <c r="D208" s="320">
        <f>Working!C21</f>
        <v>8841247.5757211931</v>
      </c>
      <c r="E208" s="320"/>
      <c r="F208" s="320"/>
      <c r="G208" s="309"/>
      <c r="H208" s="322"/>
      <c r="I208" s="322"/>
      <c r="J208" s="322"/>
      <c r="K208" s="322"/>
    </row>
    <row r="209" spans="2:11" ht="22.5" customHeight="1" x14ac:dyDescent="0.25">
      <c r="B209" s="300" t="str">
        <f>Working!B20</f>
        <v>Reena</v>
      </c>
      <c r="C209" s="307">
        <f>Working!C20</f>
        <v>3071523.7559178104</v>
      </c>
      <c r="D209" s="320"/>
      <c r="E209" s="320"/>
      <c r="F209" s="320"/>
      <c r="G209" s="237"/>
      <c r="H209" s="322"/>
      <c r="I209" s="322"/>
      <c r="J209" s="322"/>
      <c r="K209" s="322"/>
    </row>
    <row r="210" spans="2:11" ht="22.5" customHeight="1" x14ac:dyDescent="0.35">
      <c r="B210" s="206"/>
      <c r="C210" s="213"/>
      <c r="D210" s="308"/>
      <c r="E210" s="308"/>
      <c r="F210" s="308"/>
      <c r="G210" s="237"/>
      <c r="H210" s="322"/>
      <c r="I210" s="322"/>
      <c r="J210" s="322"/>
      <c r="K210" s="322"/>
    </row>
    <row r="211" spans="2:11" ht="22.5" customHeight="1" x14ac:dyDescent="0.2">
      <c r="B211" s="180" t="s">
        <v>203</v>
      </c>
      <c r="C211" s="213"/>
      <c r="D211" s="319" t="s">
        <v>56</v>
      </c>
      <c r="E211" s="319"/>
      <c r="F211" s="319"/>
      <c r="G211" s="237"/>
      <c r="H211" s="322"/>
      <c r="I211" s="322"/>
      <c r="J211" s="322"/>
      <c r="K211" s="322"/>
    </row>
    <row r="212" spans="2:11" ht="22.5" customHeight="1" x14ac:dyDescent="0.25">
      <c r="B212" s="300" t="str">
        <f>Working!B17</f>
        <v>Sneha</v>
      </c>
      <c r="C212" s="307">
        <f>Working!D17</f>
        <v>9806.7145522544415</v>
      </c>
      <c r="D212" s="319"/>
      <c r="E212" s="319"/>
      <c r="F212" s="319"/>
      <c r="H212" s="322"/>
      <c r="I212" s="322"/>
      <c r="J212" s="322"/>
      <c r="K212" s="322"/>
    </row>
    <row r="213" spans="2:11" ht="22.5" customHeight="1" x14ac:dyDescent="0.25">
      <c r="B213" s="300" t="str">
        <f>Working!B18</f>
        <v>Amit</v>
      </c>
      <c r="C213" s="307">
        <f>Working!D18</f>
        <v>5662.9123961298938</v>
      </c>
      <c r="D213" s="333">
        <f>Working!D21</f>
        <v>21881.389293492655</v>
      </c>
      <c r="E213" s="333"/>
      <c r="F213" s="333"/>
    </row>
    <row r="214" spans="2:11" ht="22.5" customHeight="1" x14ac:dyDescent="0.25">
      <c r="B214" s="300" t="str">
        <f>Working!B19</f>
        <v>Neekunj</v>
      </c>
      <c r="C214" s="307">
        <f>Working!D19</f>
        <v>3759.1095805066325</v>
      </c>
      <c r="D214" s="333"/>
      <c r="E214" s="333"/>
      <c r="F214" s="333"/>
    </row>
    <row r="215" spans="2:11" ht="22.5" customHeight="1" x14ac:dyDescent="0.25">
      <c r="B215" s="300" t="str">
        <f>Working!B20</f>
        <v>Reena</v>
      </c>
      <c r="C215" s="307">
        <f>Working!D20</f>
        <v>2652.652764601688</v>
      </c>
      <c r="D215" s="237"/>
      <c r="E215" s="237"/>
      <c r="F215" s="237"/>
    </row>
    <row r="216" spans="2:11" ht="18.75" customHeight="1" x14ac:dyDescent="0.2">
      <c r="B216" s="206"/>
      <c r="C216" s="213"/>
      <c r="D216" s="237"/>
      <c r="E216" s="237"/>
      <c r="F216" s="237"/>
      <c r="G216" s="237"/>
    </row>
    <row r="217" spans="2:11" ht="18.75" customHeight="1" x14ac:dyDescent="0.2">
      <c r="B217" s="206"/>
      <c r="C217" s="213"/>
      <c r="D217" s="237"/>
      <c r="E217" s="237"/>
      <c r="F217" s="237"/>
      <c r="G217" s="237"/>
    </row>
    <row r="218" spans="2:11" ht="18.75" customHeight="1" x14ac:dyDescent="0.2">
      <c r="B218" s="206"/>
      <c r="C218" s="213"/>
      <c r="D218" s="237"/>
      <c r="E218" s="237"/>
      <c r="F218" s="237"/>
      <c r="G218" s="237"/>
    </row>
    <row r="219" spans="2:11" ht="18.75" customHeight="1" x14ac:dyDescent="0.2">
      <c r="B219" s="206"/>
      <c r="C219" s="213"/>
      <c r="D219" s="237"/>
      <c r="E219" s="237"/>
      <c r="F219" s="237"/>
      <c r="G219" s="237"/>
    </row>
    <row r="220" spans="2:11" ht="18.75" customHeight="1" x14ac:dyDescent="0.2">
      <c r="B220" s="206"/>
      <c r="C220" s="213"/>
      <c r="D220" s="237"/>
      <c r="E220" s="237"/>
      <c r="F220" s="237"/>
      <c r="G220" s="237"/>
    </row>
    <row r="221" spans="2:11" ht="18.75" customHeight="1" x14ac:dyDescent="0.2">
      <c r="B221" s="206"/>
      <c r="C221" s="213"/>
      <c r="D221" s="237"/>
      <c r="E221" s="237"/>
      <c r="F221" s="237"/>
      <c r="G221" s="237"/>
    </row>
    <row r="222" spans="2:11" ht="18.75" customHeight="1" x14ac:dyDescent="0.2">
      <c r="B222" s="206"/>
      <c r="C222" s="213"/>
      <c r="D222" s="237"/>
      <c r="E222" s="237"/>
      <c r="F222" s="237"/>
      <c r="G222" s="237"/>
    </row>
    <row r="223" spans="2:11" ht="18.75" customHeight="1" x14ac:dyDescent="0.2">
      <c r="B223" s="206"/>
      <c r="C223" s="213"/>
      <c r="D223" s="237"/>
      <c r="E223" s="237"/>
      <c r="F223" s="237"/>
      <c r="G223" s="237"/>
    </row>
    <row r="224" spans="2:11" ht="18.75" customHeight="1" x14ac:dyDescent="0.2">
      <c r="B224" s="206"/>
      <c r="C224" s="213"/>
      <c r="D224" s="237"/>
      <c r="E224" s="237"/>
      <c r="F224" s="237"/>
      <c r="G224" s="237"/>
    </row>
    <row r="225" spans="2:7" ht="18.75" customHeight="1" x14ac:dyDescent="0.2">
      <c r="B225" s="206"/>
      <c r="C225" s="213"/>
      <c r="D225" s="237"/>
      <c r="E225" s="237"/>
      <c r="F225" s="237"/>
      <c r="G225" s="237"/>
    </row>
    <row r="226" spans="2:7" ht="18.75" customHeight="1" x14ac:dyDescent="0.2">
      <c r="B226" s="206"/>
      <c r="C226" s="213"/>
      <c r="D226" s="237"/>
      <c r="E226" s="237"/>
      <c r="F226" s="237"/>
      <c r="G226" s="237"/>
    </row>
    <row r="227" spans="2:7" ht="18.75" customHeight="1" x14ac:dyDescent="0.2">
      <c r="B227" s="206"/>
      <c r="C227" s="213"/>
      <c r="D227" s="237"/>
      <c r="E227" s="237"/>
      <c r="F227" s="237"/>
      <c r="G227" s="237"/>
    </row>
    <row r="228" spans="2:7" ht="18.75" customHeight="1" x14ac:dyDescent="0.2">
      <c r="B228" s="206"/>
      <c r="C228" s="213"/>
      <c r="D228" s="237"/>
      <c r="E228" s="237"/>
      <c r="F228" s="237"/>
      <c r="G228" s="237"/>
    </row>
    <row r="229" spans="2:7" ht="18.75" customHeight="1" x14ac:dyDescent="0.2">
      <c r="B229" s="206"/>
      <c r="C229" s="213"/>
      <c r="D229" s="237"/>
      <c r="E229" s="237"/>
      <c r="F229" s="237"/>
      <c r="G229" s="237"/>
    </row>
    <row r="230" spans="2:7" ht="18.75" customHeight="1" x14ac:dyDescent="0.2">
      <c r="B230" s="206"/>
      <c r="C230" s="213"/>
      <c r="D230" s="237"/>
      <c r="E230" s="237"/>
      <c r="F230" s="237"/>
      <c r="G230" s="237"/>
    </row>
    <row r="231" spans="2:7" ht="18.75" customHeight="1" x14ac:dyDescent="0.2">
      <c r="B231" s="206"/>
      <c r="C231" s="213"/>
      <c r="D231" s="237"/>
      <c r="E231" s="237"/>
      <c r="F231" s="237"/>
      <c r="G231" s="237"/>
    </row>
    <row r="232" spans="2:7" ht="18.75" customHeight="1" x14ac:dyDescent="0.2">
      <c r="B232" s="206"/>
      <c r="C232" s="213"/>
      <c r="D232" s="237"/>
      <c r="E232" s="237"/>
      <c r="F232" s="237"/>
      <c r="G232" s="237"/>
    </row>
    <row r="233" spans="2:7" ht="18.75" customHeight="1" x14ac:dyDescent="0.2">
      <c r="B233" s="206"/>
      <c r="C233" s="213"/>
      <c r="D233" s="237"/>
      <c r="E233" s="237"/>
      <c r="F233" s="237"/>
      <c r="G233" s="237"/>
    </row>
    <row r="234" spans="2:7" ht="18.75" customHeight="1" x14ac:dyDescent="0.2">
      <c r="B234" s="206"/>
      <c r="C234" s="213"/>
      <c r="D234" s="237"/>
      <c r="E234" s="237"/>
      <c r="F234" s="237"/>
      <c r="G234" s="237"/>
    </row>
    <row r="235" spans="2:7" ht="18.75" customHeight="1" x14ac:dyDescent="0.2">
      <c r="B235" s="206"/>
      <c r="C235" s="213"/>
      <c r="D235" s="237"/>
      <c r="E235" s="237"/>
      <c r="F235" s="237"/>
      <c r="G235" s="237"/>
    </row>
    <row r="236" spans="2:7" ht="18.75" customHeight="1" x14ac:dyDescent="0.2">
      <c r="B236" s="206"/>
      <c r="C236" s="213"/>
      <c r="D236" s="237"/>
      <c r="E236" s="237"/>
      <c r="F236" s="237"/>
      <c r="G236" s="237"/>
    </row>
    <row r="237" spans="2:7" ht="18.75" customHeight="1" x14ac:dyDescent="0.2">
      <c r="B237" s="206"/>
      <c r="C237" s="213"/>
      <c r="D237" s="237"/>
      <c r="E237" s="237"/>
      <c r="F237" s="237"/>
      <c r="G237" s="237"/>
    </row>
    <row r="238" spans="2:7" ht="18.75" customHeight="1" x14ac:dyDescent="0.2">
      <c r="B238" s="206"/>
      <c r="C238" s="213"/>
      <c r="D238" s="237"/>
      <c r="E238" s="237"/>
      <c r="F238" s="237"/>
      <c r="G238" s="237"/>
    </row>
    <row r="239" spans="2:7" ht="18.75" customHeight="1" x14ac:dyDescent="0.2">
      <c r="B239" s="206"/>
      <c r="C239" s="213"/>
      <c r="D239" s="237"/>
      <c r="E239" s="237"/>
      <c r="F239" s="237"/>
      <c r="G239" s="237"/>
    </row>
    <row r="240" spans="2:7" ht="18.75" customHeight="1" x14ac:dyDescent="0.2">
      <c r="B240" s="206"/>
      <c r="C240" s="213"/>
      <c r="D240" s="237"/>
      <c r="E240" s="237"/>
      <c r="F240" s="237"/>
      <c r="G240" s="237"/>
    </row>
    <row r="241" spans="2:11" ht="18.75" customHeight="1" x14ac:dyDescent="0.2">
      <c r="B241" s="206"/>
      <c r="C241" s="213"/>
      <c r="D241" s="237"/>
      <c r="E241" s="237"/>
      <c r="F241" s="237"/>
      <c r="G241" s="237"/>
    </row>
    <row r="242" spans="2:11" ht="18.75" customHeight="1" x14ac:dyDescent="0.2">
      <c r="B242" s="206"/>
      <c r="C242" s="213"/>
      <c r="D242" s="237"/>
      <c r="E242" s="237"/>
      <c r="F242" s="237"/>
      <c r="G242" s="237"/>
    </row>
    <row r="243" spans="2:11" ht="18.75" customHeight="1" x14ac:dyDescent="0.2">
      <c r="B243" s="206"/>
      <c r="C243" s="213"/>
      <c r="D243" s="237"/>
      <c r="E243" s="237"/>
      <c r="F243" s="237"/>
      <c r="G243" s="237"/>
    </row>
    <row r="244" spans="2:11" ht="18.75" customHeight="1" x14ac:dyDescent="0.2">
      <c r="B244" s="206"/>
      <c r="C244" s="213"/>
      <c r="D244" s="237"/>
      <c r="E244" s="237"/>
      <c r="F244" s="237"/>
      <c r="G244" s="237"/>
    </row>
    <row r="245" spans="2:11" ht="18.75" customHeight="1" x14ac:dyDescent="0.2">
      <c r="B245" s="206"/>
      <c r="C245" s="213"/>
      <c r="D245" s="237"/>
      <c r="E245" s="237"/>
      <c r="F245" s="237"/>
      <c r="G245" s="237"/>
    </row>
    <row r="246" spans="2:11" ht="18.75" customHeight="1" x14ac:dyDescent="0.2">
      <c r="B246" s="206"/>
      <c r="C246" s="213"/>
      <c r="D246" s="237"/>
      <c r="E246" s="237"/>
      <c r="F246" s="237"/>
      <c r="G246" s="237"/>
    </row>
    <row r="247" spans="2:11" ht="18.75" customHeight="1" x14ac:dyDescent="0.2">
      <c r="B247" s="206"/>
      <c r="C247" s="213"/>
      <c r="D247" s="237"/>
      <c r="E247" s="237"/>
      <c r="F247" s="237"/>
      <c r="G247" s="237"/>
    </row>
    <row r="248" spans="2:11" ht="18.75" customHeight="1" x14ac:dyDescent="0.2">
      <c r="B248" s="206"/>
      <c r="C248" s="213"/>
      <c r="D248" s="237"/>
      <c r="E248" s="237"/>
      <c r="F248" s="237"/>
      <c r="G248" s="237"/>
    </row>
    <row r="249" spans="2:11" ht="18.75" customHeight="1" x14ac:dyDescent="0.2">
      <c r="B249" s="206"/>
      <c r="C249" s="213"/>
      <c r="D249" s="237"/>
      <c r="E249" s="237"/>
      <c r="F249" s="237"/>
      <c r="G249" s="237"/>
    </row>
    <row r="250" spans="2:11" ht="15.75" customHeight="1" x14ac:dyDescent="0.2">
      <c r="B250" s="280"/>
      <c r="C250" s="280"/>
      <c r="D250" s="280"/>
      <c r="E250" s="280"/>
      <c r="F250" s="280"/>
      <c r="G250" s="280"/>
      <c r="H250" s="280"/>
      <c r="I250" s="280"/>
      <c r="J250" s="280"/>
      <c r="K250" s="280"/>
    </row>
    <row r="251" spans="2:11" ht="15.75" customHeight="1" x14ac:dyDescent="0.2">
      <c r="B251" s="329" t="str">
        <f>PROPER(CONCATENATE("FINANCIAL REPORT FOR ",'Family Details'!C8," &amp; FAMILY"))</f>
        <v>Financial Report For Akash Agarwal &amp; Family</v>
      </c>
      <c r="C251" s="329"/>
      <c r="D251" s="329"/>
      <c r="E251" s="329"/>
      <c r="F251" s="329"/>
      <c r="G251" s="329"/>
      <c r="H251" s="329"/>
      <c r="I251" s="329"/>
      <c r="J251" s="329"/>
      <c r="K251" s="329"/>
    </row>
    <row r="252" spans="2:11" ht="15.75" customHeight="1" x14ac:dyDescent="0.2">
      <c r="B252" s="280"/>
      <c r="C252" s="280"/>
      <c r="D252" s="280"/>
      <c r="E252" s="280"/>
      <c r="F252" s="280"/>
      <c r="G252" s="280"/>
      <c r="H252" s="280"/>
      <c r="I252" s="280"/>
      <c r="J252" s="280"/>
      <c r="K252" s="280"/>
    </row>
    <row r="253" spans="2:11" ht="27.75" x14ac:dyDescent="0.2">
      <c r="B253" s="312" t="s">
        <v>163</v>
      </c>
      <c r="C253" s="312"/>
      <c r="D253" s="312"/>
      <c r="E253" s="312"/>
      <c r="F253" s="312"/>
      <c r="G253" s="312"/>
      <c r="H253" s="312"/>
      <c r="I253" s="312"/>
      <c r="J253" s="312"/>
      <c r="K253" s="312"/>
    </row>
    <row r="254" spans="2:11" ht="21" customHeight="1" x14ac:dyDescent="0.2"/>
    <row r="255" spans="2:11" ht="33" customHeight="1" x14ac:dyDescent="0.3">
      <c r="D255" s="247" t="s">
        <v>197</v>
      </c>
    </row>
    <row r="256" spans="2:11" ht="25.5" x14ac:dyDescent="0.3">
      <c r="C256" s="180"/>
      <c r="D256" s="247" t="str">
        <f>Comprehension!B23</f>
        <v>Total SIP Required</v>
      </c>
      <c r="E256" s="181"/>
    </row>
    <row r="258" spans="2:17" x14ac:dyDescent="0.2">
      <c r="B258" s="184"/>
      <c r="C258" s="184"/>
      <c r="D258" s="184"/>
      <c r="E258" s="184"/>
    </row>
    <row r="259" spans="2:17" ht="6.75" customHeight="1" x14ac:dyDescent="0.2">
      <c r="B259" s="184"/>
      <c r="C259" s="184"/>
      <c r="D259" s="184"/>
      <c r="E259" s="184"/>
    </row>
    <row r="260" spans="2:17" s="222" customFormat="1" ht="31.5" x14ac:dyDescent="0.2">
      <c r="B260" s="236" t="str">
        <f>UPPER(Comprehension!B4)</f>
        <v>FINANCIAL GOALS</v>
      </c>
      <c r="C260" s="236" t="str">
        <f>UPPER(Comprehension!C4)</f>
        <v>TARGET</v>
      </c>
      <c r="D260" s="236" t="str">
        <f>UPPER(Comprehension!D4)</f>
        <v>TIME TO GOAL</v>
      </c>
      <c r="E260" s="236" t="str">
        <f>UPPER(Comprehension!E4)</f>
        <v>SIP REQUIRED</v>
      </c>
      <c r="G260" s="332" t="s">
        <v>176</v>
      </c>
      <c r="H260" s="332"/>
      <c r="I260" s="332"/>
      <c r="J260" s="332"/>
      <c r="K260" s="332"/>
      <c r="O260" s="223"/>
      <c r="P260" s="223"/>
      <c r="Q260" s="223"/>
    </row>
    <row r="261" spans="2:17" ht="21" customHeight="1" x14ac:dyDescent="0.2">
      <c r="B261" s="224" t="str">
        <f>Comprehension!B5</f>
        <v>Retirement</v>
      </c>
      <c r="C261" s="243">
        <f>Comprehension!C5</f>
        <v>170467951.09160665</v>
      </c>
      <c r="D261" s="226">
        <f>IF(C261&lt;=0,"",Comprehension!D5)</f>
        <v>23</v>
      </c>
      <c r="E261" s="245">
        <f>Comprehension!E5</f>
        <v>147220.83163703704</v>
      </c>
      <c r="G261" s="217"/>
      <c r="H261" s="217"/>
      <c r="I261" s="217"/>
      <c r="J261" s="217"/>
      <c r="K261" s="218"/>
      <c r="O261" s="185"/>
      <c r="P261" s="185"/>
      <c r="Q261" s="185"/>
    </row>
    <row r="262" spans="2:17" ht="21" customHeight="1" x14ac:dyDescent="0.2">
      <c r="B262" s="224"/>
      <c r="C262" s="225"/>
      <c r="D262" s="226"/>
      <c r="E262" s="225"/>
      <c r="G262" s="217" t="s">
        <v>134</v>
      </c>
      <c r="H262" s="217"/>
      <c r="I262" s="217"/>
      <c r="J262" s="217"/>
      <c r="K262" s="218"/>
      <c r="O262" s="185"/>
      <c r="P262" s="185"/>
      <c r="Q262" s="185"/>
    </row>
    <row r="263" spans="2:17" ht="21" customHeight="1" x14ac:dyDescent="0.2">
      <c r="B263" s="224" t="str">
        <f>Comprehension!B7</f>
        <v>1st Child's Graduation</v>
      </c>
      <c r="C263" s="225">
        <f>Comprehension!C7</f>
        <v>0</v>
      </c>
      <c r="D263" s="226" t="str">
        <f>IF(C263&lt;=0,"",Comprehension!D7)</f>
        <v/>
      </c>
      <c r="E263" s="227">
        <f>Comprehension!E7</f>
        <v>0</v>
      </c>
      <c r="G263" s="331" t="str">
        <f>Insurance!B6&amp;CHAR(10)&amp;CHAR(10)&amp;Insurance!B10</f>
        <v>Akash Agarwal needs have a life cover of Rs. 6.7 Cr which will help provide for household expenses for Priyanka from her current age of 32 to her age of 85. The expenses are expected to grow with the inflation rate of 5 % while the claim amount may be invested in a portfolio giving a return of 8 %.
This calculation does not take into account other future financial goals such as higher education and marriage of children. This is based on the assumption that Priyanka is financially dependent on Akash Agarwal.</v>
      </c>
      <c r="H263" s="331"/>
      <c r="I263" s="331"/>
      <c r="J263" s="331"/>
      <c r="K263" s="331"/>
      <c r="O263" s="185"/>
      <c r="P263" s="185"/>
      <c r="Q263" s="185"/>
    </row>
    <row r="264" spans="2:17" ht="21" customHeight="1" x14ac:dyDescent="0.2">
      <c r="B264" s="224" t="str">
        <f>Comprehension!B8</f>
        <v>1st Child's Post-Graduation</v>
      </c>
      <c r="C264" s="225">
        <f>Comprehension!C8</f>
        <v>1100000</v>
      </c>
      <c r="D264" s="226">
        <f>IF(C264&lt;=0,"",Comprehension!D8)</f>
        <v>1</v>
      </c>
      <c r="E264" s="227">
        <f>Comprehension!E8</f>
        <v>86589.613135442429</v>
      </c>
      <c r="G264" s="331"/>
      <c r="H264" s="331"/>
      <c r="I264" s="331"/>
      <c r="J264" s="331"/>
      <c r="K264" s="331"/>
      <c r="O264" s="185"/>
      <c r="P264" s="185"/>
      <c r="Q264" s="185"/>
    </row>
    <row r="265" spans="2:17" ht="21" customHeight="1" x14ac:dyDescent="0.2">
      <c r="B265" s="224" t="str">
        <f>Comprehension!B9</f>
        <v>1st Child's Marriage</v>
      </c>
      <c r="C265" s="225">
        <f>Comprehension!C9</f>
        <v>1477455.4437890626</v>
      </c>
      <c r="D265" s="226">
        <f>IF(C265&lt;=0,"",Comprehension!D9)</f>
        <v>8</v>
      </c>
      <c r="E265" s="227">
        <f>Comprehension!E9</f>
        <v>9806.7145522544415</v>
      </c>
      <c r="G265" s="331"/>
      <c r="H265" s="331"/>
      <c r="I265" s="331"/>
      <c r="J265" s="331"/>
      <c r="K265" s="331"/>
    </row>
    <row r="266" spans="2:17" ht="21" customHeight="1" x14ac:dyDescent="0.2">
      <c r="B266" s="224"/>
      <c r="C266" s="243">
        <f>SUM(C263:C265)</f>
        <v>2577455.4437890626</v>
      </c>
      <c r="D266" s="244"/>
      <c r="E266" s="243">
        <f>SUM(E263:E265)</f>
        <v>96396.327687696874</v>
      </c>
      <c r="G266" s="331"/>
      <c r="H266" s="331"/>
      <c r="I266" s="331"/>
      <c r="J266" s="331"/>
      <c r="K266" s="331"/>
    </row>
    <row r="267" spans="2:17" ht="21" customHeight="1" x14ac:dyDescent="0.2">
      <c r="B267" s="224"/>
      <c r="C267" s="225"/>
      <c r="D267" s="226"/>
      <c r="E267" s="227"/>
      <c r="G267" s="331"/>
      <c r="H267" s="331"/>
      <c r="I267" s="331"/>
      <c r="J267" s="331"/>
      <c r="K267" s="331"/>
    </row>
    <row r="268" spans="2:17" ht="21" customHeight="1" x14ac:dyDescent="0.2">
      <c r="B268" s="224" t="str">
        <f>Comprehension!B11</f>
        <v>2nd Child's Graduation</v>
      </c>
      <c r="C268" s="225">
        <f>Comprehension!C11</f>
        <v>665500.00000000023</v>
      </c>
      <c r="D268" s="226">
        <f>IF(C268&lt;=0,"",Comprehension!D11)</f>
        <v>3</v>
      </c>
      <c r="E268" s="227">
        <f>Comprehension!E11</f>
        <v>15674.790086156212</v>
      </c>
      <c r="G268" s="331"/>
      <c r="H268" s="331"/>
      <c r="I268" s="331"/>
      <c r="J268" s="331"/>
      <c r="K268" s="331"/>
    </row>
    <row r="269" spans="2:17" ht="21" customHeight="1" x14ac:dyDescent="0.2">
      <c r="B269" s="224" t="str">
        <f>Comprehension!B12</f>
        <v>2nd Child's Post-Graduation</v>
      </c>
      <c r="C269" s="225">
        <f>Comprehension!C12</f>
        <v>1771561.0000000009</v>
      </c>
      <c r="D269" s="226">
        <f>IF(C269&lt;=0,"",Comprehension!D12)</f>
        <v>6</v>
      </c>
      <c r="E269" s="227">
        <f>Comprehension!E12</f>
        <v>17623.646256256929</v>
      </c>
      <c r="G269" s="331"/>
      <c r="H269" s="331"/>
      <c r="I269" s="331"/>
      <c r="J269" s="331"/>
      <c r="K269" s="331"/>
    </row>
    <row r="270" spans="2:17" ht="21" customHeight="1" x14ac:dyDescent="0.2">
      <c r="B270" s="224" t="str">
        <f>Comprehension!B13</f>
        <v>2nd Child's marriage</v>
      </c>
      <c r="C270" s="225">
        <f>Comprehension!C13</f>
        <v>1885649.142323236</v>
      </c>
      <c r="D270" s="226">
        <f>IF(C270&lt;=0,"",Comprehension!D13)</f>
        <v>13</v>
      </c>
      <c r="E270" s="227">
        <f>Comprehension!E13</f>
        <v>5662.9123961298938</v>
      </c>
      <c r="G270" s="331"/>
      <c r="H270" s="331"/>
      <c r="I270" s="331"/>
      <c r="J270" s="331"/>
      <c r="K270" s="331"/>
    </row>
    <row r="271" spans="2:17" ht="21" customHeight="1" x14ac:dyDescent="0.2">
      <c r="B271" s="224"/>
      <c r="C271" s="243">
        <f>SUM(C268:C270)</f>
        <v>4322710.1423232369</v>
      </c>
      <c r="D271" s="244"/>
      <c r="E271" s="243">
        <f>SUM(E268:E270)</f>
        <v>38961.348738543034</v>
      </c>
      <c r="G271" s="331"/>
      <c r="H271" s="331"/>
      <c r="I271" s="331"/>
      <c r="J271" s="331"/>
      <c r="K271" s="331"/>
    </row>
    <row r="272" spans="2:17" ht="21" customHeight="1" x14ac:dyDescent="0.2">
      <c r="B272" s="224"/>
      <c r="C272" s="225"/>
      <c r="D272" s="226"/>
      <c r="E272" s="227"/>
      <c r="G272" s="331"/>
      <c r="H272" s="331"/>
      <c r="I272" s="331"/>
      <c r="J272" s="331"/>
      <c r="K272" s="331"/>
    </row>
    <row r="273" spans="2:11" ht="21" customHeight="1" x14ac:dyDescent="0.2">
      <c r="B273" s="224" t="str">
        <f>Comprehension!B15</f>
        <v>3rd Child's Graduation</v>
      </c>
      <c r="C273" s="225">
        <f>Comprehension!C15</f>
        <v>1071794.4050000005</v>
      </c>
      <c r="D273" s="226">
        <f>IF(C273&lt;=0,"",Comprehension!D15)</f>
        <v>8</v>
      </c>
      <c r="E273" s="227">
        <f>Comprehension!E15</f>
        <v>7114.1108401770716</v>
      </c>
      <c r="G273" s="331"/>
      <c r="H273" s="331"/>
      <c r="I273" s="331"/>
      <c r="J273" s="331"/>
      <c r="K273" s="331"/>
    </row>
    <row r="274" spans="2:11" ht="21" customHeight="1" x14ac:dyDescent="0.2">
      <c r="B274" s="224" t="str">
        <f>Comprehension!B16</f>
        <v>3rd Child's Post-Graduation</v>
      </c>
      <c r="C274" s="225">
        <f>Comprehension!C16</f>
        <v>2853116.7061100025</v>
      </c>
      <c r="D274" s="226">
        <f>IF(C274&lt;=0,"",Comprehension!D16)</f>
        <v>11</v>
      </c>
      <c r="E274" s="227">
        <f>Comprehension!E16</f>
        <v>11481.326097492625</v>
      </c>
      <c r="G274" s="331"/>
      <c r="H274" s="331"/>
      <c r="I274" s="331"/>
      <c r="J274" s="331"/>
      <c r="K274" s="331"/>
    </row>
    <row r="275" spans="2:11" ht="21" customHeight="1" x14ac:dyDescent="0.2">
      <c r="B275" s="224" t="str">
        <f>Comprehension!B17</f>
        <v>3rd Child's Marriage</v>
      </c>
      <c r="C275" s="225">
        <f>Comprehension!C17</f>
        <v>2406619.2336910847</v>
      </c>
      <c r="D275" s="226">
        <f>IF(C275&lt;=0,"",Comprehension!D17)</f>
        <v>18</v>
      </c>
      <c r="E275" s="227">
        <f>Comprehension!E17</f>
        <v>2652.652764601688</v>
      </c>
      <c r="G275" s="331"/>
      <c r="H275" s="331"/>
      <c r="I275" s="331"/>
      <c r="J275" s="331"/>
      <c r="K275" s="331"/>
    </row>
    <row r="276" spans="2:11" ht="21" customHeight="1" x14ac:dyDescent="0.2">
      <c r="B276" s="224"/>
      <c r="C276" s="243">
        <f>SUM(C273:C275)</f>
        <v>6331530.3448010869</v>
      </c>
      <c r="D276" s="244"/>
      <c r="E276" s="243">
        <f>SUM(E273:E275)</f>
        <v>21248.089702271383</v>
      </c>
      <c r="G276" s="331"/>
      <c r="H276" s="331"/>
      <c r="I276" s="331"/>
      <c r="J276" s="331"/>
      <c r="K276" s="331"/>
    </row>
    <row r="277" spans="2:11" ht="21" customHeight="1" x14ac:dyDescent="0.2">
      <c r="B277" s="224"/>
      <c r="C277" s="225"/>
      <c r="D277" s="226"/>
      <c r="E277" s="227"/>
      <c r="G277" s="217"/>
      <c r="H277" s="205"/>
      <c r="I277" s="205"/>
      <c r="J277" s="205"/>
      <c r="K277" s="205"/>
    </row>
    <row r="278" spans="2:11" ht="21" customHeight="1" x14ac:dyDescent="0.2">
      <c r="B278" s="224" t="str">
        <f>Comprehension!B19</f>
        <v>4th Child's Graduation</v>
      </c>
      <c r="C278" s="225">
        <f>Comprehension!C19</f>
        <v>1726135.6071965515</v>
      </c>
      <c r="D278" s="226">
        <f>IF(C278&lt;=0,"",Comprehension!D19)</f>
        <v>13</v>
      </c>
      <c r="E278" s="227">
        <f>Comprehension!E19</f>
        <v>5183.8671935284892</v>
      </c>
      <c r="G278" s="217" t="s">
        <v>135</v>
      </c>
      <c r="H278" s="219"/>
      <c r="I278" s="219"/>
      <c r="J278" s="219"/>
      <c r="K278" s="219"/>
    </row>
    <row r="279" spans="2:11" ht="21" customHeight="1" x14ac:dyDescent="0.2">
      <c r="B279" s="224" t="str">
        <f>Comprehension!B20</f>
        <v>4th Child's Post-Graduation</v>
      </c>
      <c r="C279" s="225">
        <f>Comprehension!C20</f>
        <v>4594972.9863572214</v>
      </c>
      <c r="D279" s="226">
        <f>IF(C279&lt;=0,"",Comprehension!D20)</f>
        <v>16</v>
      </c>
      <c r="E279" s="227">
        <f>Comprehension!E20</f>
        <v>9229.5682197069509</v>
      </c>
      <c r="G279" s="331" t="str">
        <f>Insurance!B17</f>
        <v>Akash Agarwal and Priyanka should have a health insurance cover of Rs. 25 L for the family. A floater policy with a cashless facility should be looked. This insurance cover should be in addition to any health cover that either of them may have from their employees.</v>
      </c>
      <c r="H279" s="331"/>
      <c r="I279" s="331"/>
      <c r="J279" s="331"/>
      <c r="K279" s="331"/>
    </row>
    <row r="280" spans="2:11" ht="21" customHeight="1" x14ac:dyDescent="0.2">
      <c r="B280" s="224" t="str">
        <f>Comprehension!B21</f>
        <v>4th Child's Marriage</v>
      </c>
      <c r="C280" s="225">
        <f>Comprehension!C21</f>
        <v>3071523.7559178104</v>
      </c>
      <c r="D280" s="226">
        <f>IF(C280&lt;=0,"",Comprehension!D21)</f>
        <v>23</v>
      </c>
      <c r="E280" s="227">
        <f>Comprehension!E21</f>
        <v>2652.652764601688</v>
      </c>
      <c r="G280" s="331"/>
      <c r="H280" s="331"/>
      <c r="I280" s="331"/>
      <c r="J280" s="331"/>
      <c r="K280" s="331"/>
    </row>
    <row r="281" spans="2:11" ht="21" customHeight="1" x14ac:dyDescent="0.2">
      <c r="B281" s="242"/>
      <c r="C281" s="243">
        <f>SUM(C278:C280)</f>
        <v>9392632.349471584</v>
      </c>
      <c r="D281" s="244"/>
      <c r="E281" s="243">
        <f>SUM(E278:E280)</f>
        <v>17066.088177837129</v>
      </c>
      <c r="G281" s="331"/>
      <c r="H281" s="331"/>
      <c r="I281" s="331"/>
      <c r="J281" s="331"/>
      <c r="K281" s="331"/>
    </row>
    <row r="282" spans="2:11" ht="15.75" customHeight="1" x14ac:dyDescent="0.2">
      <c r="B282" s="184"/>
      <c r="C282" s="184"/>
      <c r="D282" s="184"/>
      <c r="E282" s="184"/>
      <c r="G282" s="331"/>
      <c r="H282" s="331"/>
      <c r="I282" s="331"/>
      <c r="J282" s="331"/>
      <c r="K282" s="331"/>
    </row>
    <row r="283" spans="2:11" ht="15.75" customHeight="1" x14ac:dyDescent="0.2">
      <c r="B283" s="184"/>
      <c r="C283" s="184"/>
      <c r="D283" s="184"/>
      <c r="E283" s="184"/>
      <c r="G283" s="331"/>
      <c r="H283" s="331"/>
      <c r="I283" s="331"/>
      <c r="J283" s="331"/>
      <c r="K283" s="331"/>
    </row>
    <row r="284" spans="2:11" ht="15.75" customHeight="1" x14ac:dyDescent="0.2">
      <c r="B284" s="184"/>
      <c r="C284" s="184"/>
      <c r="D284" s="184"/>
      <c r="E284" s="184"/>
      <c r="G284" s="331"/>
      <c r="H284" s="331"/>
      <c r="I284" s="331"/>
      <c r="J284" s="331"/>
      <c r="K284" s="331"/>
    </row>
    <row r="285" spans="2:11" ht="16.5" customHeight="1" x14ac:dyDescent="0.2">
      <c r="B285" s="184"/>
      <c r="C285" s="184"/>
      <c r="D285" s="184"/>
      <c r="E285" s="184"/>
      <c r="G285" s="331"/>
      <c r="H285" s="331"/>
      <c r="I285" s="331"/>
      <c r="J285" s="331"/>
      <c r="K285" s="331"/>
    </row>
    <row r="286" spans="2:11" ht="16.5" customHeight="1" x14ac:dyDescent="0.2">
      <c r="B286" s="184"/>
      <c r="C286" s="184"/>
      <c r="D286" s="184"/>
      <c r="E286" s="184"/>
      <c r="G286" s="331"/>
      <c r="H286" s="331"/>
      <c r="I286" s="331"/>
      <c r="J286" s="331"/>
      <c r="K286" s="331"/>
    </row>
    <row r="287" spans="2:11" ht="16.5" customHeight="1" x14ac:dyDescent="0.2">
      <c r="B287" s="184"/>
      <c r="C287" s="184"/>
      <c r="D287" s="184"/>
      <c r="E287" s="184"/>
      <c r="G287" s="331"/>
      <c r="H287" s="331"/>
      <c r="I287" s="331"/>
      <c r="J287" s="331"/>
      <c r="K287" s="331"/>
    </row>
    <row r="288" spans="2:11" ht="16.5" customHeight="1" x14ac:dyDescent="0.2">
      <c r="B288" s="184"/>
      <c r="C288" s="184"/>
      <c r="D288" s="184"/>
      <c r="E288" s="184"/>
      <c r="G288" s="331"/>
      <c r="H288" s="331"/>
      <c r="I288" s="331"/>
      <c r="J288" s="331"/>
      <c r="K288" s="331"/>
    </row>
    <row r="289" spans="2:11" ht="16.5" customHeight="1" x14ac:dyDescent="0.2">
      <c r="B289" s="184"/>
      <c r="C289" s="184"/>
      <c r="D289" s="184"/>
      <c r="E289" s="184"/>
      <c r="G289" s="241"/>
      <c r="H289" s="241"/>
      <c r="I289" s="241"/>
      <c r="J289" s="241"/>
      <c r="K289" s="241"/>
    </row>
    <row r="290" spans="2:11" ht="16.5" customHeight="1" x14ac:dyDescent="0.2">
      <c r="B290" s="184"/>
      <c r="C290" s="184"/>
      <c r="D290" s="184"/>
      <c r="E290" s="184"/>
      <c r="G290" s="219"/>
      <c r="H290" s="219"/>
      <c r="I290" s="219"/>
      <c r="J290" s="219"/>
      <c r="K290" s="219"/>
    </row>
    <row r="291" spans="2:11" ht="16.5" customHeight="1" x14ac:dyDescent="0.2">
      <c r="B291" s="184"/>
      <c r="C291" s="184"/>
      <c r="D291" s="184"/>
      <c r="E291" s="184"/>
      <c r="G291" s="180" t="s">
        <v>136</v>
      </c>
      <c r="H291" s="219"/>
      <c r="I291" s="219"/>
      <c r="J291" s="219"/>
      <c r="K291" s="219"/>
    </row>
    <row r="292" spans="2:11" ht="16.5" customHeight="1" x14ac:dyDescent="0.2">
      <c r="B292" s="184"/>
      <c r="C292" s="184"/>
      <c r="D292" s="184"/>
      <c r="E292" s="184"/>
      <c r="G292" s="331" t="str">
        <f>Insurance!B23</f>
        <v>An emergency fund of Rs. 24 L, which is 12 times the monthly household expenses need to be created to take care of any exigencies, such loss of job, reduction in income, state of health leading to loss of income. This fund should ideally be in a liquid fund and should not be drawn from, except in any case of emergencies for which it was created.</v>
      </c>
      <c r="H292" s="331"/>
      <c r="I292" s="331"/>
      <c r="J292" s="331"/>
      <c r="K292" s="331"/>
    </row>
    <row r="293" spans="2:11" ht="16.5" customHeight="1" x14ac:dyDescent="0.2">
      <c r="B293" s="184"/>
      <c r="C293" s="184"/>
      <c r="D293" s="184"/>
      <c r="E293" s="184"/>
      <c r="G293" s="331"/>
      <c r="H293" s="331"/>
      <c r="I293" s="331"/>
      <c r="J293" s="331"/>
      <c r="K293" s="331"/>
    </row>
    <row r="294" spans="2:11" ht="16.5" customHeight="1" x14ac:dyDescent="0.2">
      <c r="B294" s="184"/>
      <c r="C294" s="184"/>
      <c r="D294" s="184"/>
      <c r="E294" s="184"/>
      <c r="G294" s="331"/>
      <c r="H294" s="331"/>
      <c r="I294" s="331"/>
      <c r="J294" s="331"/>
      <c r="K294" s="331"/>
    </row>
    <row r="295" spans="2:11" ht="16.5" customHeight="1" x14ac:dyDescent="0.2">
      <c r="B295" s="184"/>
      <c r="C295" s="184"/>
      <c r="D295" s="184"/>
      <c r="E295" s="184"/>
      <c r="G295" s="331"/>
      <c r="H295" s="331"/>
      <c r="I295" s="331"/>
      <c r="J295" s="331"/>
      <c r="K295" s="331"/>
    </row>
    <row r="296" spans="2:11" ht="16.5" customHeight="1" x14ac:dyDescent="0.2">
      <c r="B296" s="184"/>
      <c r="C296" s="184"/>
      <c r="D296" s="184"/>
      <c r="E296" s="184"/>
      <c r="G296" s="331"/>
      <c r="H296" s="331"/>
      <c r="I296" s="331"/>
      <c r="J296" s="331"/>
      <c r="K296" s="331"/>
    </row>
    <row r="297" spans="2:11" ht="16.5" customHeight="1" x14ac:dyDescent="0.2">
      <c r="B297" s="184"/>
      <c r="C297" s="184"/>
      <c r="D297" s="184"/>
      <c r="E297" s="184"/>
      <c r="G297" s="331"/>
      <c r="H297" s="331"/>
      <c r="I297" s="331"/>
      <c r="J297" s="331"/>
      <c r="K297" s="331"/>
    </row>
    <row r="298" spans="2:11" ht="16.5" customHeight="1" x14ac:dyDescent="0.2">
      <c r="B298" s="184"/>
      <c r="C298" s="184"/>
      <c r="D298" s="184"/>
      <c r="E298" s="184"/>
      <c r="G298" s="331"/>
      <c r="H298" s="331"/>
      <c r="I298" s="331"/>
      <c r="J298" s="331"/>
      <c r="K298" s="331"/>
    </row>
    <row r="299" spans="2:11" ht="16.5" customHeight="1" x14ac:dyDescent="0.2">
      <c r="B299" s="184"/>
      <c r="C299" s="184"/>
      <c r="D299" s="184"/>
      <c r="E299" s="184"/>
      <c r="G299" s="331"/>
      <c r="H299" s="331"/>
      <c r="I299" s="331"/>
      <c r="J299" s="331"/>
      <c r="K299" s="331"/>
    </row>
    <row r="300" spans="2:11" ht="16.5" customHeight="1" x14ac:dyDescent="0.2">
      <c r="B300" s="184"/>
      <c r="C300" s="184"/>
      <c r="D300" s="184"/>
      <c r="E300" s="184"/>
      <c r="G300" s="331"/>
      <c r="H300" s="331"/>
      <c r="I300" s="331"/>
      <c r="J300" s="331"/>
      <c r="K300" s="331"/>
    </row>
    <row r="301" spans="2:11" ht="16.5" customHeight="1" x14ac:dyDescent="0.2">
      <c r="B301" s="184"/>
      <c r="C301" s="184"/>
      <c r="D301" s="184"/>
      <c r="E301" s="184"/>
      <c r="G301" s="331"/>
      <c r="H301" s="331"/>
      <c r="I301" s="331"/>
      <c r="J301" s="331"/>
      <c r="K301" s="331"/>
    </row>
    <row r="302" spans="2:11" ht="16.5" customHeight="1" x14ac:dyDescent="0.2">
      <c r="B302" s="184"/>
      <c r="C302" s="184"/>
      <c r="D302" s="184"/>
      <c r="E302" s="184"/>
      <c r="G302" s="331"/>
      <c r="H302" s="331"/>
      <c r="I302" s="331"/>
      <c r="J302" s="331"/>
      <c r="K302" s="331"/>
    </row>
    <row r="303" spans="2:11" ht="16.5" customHeight="1" x14ac:dyDescent="0.2">
      <c r="B303" s="184"/>
      <c r="C303" s="184"/>
      <c r="D303" s="184"/>
      <c r="E303" s="184"/>
    </row>
    <row r="304" spans="2:11" ht="16.5" customHeight="1" x14ac:dyDescent="0.2">
      <c r="B304" s="184"/>
      <c r="C304" s="184"/>
      <c r="D304" s="184"/>
      <c r="E304" s="184"/>
    </row>
    <row r="305" spans="2:5" ht="16.5" customHeight="1" x14ac:dyDescent="0.2">
      <c r="B305" s="184"/>
      <c r="C305" s="184"/>
      <c r="D305" s="184"/>
      <c r="E305" s="184"/>
    </row>
    <row r="306" spans="2:5" ht="16.5" customHeight="1" x14ac:dyDescent="0.2"/>
    <row r="330" spans="3:9" ht="36" customHeight="1" x14ac:dyDescent="0.2"/>
    <row r="331" spans="3:9" ht="51.75" customHeight="1" x14ac:dyDescent="0.35">
      <c r="C331" s="348" t="s">
        <v>219</v>
      </c>
      <c r="D331" s="348"/>
      <c r="E331" s="348"/>
      <c r="F331" s="348"/>
      <c r="G331" s="348"/>
      <c r="H331" s="348"/>
      <c r="I331" s="348"/>
    </row>
    <row r="332" spans="3:9" ht="27.75" x14ac:dyDescent="0.35">
      <c r="C332" s="277"/>
      <c r="D332" s="277"/>
      <c r="E332" s="277"/>
      <c r="F332" s="277"/>
      <c r="G332" s="277"/>
      <c r="H332" s="277"/>
      <c r="I332" s="277"/>
    </row>
    <row r="333" spans="3:9" ht="89.25" customHeight="1" x14ac:dyDescent="0.2">
      <c r="C333" s="349" t="s">
        <v>220</v>
      </c>
      <c r="D333" s="349"/>
      <c r="E333" s="349"/>
      <c r="F333" s="349"/>
      <c r="G333" s="349"/>
      <c r="H333" s="349"/>
      <c r="I333" s="349"/>
    </row>
    <row r="334" spans="3:9" ht="27.75" x14ac:dyDescent="0.35">
      <c r="C334" s="277"/>
      <c r="D334" s="277"/>
      <c r="E334" s="277"/>
      <c r="F334" s="277"/>
      <c r="G334" s="277"/>
      <c r="H334" s="277"/>
      <c r="I334" s="277"/>
    </row>
    <row r="335" spans="3:9" ht="52.5" customHeight="1" x14ac:dyDescent="0.35">
      <c r="C335" s="348" t="s">
        <v>202</v>
      </c>
      <c r="D335" s="348"/>
      <c r="E335" s="348"/>
      <c r="F335" s="348"/>
      <c r="G335" s="348"/>
      <c r="H335" s="348"/>
      <c r="I335" s="348"/>
    </row>
    <row r="340" spans="3:9" ht="88.5" x14ac:dyDescent="1.1000000000000001">
      <c r="C340" s="352" t="s">
        <v>201</v>
      </c>
      <c r="D340" s="352"/>
      <c r="E340" s="352"/>
      <c r="F340" s="352"/>
      <c r="G340" s="352"/>
      <c r="H340" s="352"/>
      <c r="I340" s="352"/>
    </row>
    <row r="342" spans="3:9" ht="33" customHeight="1" x14ac:dyDescent="0.2">
      <c r="C342" s="347" t="s">
        <v>225</v>
      </c>
      <c r="D342" s="347"/>
      <c r="E342" s="347"/>
      <c r="F342" s="347"/>
      <c r="G342" s="347"/>
      <c r="H342" s="347"/>
      <c r="I342" s="347"/>
    </row>
    <row r="343" spans="3:9" ht="33.75" customHeight="1" x14ac:dyDescent="0.2">
      <c r="C343" s="347"/>
      <c r="D343" s="347"/>
      <c r="E343" s="347"/>
      <c r="F343" s="347"/>
      <c r="G343" s="347"/>
      <c r="H343" s="347"/>
      <c r="I343" s="347"/>
    </row>
    <row r="344" spans="3:9" ht="33.75" customHeight="1" x14ac:dyDescent="0.35">
      <c r="C344" s="350"/>
      <c r="D344" s="350"/>
      <c r="E344" s="350"/>
      <c r="F344" s="350"/>
      <c r="G344" s="350"/>
      <c r="H344" s="350"/>
      <c r="I344" s="350"/>
    </row>
    <row r="345" spans="3:9" ht="53.25" customHeight="1" x14ac:dyDescent="0.2">
      <c r="C345" s="351"/>
      <c r="D345" s="351"/>
      <c r="E345" s="351"/>
      <c r="F345" s="351"/>
      <c r="G345" s="351"/>
      <c r="H345" s="351"/>
      <c r="I345" s="351"/>
    </row>
    <row r="346" spans="3:9" ht="25.5" x14ac:dyDescent="0.3">
      <c r="C346" s="276"/>
      <c r="D346" s="276"/>
      <c r="E346" s="276"/>
      <c r="F346" s="276"/>
      <c r="G346" s="276"/>
      <c r="H346" s="276"/>
      <c r="I346" s="276"/>
    </row>
  </sheetData>
  <sheetProtection algorithmName="SHA-512" hashValue="Rqb4ISrGwVcn76pfPudxNWx31uaPuC2axkQjnSCE0kQCreJQYfX+IjNM+FKL8o1rxihjPsY4XuGVpgFy+cKqAg==" saltValue="YV2YxjrgnUdYlnfdkrJk/A==" spinCount="100000" sheet="1" objects="1" scenarios="1" selectLockedCells="1" selectUnlockedCells="1"/>
  <mergeCells count="226">
    <mergeCell ref="B1:K1"/>
    <mergeCell ref="C342:I343"/>
    <mergeCell ref="C331:I331"/>
    <mergeCell ref="C333:I333"/>
    <mergeCell ref="C335:I335"/>
    <mergeCell ref="C344:I344"/>
    <mergeCell ref="C345:I345"/>
    <mergeCell ref="C340:I340"/>
    <mergeCell ref="B178:E178"/>
    <mergeCell ref="B197:K197"/>
    <mergeCell ref="B44:C44"/>
    <mergeCell ref="I152:K152"/>
    <mergeCell ref="B41:K41"/>
    <mergeCell ref="B195:K195"/>
    <mergeCell ref="E47:H50"/>
    <mergeCell ref="H106:I106"/>
    <mergeCell ref="H107:I107"/>
    <mergeCell ref="D153:H153"/>
    <mergeCell ref="B150:K150"/>
    <mergeCell ref="B152:C152"/>
    <mergeCell ref="C37:E37"/>
    <mergeCell ref="B53:K57"/>
    <mergeCell ref="G292:K302"/>
    <mergeCell ref="G279:K288"/>
    <mergeCell ref="L104:M104"/>
    <mergeCell ref="F104:G104"/>
    <mergeCell ref="H104:I104"/>
    <mergeCell ref="J104:K104"/>
    <mergeCell ref="C10:I10"/>
    <mergeCell ref="C2:I2"/>
    <mergeCell ref="C21:I21"/>
    <mergeCell ref="C34:I34"/>
    <mergeCell ref="E43:H44"/>
    <mergeCell ref="B39:K39"/>
    <mergeCell ref="B43:C43"/>
    <mergeCell ref="J11:K11"/>
    <mergeCell ref="F13:H13"/>
    <mergeCell ref="F14:H14"/>
    <mergeCell ref="F36:H36"/>
    <mergeCell ref="F12:I12"/>
    <mergeCell ref="F19:I19"/>
    <mergeCell ref="F23:I23"/>
    <mergeCell ref="F26:I26"/>
    <mergeCell ref="F29:I29"/>
    <mergeCell ref="F32:I32"/>
    <mergeCell ref="C35:E35"/>
    <mergeCell ref="C36:E36"/>
    <mergeCell ref="C17:I17"/>
    <mergeCell ref="G263:K276"/>
    <mergeCell ref="B251:K251"/>
    <mergeCell ref="G260:K260"/>
    <mergeCell ref="B253:K253"/>
    <mergeCell ref="D213:F214"/>
    <mergeCell ref="F113:G113"/>
    <mergeCell ref="F114:G114"/>
    <mergeCell ref="F115:G115"/>
    <mergeCell ref="F116:G116"/>
    <mergeCell ref="F117:G117"/>
    <mergeCell ref="F127:G127"/>
    <mergeCell ref="F133:G133"/>
    <mergeCell ref="F134:G134"/>
    <mergeCell ref="F135:G135"/>
    <mergeCell ref="F143:G143"/>
    <mergeCell ref="H144:I144"/>
    <mergeCell ref="H142:I142"/>
    <mergeCell ref="H143:I143"/>
    <mergeCell ref="F124:G124"/>
    <mergeCell ref="F125:G125"/>
    <mergeCell ref="F126:G126"/>
    <mergeCell ref="F118:G118"/>
    <mergeCell ref="F119:G119"/>
    <mergeCell ref="F120:G120"/>
    <mergeCell ref="B94:K94"/>
    <mergeCell ref="B148:K148"/>
    <mergeCell ref="F105:G105"/>
    <mergeCell ref="H105:I105"/>
    <mergeCell ref="J105:K105"/>
    <mergeCell ref="F96:K99"/>
    <mergeCell ref="F106:G106"/>
    <mergeCell ref="F107:G107"/>
    <mergeCell ref="H108:I108"/>
    <mergeCell ref="H109:I109"/>
    <mergeCell ref="H110:I110"/>
    <mergeCell ref="F136:G136"/>
    <mergeCell ref="F137:G137"/>
    <mergeCell ref="F128:G128"/>
    <mergeCell ref="F129:G129"/>
    <mergeCell ref="F130:G130"/>
    <mergeCell ref="F131:G131"/>
    <mergeCell ref="F132:G132"/>
    <mergeCell ref="F108:G108"/>
    <mergeCell ref="F109:G109"/>
    <mergeCell ref="F110:G110"/>
    <mergeCell ref="F111:G111"/>
    <mergeCell ref="F112:G112"/>
    <mergeCell ref="F123:G123"/>
    <mergeCell ref="F121:G121"/>
    <mergeCell ref="F122:G122"/>
    <mergeCell ref="J106:K106"/>
    <mergeCell ref="J107:K107"/>
    <mergeCell ref="J108:K108"/>
    <mergeCell ref="J109:K109"/>
    <mergeCell ref="J110:K110"/>
    <mergeCell ref="J111:K111"/>
    <mergeCell ref="J112:K112"/>
    <mergeCell ref="J113:K113"/>
    <mergeCell ref="J114:K114"/>
    <mergeCell ref="J115:K115"/>
    <mergeCell ref="J116:K116"/>
    <mergeCell ref="J117:K117"/>
    <mergeCell ref="J118:K118"/>
    <mergeCell ref="H145:I145"/>
    <mergeCell ref="H146:I146"/>
    <mergeCell ref="H137:I137"/>
    <mergeCell ref="H138:I138"/>
    <mergeCell ref="H139:I139"/>
    <mergeCell ref="H140:I140"/>
    <mergeCell ref="H141:I141"/>
    <mergeCell ref="H132:I132"/>
    <mergeCell ref="H133:I133"/>
    <mergeCell ref="H134:I134"/>
    <mergeCell ref="H135:I135"/>
    <mergeCell ref="H136:I136"/>
    <mergeCell ref="J145:K145"/>
    <mergeCell ref="J143:K143"/>
    <mergeCell ref="J144:K144"/>
    <mergeCell ref="J131:K131"/>
    <mergeCell ref="J132:K132"/>
    <mergeCell ref="J133:K133"/>
    <mergeCell ref="H115:I115"/>
    <mergeCell ref="H116:I116"/>
    <mergeCell ref="D104:E104"/>
    <mergeCell ref="H122:I122"/>
    <mergeCell ref="H123:I123"/>
    <mergeCell ref="H111:I111"/>
    <mergeCell ref="H112:I112"/>
    <mergeCell ref="H117:I117"/>
    <mergeCell ref="H118:I118"/>
    <mergeCell ref="H119:I119"/>
    <mergeCell ref="H120:I120"/>
    <mergeCell ref="H121:I121"/>
    <mergeCell ref="H127:I127"/>
    <mergeCell ref="H128:I128"/>
    <mergeCell ref="H129:I129"/>
    <mergeCell ref="H113:I113"/>
    <mergeCell ref="H114:I114"/>
    <mergeCell ref="J129:K129"/>
    <mergeCell ref="B96:E99"/>
    <mergeCell ref="D105:E105"/>
    <mergeCell ref="D106:E106"/>
    <mergeCell ref="D107:E107"/>
    <mergeCell ref="D108:E108"/>
    <mergeCell ref="D109:E109"/>
    <mergeCell ref="D110:E110"/>
    <mergeCell ref="D111:E111"/>
    <mergeCell ref="D131:E131"/>
    <mergeCell ref="D122:E122"/>
    <mergeCell ref="D123:E123"/>
    <mergeCell ref="D125:E125"/>
    <mergeCell ref="D126:E126"/>
    <mergeCell ref="D117:E117"/>
    <mergeCell ref="D118:E118"/>
    <mergeCell ref="D119:E119"/>
    <mergeCell ref="D120:E120"/>
    <mergeCell ref="D121:E121"/>
    <mergeCell ref="J130:K130"/>
    <mergeCell ref="J119:K119"/>
    <mergeCell ref="J126:K126"/>
    <mergeCell ref="J127:K127"/>
    <mergeCell ref="J128:K128"/>
    <mergeCell ref="H124:I124"/>
    <mergeCell ref="H125:I125"/>
    <mergeCell ref="H126:I126"/>
    <mergeCell ref="J120:K120"/>
    <mergeCell ref="J121:K121"/>
    <mergeCell ref="J122:K122"/>
    <mergeCell ref="J123:K123"/>
    <mergeCell ref="J124:K124"/>
    <mergeCell ref="D204:F204"/>
    <mergeCell ref="D211:F212"/>
    <mergeCell ref="D208:F209"/>
    <mergeCell ref="D205:F207"/>
    <mergeCell ref="H199:K212"/>
    <mergeCell ref="D137:E137"/>
    <mergeCell ref="D138:E138"/>
    <mergeCell ref="D139:E139"/>
    <mergeCell ref="D140:E140"/>
    <mergeCell ref="D141:E141"/>
    <mergeCell ref="J139:K139"/>
    <mergeCell ref="J140:K140"/>
    <mergeCell ref="J141:K141"/>
    <mergeCell ref="J142:K142"/>
    <mergeCell ref="J138:K138"/>
    <mergeCell ref="F144:G144"/>
    <mergeCell ref="F145:G145"/>
    <mergeCell ref="F146:G146"/>
    <mergeCell ref="F138:G138"/>
    <mergeCell ref="F139:G139"/>
    <mergeCell ref="F140:G140"/>
    <mergeCell ref="F141:G141"/>
    <mergeCell ref="F142:G142"/>
    <mergeCell ref="J137:K137"/>
    <mergeCell ref="F35:H35"/>
    <mergeCell ref="H130:I130"/>
    <mergeCell ref="H131:I131"/>
    <mergeCell ref="J125:K125"/>
    <mergeCell ref="D142:E142"/>
    <mergeCell ref="E59:K59"/>
    <mergeCell ref="D132:E132"/>
    <mergeCell ref="D133:E133"/>
    <mergeCell ref="D134:E134"/>
    <mergeCell ref="D135:E135"/>
    <mergeCell ref="D136:E136"/>
    <mergeCell ref="D127:E127"/>
    <mergeCell ref="D128:E128"/>
    <mergeCell ref="D129:E129"/>
    <mergeCell ref="D130:E130"/>
    <mergeCell ref="D112:E112"/>
    <mergeCell ref="D113:E113"/>
    <mergeCell ref="D114:E114"/>
    <mergeCell ref="D115:E115"/>
    <mergeCell ref="D116:E116"/>
    <mergeCell ref="J134:K134"/>
    <mergeCell ref="J135:K135"/>
    <mergeCell ref="J136:K136"/>
    <mergeCell ref="D124:E124"/>
  </mergeCells>
  <printOptions horizontalCentered="1"/>
  <pageMargins left="0.23622047244094491" right="0.23622047244094491" top="0.74803149606299213" bottom="0.74803149606299213" header="0.31496062992125984" footer="0.31496062992125984"/>
  <pageSetup paperSize="9" scale="55" fitToHeight="0" orientation="portrait" cellComments="atEnd" r:id="rId1"/>
  <headerFooter>
    <oddHeader>&amp;R&amp;P</oddHeader>
  </headerFooter>
  <rowBreaks count="5" manualBreakCount="5">
    <brk id="37" max="16383" man="1"/>
    <brk id="92" max="16383" man="1"/>
    <brk id="146" max="16383" man="1"/>
    <brk id="193" max="16383" man="1"/>
    <brk id="249" max="16383" man="1"/>
  </row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AFD44A-2ADE-1643-837B-FA208931DD08}">
  <sheetPr codeName="Sheet9">
    <pageSetUpPr fitToPage="1"/>
  </sheetPr>
  <dimension ref="A1:H75"/>
  <sheetViews>
    <sheetView topLeftCell="A34" zoomScale="65" zoomScaleNormal="65" zoomScaleSheetLayoutView="50" workbookViewId="0">
      <selection activeCell="H55" sqref="H55"/>
    </sheetView>
  </sheetViews>
  <sheetFormatPr defaultColWidth="10.8515625" defaultRowHeight="23.25" x14ac:dyDescent="0.2"/>
  <cols>
    <col min="1" max="1" width="10.8515625" style="58"/>
    <col min="2" max="2" width="33.046875" style="58" customWidth="1"/>
    <col min="3" max="3" width="19.48046875" style="58" customWidth="1"/>
    <col min="4" max="4" width="25.03125" style="58" customWidth="1"/>
    <col min="5" max="5" width="17.6328125" style="58" customWidth="1"/>
    <col min="6" max="6" width="10.8515625" style="58" customWidth="1"/>
    <col min="7" max="7" width="11.9609375" style="58" bestFit="1" customWidth="1"/>
    <col min="8" max="8" width="18.7421875" style="58" customWidth="1"/>
    <col min="9" max="16384" width="10.8515625" style="58"/>
  </cols>
  <sheetData>
    <row r="1" spans="2:5" x14ac:dyDescent="0.2">
      <c r="B1" s="58" t="str">
        <f>"Report Created by "&amp;'Family Details'!C32</f>
        <v>Report Created by Rakesh Agarwal</v>
      </c>
    </row>
    <row r="4" spans="2:5" x14ac:dyDescent="0.2">
      <c r="B4" s="58" t="s">
        <v>52</v>
      </c>
      <c r="C4" s="182">
        <f>Comprehension!E5</f>
        <v>147220.83163703704</v>
      </c>
      <c r="D4" s="183">
        <f>C4/SUM($C$4:$C$7)</f>
        <v>0.45878525153736582</v>
      </c>
      <c r="E4" s="183">
        <f>1-D4</f>
        <v>0.54121474846263418</v>
      </c>
    </row>
    <row r="5" spans="2:5" x14ac:dyDescent="0.2">
      <c r="B5" s="58" t="s">
        <v>164</v>
      </c>
      <c r="C5" s="182">
        <f>Comprehension!E7+Comprehension!E11+Comprehension!E15+Comprehension!E19</f>
        <v>27972.768119861772</v>
      </c>
      <c r="D5" s="183">
        <f t="shared" ref="D5:D7" si="0">C5/SUM($C$4:$C$7)</f>
        <v>8.7171722339589128E-2</v>
      </c>
      <c r="E5" s="183">
        <f t="shared" ref="E5:E7" si="1">1-D5</f>
        <v>0.91282827766041086</v>
      </c>
    </row>
    <row r="6" spans="2:5" x14ac:dyDescent="0.2">
      <c r="B6" s="58" t="s">
        <v>165</v>
      </c>
      <c r="C6" s="182">
        <f>Comprehension!E8+Comprehension!E12+Comprehension!E16+Comprehension!E20</f>
        <v>124924.15370889894</v>
      </c>
      <c r="D6" s="183">
        <f t="shared" si="0"/>
        <v>0.38930196661116512</v>
      </c>
      <c r="E6" s="183">
        <f t="shared" si="1"/>
        <v>0.61069803338883488</v>
      </c>
    </row>
    <row r="7" spans="2:5" x14ac:dyDescent="0.2">
      <c r="B7" s="58" t="s">
        <v>166</v>
      </c>
      <c r="C7" s="182">
        <f>Comprehension!E9+Comprehension!E13+Comprehension!E17+Comprehension!E21</f>
        <v>20774.93247758771</v>
      </c>
      <c r="D7" s="183">
        <f t="shared" si="0"/>
        <v>6.4741059511879917E-2</v>
      </c>
      <c r="E7" s="183">
        <f t="shared" si="1"/>
        <v>0.93525894048812008</v>
      </c>
    </row>
    <row r="9" spans="2:5" x14ac:dyDescent="0.2">
      <c r="C9" s="58" t="s">
        <v>48</v>
      </c>
      <c r="D9" s="58" t="s">
        <v>185</v>
      </c>
    </row>
    <row r="10" spans="2:5" x14ac:dyDescent="0.2">
      <c r="B10" s="58" t="str">
        <f>'Family Details'!C16</f>
        <v>Sneha</v>
      </c>
      <c r="C10" s="58">
        <f>Comprehension!E7</f>
        <v>0</v>
      </c>
      <c r="D10" s="58">
        <f>Comprehension!E8</f>
        <v>86589.613135442429</v>
      </c>
    </row>
    <row r="11" spans="2:5" x14ac:dyDescent="0.2">
      <c r="B11" s="58" t="str">
        <f>'Family Details'!C19</f>
        <v>Amit</v>
      </c>
      <c r="C11" s="58">
        <f>Comprehension!E11</f>
        <v>15674.790086156212</v>
      </c>
      <c r="D11" s="58">
        <f>Comprehension!E12</f>
        <v>17623.646256256929</v>
      </c>
    </row>
    <row r="12" spans="2:5" x14ac:dyDescent="0.2">
      <c r="B12" s="58" t="str">
        <f>'Family Details'!C22</f>
        <v>Neekunj</v>
      </c>
      <c r="C12" s="58">
        <f>Comprehension!E15</f>
        <v>7114.1108401770716</v>
      </c>
      <c r="D12" s="58">
        <f>Comprehension!E16</f>
        <v>11481.326097492625</v>
      </c>
    </row>
    <row r="13" spans="2:5" x14ac:dyDescent="0.2">
      <c r="B13" s="58" t="str">
        <f>'Family Details'!C25</f>
        <v>Reena</v>
      </c>
      <c r="C13" s="58">
        <f>Comprehension!E19</f>
        <v>5183.8671935284892</v>
      </c>
      <c r="D13" s="58">
        <f>Comprehension!E20</f>
        <v>9229.5682197069509</v>
      </c>
    </row>
    <row r="16" spans="2:5" x14ac:dyDescent="0.2">
      <c r="B16" s="58" t="s">
        <v>193</v>
      </c>
      <c r="C16" s="58" t="s">
        <v>184</v>
      </c>
      <c r="D16" s="58" t="s">
        <v>47</v>
      </c>
    </row>
    <row r="17" spans="1:8" x14ac:dyDescent="0.2">
      <c r="B17" s="58" t="str">
        <f>IF(ISBLANK('Family Details'!C16),"",'Family Details'!C16)</f>
        <v>Sneha</v>
      </c>
      <c r="C17" s="211">
        <f>Marriage!K3</f>
        <v>1477455.4437890626</v>
      </c>
      <c r="D17" s="211">
        <f>Marriage!M3</f>
        <v>9806.7145522544415</v>
      </c>
    </row>
    <row r="18" spans="1:8" x14ac:dyDescent="0.2">
      <c r="B18" s="58" t="str">
        <f>IF(ISBLANK('Family Details'!C19),"",'Family Details'!C19)</f>
        <v>Amit</v>
      </c>
      <c r="C18" s="211">
        <f>Marriage!K6</f>
        <v>1885649.142323236</v>
      </c>
      <c r="D18" s="211">
        <f>Marriage!M6</f>
        <v>5662.9123961298938</v>
      </c>
    </row>
    <row r="19" spans="1:8" x14ac:dyDescent="0.2">
      <c r="B19" s="58" t="str">
        <f>IF(ISBLANK('Family Details'!C22),"",'Family Details'!C22)</f>
        <v>Neekunj</v>
      </c>
      <c r="C19" s="211">
        <f>Marriage!K9</f>
        <v>2406619.2336910847</v>
      </c>
      <c r="D19" s="211">
        <f>Marriage!M9</f>
        <v>3759.1095805066325</v>
      </c>
    </row>
    <row r="20" spans="1:8" x14ac:dyDescent="0.2">
      <c r="B20" s="58" t="str">
        <f>IF(ISBLANK('Family Details'!C25),"",'Family Details'!C25)</f>
        <v>Reena</v>
      </c>
      <c r="C20" s="211">
        <f>Marriage!K12</f>
        <v>3071523.7559178104</v>
      </c>
      <c r="D20" s="211">
        <f>Marriage!M12</f>
        <v>2652.652764601688</v>
      </c>
    </row>
    <row r="21" spans="1:8" x14ac:dyDescent="0.2">
      <c r="B21" s="58" t="s">
        <v>204</v>
      </c>
      <c r="C21" s="211">
        <f>SUM(C17:C20)</f>
        <v>8841247.5757211931</v>
      </c>
      <c r="D21" s="211">
        <f>SUM(D17:D20)</f>
        <v>21881.389293492655</v>
      </c>
    </row>
    <row r="25" spans="1:8" x14ac:dyDescent="0.2">
      <c r="B25" s="58" t="s">
        <v>48</v>
      </c>
      <c r="C25" s="211">
        <f>Education!K4+Education!K7+Education!K10+Education!K13</f>
        <v>3463430.012196552</v>
      </c>
      <c r="D25" s="211">
        <f>Education!L4+Education!L7+Education!L10+Education!L13</f>
        <v>0.44</v>
      </c>
      <c r="E25" s="211">
        <f>Education!M4+Education!M7+Education!M10+Education!M13</f>
        <v>27972.768119861772</v>
      </c>
    </row>
    <row r="26" spans="1:8" x14ac:dyDescent="0.2">
      <c r="B26" s="58" t="s">
        <v>185</v>
      </c>
      <c r="C26" s="211">
        <f>Education!K19+Education!K22+Education!K25+Education!K28</f>
        <v>10319650.692467224</v>
      </c>
      <c r="D26" s="211">
        <f>Education!L19+Education!L22+Education!L25+Education!L28</f>
        <v>0.44</v>
      </c>
      <c r="E26" s="211">
        <f>Education!M19+Education!M22+Education!M25+Education!M28</f>
        <v>124924.15370889894</v>
      </c>
    </row>
    <row r="27" spans="1:8" x14ac:dyDescent="0.2">
      <c r="C27" s="211">
        <f>SUM(C25:C26)</f>
        <v>13783080.704663776</v>
      </c>
      <c r="D27" s="211">
        <f t="shared" ref="D27:E27" si="2">SUM(D25:D26)</f>
        <v>0.88</v>
      </c>
      <c r="E27" s="211">
        <f t="shared" si="2"/>
        <v>152896.92182876071</v>
      </c>
    </row>
    <row r="31" spans="1:8" x14ac:dyDescent="0.2">
      <c r="B31" s="58" t="s">
        <v>194</v>
      </c>
      <c r="C31" s="58" t="s">
        <v>208</v>
      </c>
      <c r="D31" s="58" t="s">
        <v>195</v>
      </c>
      <c r="F31" s="58" t="s">
        <v>194</v>
      </c>
      <c r="G31" s="58" t="s">
        <v>208</v>
      </c>
      <c r="H31" s="58" t="s">
        <v>195</v>
      </c>
    </row>
    <row r="32" spans="1:8" x14ac:dyDescent="0.2">
      <c r="A32" s="58">
        <v>0</v>
      </c>
      <c r="B32" s="58">
        <f>'Family Details'!C9</f>
        <v>37</v>
      </c>
      <c r="C32" s="238">
        <f>'Family Details'!C28*12</f>
        <v>2400000</v>
      </c>
      <c r="D32" s="238">
        <f>IF(B32&gt;60,"",FV((1+Retirement!$G$16)^(1/12)-1,Working!A32*12,-Retirement!$H$16,,1))</f>
        <v>0</v>
      </c>
      <c r="F32" s="58" cm="1">
        <f t="array" aca="1" ref="F32:F55" ca="1">OFFSET($B$32,0,0,COUNT($B$32:$B$75),1)</f>
        <v>37</v>
      </c>
      <c r="G32" s="58" cm="1">
        <f t="array" aca="1" ref="G32:G55" ca="1">OFFSET($C$32,0,0,COUNT($B$32:$B$75),1)</f>
        <v>2400000</v>
      </c>
      <c r="H32" s="58" cm="1">
        <f t="array" aca="1" ref="H32:H55" ca="1">OFFSET($D$32,0,0,COUNT($B$32:$B$75),1)</f>
        <v>0</v>
      </c>
    </row>
    <row r="33" spans="1:8" x14ac:dyDescent="0.2">
      <c r="A33" s="58">
        <f>A32+1</f>
        <v>1</v>
      </c>
      <c r="B33" s="58">
        <f>IF(B32&lt;60,B32+1,"")</f>
        <v>38</v>
      </c>
      <c r="C33" s="238">
        <f>IF(B33&gt;60,"",C32*(1+Retirement!$I$3))</f>
        <v>2520000</v>
      </c>
      <c r="D33" s="238">
        <f>IF(B33&gt;60,"",FV((1+Retirement!$G$16)^(1/12)-1,Working!A33*12,-Retirement!$H$16,,1))</f>
        <v>1870234.8807983585</v>
      </c>
      <c r="F33" s="58">
        <f ca="1"/>
        <v>38</v>
      </c>
      <c r="G33" s="58">
        <f ca="1"/>
        <v>2520000</v>
      </c>
      <c r="H33" s="58">
        <f ca="1"/>
        <v>1870234.8807983585</v>
      </c>
    </row>
    <row r="34" spans="1:8" x14ac:dyDescent="0.2">
      <c r="A34" s="58">
        <f t="shared" ref="A34:A75" si="3">A33+1</f>
        <v>2</v>
      </c>
      <c r="B34" s="58">
        <f t="shared" ref="B34:B75" si="4">IF(B33&lt;60,B33+1,"")</f>
        <v>39</v>
      </c>
      <c r="C34" s="238">
        <f>IF(B34&gt;60,"",C33*(1+Retirement!$I$3))</f>
        <v>2646000</v>
      </c>
      <c r="D34" s="238">
        <f>IF(B34&gt;60,"",FV((1+Retirement!$G$16)^(1/12)-1,Working!A34*12,-Retirement!$H$16,,1))</f>
        <v>3946195.5984845334</v>
      </c>
      <c r="F34" s="58">
        <f ca="1"/>
        <v>39</v>
      </c>
      <c r="G34" s="58">
        <f ca="1"/>
        <v>2646000</v>
      </c>
      <c r="H34" s="58">
        <f ca="1"/>
        <v>3946195.5984845334</v>
      </c>
    </row>
    <row r="35" spans="1:8" x14ac:dyDescent="0.2">
      <c r="A35" s="58">
        <f t="shared" si="3"/>
        <v>3</v>
      </c>
      <c r="B35" s="58">
        <f t="shared" si="4"/>
        <v>40</v>
      </c>
      <c r="C35" s="238">
        <f>IF(B35&gt;60,"",C34*(1+Retirement!$I$3))</f>
        <v>2778300</v>
      </c>
      <c r="D35" s="238">
        <f>IF(B35&gt;60,"",FV((1+Retirement!$G$16)^(1/12)-1,Working!A35*12,-Retirement!$H$16,,1))</f>
        <v>6250511.995116191</v>
      </c>
      <c r="F35" s="58">
        <f ca="1"/>
        <v>40</v>
      </c>
      <c r="G35" s="58">
        <f ca="1"/>
        <v>2778300</v>
      </c>
      <c r="H35" s="58">
        <f ca="1"/>
        <v>6250511.995116191</v>
      </c>
    </row>
    <row r="36" spans="1:8" x14ac:dyDescent="0.2">
      <c r="A36" s="58">
        <f t="shared" si="3"/>
        <v>4</v>
      </c>
      <c r="B36" s="58">
        <f t="shared" si="4"/>
        <v>41</v>
      </c>
      <c r="C36" s="238">
        <f>IF(B36&gt;60,"",C35*(1+Retirement!$I$3))</f>
        <v>2917215</v>
      </c>
      <c r="D36" s="238">
        <f>IF(B36&gt;60,"",FV((1+Retirement!$G$16)^(1/12)-1,Working!A36*12,-Retirement!$H$16,,1))</f>
        <v>8808303.1953773275</v>
      </c>
      <c r="F36" s="58">
        <f ca="1"/>
        <v>41</v>
      </c>
      <c r="G36" s="58">
        <f ca="1"/>
        <v>2917215</v>
      </c>
      <c r="H36" s="58">
        <f ca="1"/>
        <v>8808303.1953773275</v>
      </c>
    </row>
    <row r="37" spans="1:8" x14ac:dyDescent="0.2">
      <c r="A37" s="58">
        <f t="shared" si="3"/>
        <v>5</v>
      </c>
      <c r="B37" s="58">
        <f t="shared" si="4"/>
        <v>42</v>
      </c>
      <c r="C37" s="238">
        <f>IF(B37&gt;60,"",C36*(1+Retirement!$I$3))</f>
        <v>3063075.75</v>
      </c>
      <c r="D37" s="238">
        <f>IF(B37&gt;60,"",FV((1+Retirement!$G$16)^(1/12)-1,Working!A37*12,-Retirement!$H$16,,1))</f>
        <v>11647451.427667189</v>
      </c>
      <c r="F37" s="58">
        <f ca="1"/>
        <v>42</v>
      </c>
      <c r="G37" s="58">
        <f ca="1"/>
        <v>3063075.75</v>
      </c>
      <c r="H37" s="58">
        <f ca="1"/>
        <v>11647451.427667189</v>
      </c>
    </row>
    <row r="38" spans="1:8" x14ac:dyDescent="0.2">
      <c r="A38" s="58">
        <f t="shared" si="3"/>
        <v>6</v>
      </c>
      <c r="B38" s="58">
        <f t="shared" si="4"/>
        <v>43</v>
      </c>
      <c r="C38" s="238">
        <f>IF(B38&gt;60,"",C37*(1+Retirement!$I$3))</f>
        <v>3216229.5375000001</v>
      </c>
      <c r="D38" s="238">
        <f>IF(B38&gt;60,"",FV((1+Retirement!$G$16)^(1/12)-1,Working!A38*12,-Retirement!$H$16,,1))</f>
        <v>14798905.965508932</v>
      </c>
      <c r="F38" s="58">
        <f ca="1"/>
        <v>43</v>
      </c>
      <c r="G38" s="58">
        <f ca="1"/>
        <v>3216229.5375000001</v>
      </c>
      <c r="H38" s="58">
        <f ca="1"/>
        <v>14798905.965508932</v>
      </c>
    </row>
    <row r="39" spans="1:8" x14ac:dyDescent="0.2">
      <c r="A39" s="58">
        <f t="shared" si="3"/>
        <v>7</v>
      </c>
      <c r="B39" s="58">
        <f t="shared" si="4"/>
        <v>44</v>
      </c>
      <c r="C39" s="238">
        <f>IF(B39&gt;60,"",C38*(1+Retirement!$I$3))</f>
        <v>3377041.0143750003</v>
      </c>
      <c r="D39" s="238">
        <f>IF(B39&gt;60,"",FV((1+Retirement!$G$16)^(1/12)-1,Working!A39*12,-Retirement!$H$16,,1))</f>
        <v>18297020.502513267</v>
      </c>
      <c r="F39" s="58">
        <f ca="1"/>
        <v>44</v>
      </c>
      <c r="G39" s="58">
        <f ca="1"/>
        <v>3377041.0143750003</v>
      </c>
      <c r="H39" s="58">
        <f ca="1"/>
        <v>18297020.502513267</v>
      </c>
    </row>
    <row r="40" spans="1:8" x14ac:dyDescent="0.2">
      <c r="A40" s="58">
        <f t="shared" si="3"/>
        <v>8</v>
      </c>
      <c r="B40" s="58">
        <f t="shared" si="4"/>
        <v>45</v>
      </c>
      <c r="C40" s="238">
        <f>IF(B40&gt;60,"",C39*(1+Retirement!$I$3))</f>
        <v>3545893.0650937506</v>
      </c>
      <c r="D40" s="238">
        <f>IF(B40&gt;60,"",FV((1+Retirement!$G$16)^(1/12)-1,Working!A40*12,-Retirement!$H$16,,1))</f>
        <v>22179927.638588082</v>
      </c>
      <c r="F40" s="58">
        <f ca="1"/>
        <v>45</v>
      </c>
      <c r="G40" s="58">
        <f ca="1"/>
        <v>3545893.0650937506</v>
      </c>
      <c r="H40" s="58">
        <f ca="1"/>
        <v>22179927.638588082</v>
      </c>
    </row>
    <row r="41" spans="1:8" x14ac:dyDescent="0.2">
      <c r="A41" s="58">
        <f t="shared" si="3"/>
        <v>9</v>
      </c>
      <c r="B41" s="58">
        <f t="shared" si="4"/>
        <v>46</v>
      </c>
      <c r="C41" s="238">
        <f>IF(B41&gt;60,"",C40*(1+Retirement!$I$3))</f>
        <v>3723187.7183484384</v>
      </c>
      <c r="D41" s="238">
        <f>IF(B41&gt;60,"",FV((1+Retirement!$G$16)^(1/12)-1,Working!A41*12,-Retirement!$H$16,,1))</f>
        <v>26489954.55963112</v>
      </c>
      <c r="F41" s="58">
        <f ca="1"/>
        <v>46</v>
      </c>
      <c r="G41" s="58">
        <f ca="1"/>
        <v>3723187.7183484384</v>
      </c>
      <c r="H41" s="58">
        <f ca="1"/>
        <v>26489954.55963112</v>
      </c>
    </row>
    <row r="42" spans="1:8" x14ac:dyDescent="0.2">
      <c r="A42" s="58">
        <f t="shared" si="3"/>
        <v>10</v>
      </c>
      <c r="B42" s="58">
        <f t="shared" si="4"/>
        <v>47</v>
      </c>
      <c r="C42" s="238">
        <f>IF(B42&gt;60,"",C41*(1+Retirement!$I$3))</f>
        <v>3909347.1042658603</v>
      </c>
      <c r="D42" s="238">
        <f>IF(B42&gt;60,"",FV((1+Retirement!$G$16)^(1/12)-1,Working!A42*12,-Retirement!$H$16,,1))</f>
        <v>31274084.441988885</v>
      </c>
      <c r="F42" s="58">
        <f ca="1"/>
        <v>47</v>
      </c>
      <c r="G42" s="58">
        <f ca="1"/>
        <v>3909347.1042658603</v>
      </c>
      <c r="H42" s="58">
        <f ca="1"/>
        <v>31274084.441988885</v>
      </c>
    </row>
    <row r="43" spans="1:8" x14ac:dyDescent="0.2">
      <c r="A43" s="58">
        <f t="shared" si="3"/>
        <v>11</v>
      </c>
      <c r="B43" s="58">
        <f t="shared" si="4"/>
        <v>48</v>
      </c>
      <c r="C43" s="238">
        <f>IF(B43&gt;60,"",C42*(1+Retirement!$I$3))</f>
        <v>4104814.4594791536</v>
      </c>
      <c r="D43" s="238">
        <f>IF(B43&gt;60,"",FV((1+Retirement!$G$16)^(1/12)-1,Working!A43*12,-Retirement!$H$16,,1))</f>
        <v>36584468.611406013</v>
      </c>
      <c r="F43" s="58">
        <f ca="1"/>
        <v>48</v>
      </c>
      <c r="G43" s="58">
        <f ca="1"/>
        <v>4104814.4594791536</v>
      </c>
      <c r="H43" s="58">
        <f ca="1"/>
        <v>36584468.611406013</v>
      </c>
    </row>
    <row r="44" spans="1:8" x14ac:dyDescent="0.2">
      <c r="A44" s="58">
        <f t="shared" si="3"/>
        <v>12</v>
      </c>
      <c r="B44" s="58">
        <f t="shared" si="4"/>
        <v>49</v>
      </c>
      <c r="C44" s="238">
        <f>IF(B44&gt;60,"",C43*(1+Retirement!$I$3))</f>
        <v>4310055.1824531117</v>
      </c>
      <c r="D44" s="238">
        <f>IF(B44&gt;60,"",FV((1+Retirement!$G$16)^(1/12)-1,Working!A44*12,-Retirement!$H$16,,1))</f>
        <v>42478995.03945902</v>
      </c>
      <c r="F44" s="58">
        <f ca="1"/>
        <v>49</v>
      </c>
      <c r="G44" s="58">
        <f ca="1"/>
        <v>4310055.1824531117</v>
      </c>
      <c r="H44" s="58">
        <f ca="1"/>
        <v>42478995.03945902</v>
      </c>
    </row>
    <row r="45" spans="1:8" x14ac:dyDescent="0.2">
      <c r="A45" s="58">
        <f t="shared" si="3"/>
        <v>13</v>
      </c>
      <c r="B45" s="58">
        <f t="shared" si="4"/>
        <v>50</v>
      </c>
      <c r="C45" s="238">
        <f>IF(B45&gt;60,"",C44*(1+Retirement!$I$3))</f>
        <v>4525557.9415757675</v>
      </c>
      <c r="D45" s="238">
        <f>IF(B45&gt;60,"",FV((1+Retirement!$G$16)^(1/12)-1,Working!A45*12,-Retirement!$H$16,,1))</f>
        <v>49021919.374597847</v>
      </c>
      <c r="F45" s="58">
        <f ca="1"/>
        <v>50</v>
      </c>
      <c r="G45" s="58">
        <f ca="1"/>
        <v>4525557.9415757675</v>
      </c>
      <c r="H45" s="58">
        <f ca="1"/>
        <v>49021919.374597847</v>
      </c>
    </row>
    <row r="46" spans="1:8" x14ac:dyDescent="0.2">
      <c r="A46" s="58">
        <f t="shared" si="3"/>
        <v>14</v>
      </c>
      <c r="B46" s="58">
        <f t="shared" si="4"/>
        <v>51</v>
      </c>
      <c r="C46" s="238">
        <f>IF(B46&gt;60,"",C45*(1+Retirement!$I$3))</f>
        <v>4751835.8386545563</v>
      </c>
      <c r="D46" s="238">
        <f>IF(B46&gt;60,"",FV((1+Retirement!$G$16)^(1/12)-1,Working!A46*12,-Retirement!$H$16,,1))</f>
        <v>56284565.386601947</v>
      </c>
      <c r="F46" s="58">
        <f ca="1"/>
        <v>51</v>
      </c>
      <c r="G46" s="58">
        <f ca="1"/>
        <v>4751835.8386545563</v>
      </c>
      <c r="H46" s="58">
        <f ca="1"/>
        <v>56284565.386601947</v>
      </c>
    </row>
    <row r="47" spans="1:8" x14ac:dyDescent="0.2">
      <c r="A47" s="58">
        <f t="shared" si="3"/>
        <v>15</v>
      </c>
      <c r="B47" s="58">
        <f t="shared" si="4"/>
        <v>52</v>
      </c>
      <c r="C47" s="238">
        <f>IF(B47&gt;60,"",C46*(1+Retirement!$I$3))</f>
        <v>4989427.6305872845</v>
      </c>
      <c r="D47" s="238">
        <f>IF(B47&gt;60,"",FV((1+Retirement!$G$16)^(1/12)-1,Working!A47*12,-Retirement!$H$16,,1))</f>
        <v>64346102.459926501</v>
      </c>
      <c r="F47" s="58">
        <f ca="1"/>
        <v>52</v>
      </c>
      <c r="G47" s="58">
        <f ca="1"/>
        <v>4989427.6305872845</v>
      </c>
      <c r="H47" s="58">
        <f ca="1"/>
        <v>64346102.459926501</v>
      </c>
    </row>
    <row r="48" spans="1:8" x14ac:dyDescent="0.2">
      <c r="A48" s="58">
        <f t="shared" si="3"/>
        <v>16</v>
      </c>
      <c r="B48" s="58">
        <f t="shared" si="4"/>
        <v>53</v>
      </c>
      <c r="C48" s="238">
        <f>IF(B48&gt;60,"",C47*(1+Retirement!$I$3))</f>
        <v>5238899.0121166492</v>
      </c>
      <c r="D48" s="238">
        <f>IF(B48&gt;60,"",FV((1+Retirement!$G$16)^(1/12)-1,Working!A48*12,-Retirement!$H$16,,1))</f>
        <v>73294408.611316755</v>
      </c>
      <c r="F48" s="58">
        <f ca="1"/>
        <v>53</v>
      </c>
      <c r="G48" s="58">
        <f ca="1"/>
        <v>5238899.0121166492</v>
      </c>
      <c r="H48" s="58">
        <f ca="1"/>
        <v>73294408.611316755</v>
      </c>
    </row>
    <row r="49" spans="1:8" x14ac:dyDescent="0.2">
      <c r="A49" s="58">
        <f t="shared" si="3"/>
        <v>17</v>
      </c>
      <c r="B49" s="58">
        <f t="shared" si="4"/>
        <v>54</v>
      </c>
      <c r="C49" s="238">
        <f>IF(B49&gt;60,"",C48*(1+Retirement!$I$3))</f>
        <v>5500843.9627224822</v>
      </c>
      <c r="D49" s="238">
        <f>IF(B49&gt;60,"",FV((1+Retirement!$G$16)^(1/12)-1,Working!A49*12,-Retirement!$H$16,,1))</f>
        <v>83227028.439359933</v>
      </c>
      <c r="F49" s="58">
        <f ca="1"/>
        <v>54</v>
      </c>
      <c r="G49" s="58">
        <f ca="1"/>
        <v>5500843.9627224822</v>
      </c>
      <c r="H49" s="58">
        <f ca="1"/>
        <v>83227028.439359933</v>
      </c>
    </row>
    <row r="50" spans="1:8" x14ac:dyDescent="0.2">
      <c r="A50" s="58">
        <f t="shared" si="3"/>
        <v>18</v>
      </c>
      <c r="B50" s="58">
        <f t="shared" si="4"/>
        <v>55</v>
      </c>
      <c r="C50" s="238">
        <f>IF(B50&gt;60,"",C49*(1+Retirement!$I$3))</f>
        <v>5775886.1608586069</v>
      </c>
      <c r="D50" s="238">
        <f>IF(B50&gt;60,"",FV((1+Retirement!$G$16)^(1/12)-1,Working!A50*12,-Retirement!$H$16,,1))</f>
        <v>94252236.448487848</v>
      </c>
      <c r="F50" s="58">
        <f ca="1"/>
        <v>55</v>
      </c>
      <c r="G50" s="58">
        <f ca="1"/>
        <v>5775886.1608586069</v>
      </c>
      <c r="H50" s="58">
        <f ca="1"/>
        <v>94252236.448487848</v>
      </c>
    </row>
    <row r="51" spans="1:8" x14ac:dyDescent="0.2">
      <c r="A51" s="58">
        <f t="shared" si="3"/>
        <v>19</v>
      </c>
      <c r="B51" s="58">
        <f t="shared" si="4"/>
        <v>56</v>
      </c>
      <c r="C51" s="238">
        <f>IF(B51&gt;60,"",C50*(1+Retirement!$I$3))</f>
        <v>6064680.4689015374</v>
      </c>
      <c r="D51" s="238">
        <f>IF(B51&gt;60,"",FV((1+Retirement!$G$16)^(1/12)-1,Working!A51*12,-Retirement!$H$16,,1))</f>
        <v>106490217.33861981</v>
      </c>
      <c r="F51" s="58">
        <f ca="1"/>
        <v>56</v>
      </c>
      <c r="G51" s="58">
        <f ca="1"/>
        <v>6064680.4689015374</v>
      </c>
      <c r="H51" s="58">
        <f ca="1"/>
        <v>106490217.33861981</v>
      </c>
    </row>
    <row r="52" spans="1:8" x14ac:dyDescent="0.2">
      <c r="A52" s="58">
        <f t="shared" si="3"/>
        <v>20</v>
      </c>
      <c r="B52" s="58">
        <f t="shared" si="4"/>
        <v>57</v>
      </c>
      <c r="C52" s="238">
        <f>IF(B52&gt;60,"",C51*(1+Retirement!$I$3))</f>
        <v>6367914.4923466146</v>
      </c>
      <c r="D52" s="238">
        <f>IF(B52&gt;60,"",FV((1+Retirement!$G$16)^(1/12)-1,Working!A52*12,-Retirement!$H$16,,1))</f>
        <v>120074376.12666634</v>
      </c>
      <c r="F52" s="58">
        <f ca="1"/>
        <v>57</v>
      </c>
      <c r="G52" s="58">
        <f ca="1"/>
        <v>6367914.4923466146</v>
      </c>
      <c r="H52" s="58">
        <f ca="1"/>
        <v>120074376.12666634</v>
      </c>
    </row>
    <row r="53" spans="1:8" x14ac:dyDescent="0.2">
      <c r="A53" s="58">
        <f t="shared" si="3"/>
        <v>21</v>
      </c>
      <c r="B53" s="58">
        <f t="shared" si="4"/>
        <v>58</v>
      </c>
      <c r="C53" s="238">
        <f>IF(B53&gt;60,"",C52*(1+Retirement!$I$3))</f>
        <v>6686310.2169639459</v>
      </c>
      <c r="D53" s="238">
        <f>IF(B53&gt;60,"",FV((1+Retirement!$G$16)^(1/12)-1,Working!A53*12,-Retirement!$H$16,,1))</f>
        <v>135152792.38139793</v>
      </c>
      <c r="F53" s="58">
        <f ca="1"/>
        <v>58</v>
      </c>
      <c r="G53" s="58">
        <f ca="1"/>
        <v>6686310.2169639459</v>
      </c>
      <c r="H53" s="58">
        <f ca="1"/>
        <v>135152792.38139793</v>
      </c>
    </row>
    <row r="54" spans="1:8" x14ac:dyDescent="0.2">
      <c r="A54" s="58">
        <f t="shared" si="3"/>
        <v>22</v>
      </c>
      <c r="B54" s="58">
        <f t="shared" si="4"/>
        <v>59</v>
      </c>
      <c r="C54" s="238">
        <f>IF(B54&gt;60,"",C53*(1+Retirement!$I$3))</f>
        <v>7020625.727812143</v>
      </c>
      <c r="D54" s="238">
        <f>IF(B54&gt;60,"",FV((1+Retirement!$G$16)^(1/12)-1,Working!A54*12,-Retirement!$H$16,,1))</f>
        <v>151889834.42415002</v>
      </c>
      <c r="F54" s="58">
        <f ca="1"/>
        <v>59</v>
      </c>
      <c r="G54" s="58">
        <f ca="1"/>
        <v>7020625.727812143</v>
      </c>
      <c r="H54" s="58">
        <f ca="1"/>
        <v>151889834.42415002</v>
      </c>
    </row>
    <row r="55" spans="1:8" x14ac:dyDescent="0.2">
      <c r="A55" s="58">
        <f t="shared" si="3"/>
        <v>23</v>
      </c>
      <c r="B55" s="58">
        <f t="shared" si="4"/>
        <v>60</v>
      </c>
      <c r="C55" s="238">
        <f>IF(B55&gt;60,"",C54*(1+Retirement!$I$3))</f>
        <v>7371657.0142027503</v>
      </c>
      <c r="D55" s="238">
        <f>IF(B55&gt;60,"",FV((1+Retirement!$G$16)^(1/12)-1,Working!A55*12,-Retirement!$H$16,,1))</f>
        <v>170467951.0916048</v>
      </c>
      <c r="F55" s="58">
        <f ca="1"/>
        <v>60</v>
      </c>
      <c r="G55" s="58">
        <f ca="1"/>
        <v>7371657.0142027503</v>
      </c>
      <c r="H55" s="58">
        <f ca="1"/>
        <v>170467951.0916048</v>
      </c>
    </row>
    <row r="56" spans="1:8" x14ac:dyDescent="0.2">
      <c r="A56" s="58">
        <f t="shared" si="3"/>
        <v>24</v>
      </c>
      <c r="B56" s="58" t="str">
        <f t="shared" si="4"/>
        <v/>
      </c>
      <c r="C56" s="238" t="str">
        <f>IF(B56&gt;60,"",C55*(1+Retirement!$I$3))</f>
        <v/>
      </c>
      <c r="D56" s="238" t="str">
        <f>IF(B56&gt;60,"",FV((1+Retirement!$G$16)^(1/12)-1,Working!A56*12,-Retirement!$H$16,,1))</f>
        <v/>
      </c>
    </row>
    <row r="57" spans="1:8" x14ac:dyDescent="0.2">
      <c r="A57" s="58">
        <f t="shared" si="3"/>
        <v>25</v>
      </c>
      <c r="B57" s="58" t="str">
        <f t="shared" si="4"/>
        <v/>
      </c>
      <c r="C57" s="238" t="str">
        <f>IF(B57&gt;60,"",C56*(1+Retirement!$I$3))</f>
        <v/>
      </c>
      <c r="D57" s="238" t="str">
        <f>IF(B57&gt;60,"",FV((1+Retirement!$G$16)^(1/12)-1,Working!A57*12,-Retirement!$H$16,,1))</f>
        <v/>
      </c>
    </row>
    <row r="58" spans="1:8" x14ac:dyDescent="0.2">
      <c r="A58" s="58">
        <f t="shared" si="3"/>
        <v>26</v>
      </c>
      <c r="B58" s="58" t="str">
        <f t="shared" si="4"/>
        <v/>
      </c>
      <c r="C58" s="238" t="str">
        <f>IF(B58&gt;60,"",C57*(1+Retirement!$I$3))</f>
        <v/>
      </c>
      <c r="D58" s="238" t="str">
        <f>IF(B58&gt;60,"",FV((1+Retirement!$G$16)^(1/12)-1,Working!A58*12,-Retirement!$H$16,,1))</f>
        <v/>
      </c>
    </row>
    <row r="59" spans="1:8" x14ac:dyDescent="0.2">
      <c r="A59" s="58">
        <f t="shared" si="3"/>
        <v>27</v>
      </c>
      <c r="B59" s="58" t="str">
        <f t="shared" si="4"/>
        <v/>
      </c>
      <c r="C59" s="238" t="str">
        <f>IF(B59&gt;60,"",C58*(1+Retirement!$I$3))</f>
        <v/>
      </c>
      <c r="D59" s="238" t="str">
        <f>IF(B59&gt;60,"",FV((1+Retirement!$G$16)^(1/12)-1,Working!A59*12,-Retirement!$H$16,,1))</f>
        <v/>
      </c>
    </row>
    <row r="60" spans="1:8" x14ac:dyDescent="0.2">
      <c r="A60" s="58">
        <f t="shared" si="3"/>
        <v>28</v>
      </c>
      <c r="B60" s="58" t="str">
        <f t="shared" si="4"/>
        <v/>
      </c>
      <c r="C60" s="238" t="str">
        <f>IF(B60&gt;60,"",C59*(1+Retirement!$I$3))</f>
        <v/>
      </c>
      <c r="D60" s="238" t="str">
        <f>IF(B60&gt;60,"",FV((1+Retirement!$G$16)^(1/12)-1,Working!A60*12,-Retirement!$H$16,,1))</f>
        <v/>
      </c>
    </row>
    <row r="61" spans="1:8" x14ac:dyDescent="0.2">
      <c r="A61" s="58">
        <f t="shared" si="3"/>
        <v>29</v>
      </c>
      <c r="B61" s="58" t="str">
        <f t="shared" si="4"/>
        <v/>
      </c>
      <c r="C61" s="238" t="str">
        <f>IF(B61&gt;60,"",C60*(1+Retirement!$I$3))</f>
        <v/>
      </c>
      <c r="D61" s="238" t="str">
        <f>IF(B61&gt;60,"",FV((1+Retirement!$G$16)^(1/12)-1,Working!A61*12,-Retirement!$H$16,,1))</f>
        <v/>
      </c>
    </row>
    <row r="62" spans="1:8" x14ac:dyDescent="0.2">
      <c r="A62" s="58">
        <f t="shared" si="3"/>
        <v>30</v>
      </c>
      <c r="B62" s="58" t="str">
        <f t="shared" si="4"/>
        <v/>
      </c>
      <c r="C62" s="238" t="str">
        <f>IF(B62&gt;60,"",C61*(1+Retirement!$I$3))</f>
        <v/>
      </c>
      <c r="D62" s="238" t="str">
        <f>IF(B62&gt;60,"",FV((1+Retirement!$G$16)^(1/12)-1,Working!A62*12,-Retirement!$H$16,,1))</f>
        <v/>
      </c>
    </row>
    <row r="63" spans="1:8" x14ac:dyDescent="0.2">
      <c r="A63" s="58">
        <f t="shared" si="3"/>
        <v>31</v>
      </c>
      <c r="B63" s="58" t="str">
        <f t="shared" si="4"/>
        <v/>
      </c>
      <c r="C63" s="238" t="str">
        <f>IF(B63&gt;60,"",C62*(1+Retirement!$I$3))</f>
        <v/>
      </c>
      <c r="D63" s="238" t="str">
        <f>IF(B63&gt;60,"",FV((1+Retirement!$G$16)^(1/12)-1,Working!A63*12,-Retirement!$H$16,,1))</f>
        <v/>
      </c>
    </row>
    <row r="64" spans="1:8" x14ac:dyDescent="0.2">
      <c r="A64" s="58">
        <f t="shared" si="3"/>
        <v>32</v>
      </c>
      <c r="B64" s="58" t="str">
        <f t="shared" si="4"/>
        <v/>
      </c>
      <c r="C64" s="238" t="str">
        <f>IF(B64&gt;60,"",C63*(1+Retirement!$I$3))</f>
        <v/>
      </c>
      <c r="D64" s="238" t="str">
        <f>IF(B64&gt;60,"",FV((1+Retirement!$G$16)^(1/12)-1,Working!A64*12,-Retirement!$H$16,,1))</f>
        <v/>
      </c>
    </row>
    <row r="65" spans="1:4" x14ac:dyDescent="0.2">
      <c r="A65" s="58">
        <f t="shared" si="3"/>
        <v>33</v>
      </c>
      <c r="B65" s="58" t="str">
        <f t="shared" si="4"/>
        <v/>
      </c>
      <c r="C65" s="238" t="str">
        <f>IF(B65&gt;60,"",C64*(1+Retirement!$I$3))</f>
        <v/>
      </c>
      <c r="D65" s="238" t="str">
        <f>IF(B65&gt;60,"",FV((1+Retirement!$G$16)^(1/12)-1,Working!A65*12,-Retirement!$H$16,,1))</f>
        <v/>
      </c>
    </row>
    <row r="66" spans="1:4" x14ac:dyDescent="0.2">
      <c r="A66" s="58">
        <f t="shared" si="3"/>
        <v>34</v>
      </c>
      <c r="B66" s="58" t="str">
        <f t="shared" si="4"/>
        <v/>
      </c>
      <c r="C66" s="238" t="str">
        <f>IF(B66&gt;60,"",C65*(1+Retirement!$I$3))</f>
        <v/>
      </c>
      <c r="D66" s="238" t="str">
        <f>IF(B66&gt;60,"",FV((1+Retirement!$G$16)^(1/12)-1,Working!A66*12,-Retirement!$H$16,,1))</f>
        <v/>
      </c>
    </row>
    <row r="67" spans="1:4" x14ac:dyDescent="0.2">
      <c r="A67" s="58">
        <f t="shared" si="3"/>
        <v>35</v>
      </c>
      <c r="B67" s="58" t="str">
        <f t="shared" si="4"/>
        <v/>
      </c>
      <c r="C67" s="238" t="str">
        <f>IF(B67&gt;60,"",C66*(1+Retirement!$I$3))</f>
        <v/>
      </c>
      <c r="D67" s="238" t="str">
        <f>IF(B67&gt;60,"",FV((1+Retirement!$G$16)^(1/12)-1,Working!A67*12,-Retirement!$H$16,,1))</f>
        <v/>
      </c>
    </row>
    <row r="68" spans="1:4" x14ac:dyDescent="0.2">
      <c r="A68" s="58">
        <f t="shared" si="3"/>
        <v>36</v>
      </c>
      <c r="B68" s="58" t="str">
        <f t="shared" si="4"/>
        <v/>
      </c>
      <c r="C68" s="238" t="str">
        <f>IF(B68&gt;60,"",C67*(1+Retirement!$I$3))</f>
        <v/>
      </c>
      <c r="D68" s="238" t="str">
        <f>IF(B68&gt;60,"",FV((1+Retirement!$G$16)^(1/12)-1,Working!A68*12,-Retirement!$H$16,,1))</f>
        <v/>
      </c>
    </row>
    <row r="69" spans="1:4" x14ac:dyDescent="0.2">
      <c r="A69" s="58">
        <f t="shared" si="3"/>
        <v>37</v>
      </c>
      <c r="B69" s="58" t="str">
        <f t="shared" si="4"/>
        <v/>
      </c>
      <c r="C69" s="238" t="str">
        <f>IF(B69&gt;60,"",C68*(1+Retirement!$I$3))</f>
        <v/>
      </c>
      <c r="D69" s="238" t="str">
        <f>IF(B69&gt;60,"",FV((1+Retirement!$G$16)^(1/12)-1,Working!A69*12,-Retirement!$H$16,,1))</f>
        <v/>
      </c>
    </row>
    <row r="70" spans="1:4" x14ac:dyDescent="0.2">
      <c r="A70" s="58">
        <f t="shared" si="3"/>
        <v>38</v>
      </c>
      <c r="B70" s="58" t="str">
        <f t="shared" si="4"/>
        <v/>
      </c>
      <c r="C70" s="238" t="str">
        <f>IF(B70&gt;60,"",C69*(1+Retirement!$I$3))</f>
        <v/>
      </c>
      <c r="D70" s="238" t="str">
        <f>IF(B70&gt;60,"",FV((1+Retirement!$G$16)^(1/12)-1,Working!A70*12,-Retirement!$H$16,,1))</f>
        <v/>
      </c>
    </row>
    <row r="71" spans="1:4" x14ac:dyDescent="0.2">
      <c r="A71" s="58">
        <f t="shared" si="3"/>
        <v>39</v>
      </c>
      <c r="B71" s="58" t="str">
        <f t="shared" si="4"/>
        <v/>
      </c>
      <c r="C71" s="238" t="str">
        <f>IF(B71&gt;60,"",C70*(1+Retirement!$I$3))</f>
        <v/>
      </c>
      <c r="D71" s="238" t="str">
        <f>IF(B71&gt;60,"",FV((1+Retirement!$G$16)^(1/12)-1,Working!A71*12,-Retirement!$H$16,,1))</f>
        <v/>
      </c>
    </row>
    <row r="72" spans="1:4" x14ac:dyDescent="0.2">
      <c r="A72" s="58">
        <f t="shared" si="3"/>
        <v>40</v>
      </c>
      <c r="B72" s="58" t="str">
        <f t="shared" si="4"/>
        <v/>
      </c>
      <c r="C72" s="238" t="str">
        <f>IF(B72&gt;60,"",C71*(1+Retirement!$I$3))</f>
        <v/>
      </c>
      <c r="D72" s="238" t="str">
        <f>IF(B72&gt;60,"",FV((1+Retirement!$G$16)^(1/12)-1,Working!A72*12,-Retirement!$H$16,,1))</f>
        <v/>
      </c>
    </row>
    <row r="73" spans="1:4" x14ac:dyDescent="0.2">
      <c r="A73" s="58">
        <f t="shared" si="3"/>
        <v>41</v>
      </c>
      <c r="B73" s="58" t="str">
        <f t="shared" si="4"/>
        <v/>
      </c>
      <c r="C73" s="238" t="str">
        <f>IF(B73&gt;60,"",C72*(1+Retirement!$I$3))</f>
        <v/>
      </c>
      <c r="D73" s="238" t="str">
        <f>IF(B73&gt;60,"",FV((1+Retirement!$G$16)^(1/12)-1,Working!A73*12,-Retirement!$H$16,,1))</f>
        <v/>
      </c>
    </row>
    <row r="74" spans="1:4" x14ac:dyDescent="0.2">
      <c r="A74" s="58">
        <f t="shared" si="3"/>
        <v>42</v>
      </c>
      <c r="B74" s="58" t="str">
        <f t="shared" si="4"/>
        <v/>
      </c>
      <c r="C74" s="238" t="str">
        <f>IF(B74&gt;60,"",C73*(1+Retirement!$I$3))</f>
        <v/>
      </c>
      <c r="D74" s="238" t="str">
        <f>IF(B74&gt;60,"",FV((1+Retirement!$G$16)^(1/12)-1,Working!A74*12,-Retirement!$H$16,,1))</f>
        <v/>
      </c>
    </row>
    <row r="75" spans="1:4" x14ac:dyDescent="0.2">
      <c r="A75" s="58">
        <f t="shared" si="3"/>
        <v>43</v>
      </c>
      <c r="B75" s="58" t="str">
        <f t="shared" si="4"/>
        <v/>
      </c>
      <c r="C75" s="238" t="str">
        <f>IF(B75&gt;60,"",C74*(1+Retirement!$I$3))</f>
        <v/>
      </c>
      <c r="D75" s="238" t="str">
        <f>IF(B75&gt;60,"",FV((1+Retirement!$G$16)^(1/12)-1,Working!A75*12,-Retirement!$H$16,,1))</f>
        <v/>
      </c>
    </row>
  </sheetData>
  <printOptions horizontalCentered="1" verticalCentered="1"/>
  <pageMargins left="0.70866141732283472" right="0.70866141732283472" top="0.74803149606299213" bottom="0.74803149606299213" header="0.31496062992125984" footer="0.31496062992125984"/>
  <pageSetup paperSize="9" scale="60"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A6D4F1-C250-4501-B298-7F98CF09DA68}">
  <sheetPr codeName="Sheet3">
    <pageSetUpPr fitToPage="1"/>
  </sheetPr>
  <dimension ref="B1:M32"/>
  <sheetViews>
    <sheetView topLeftCell="A16" zoomScale="65" zoomScaleNormal="65" zoomScaleSheetLayoutView="50" workbookViewId="0">
      <selection activeCell="E7" sqref="E7"/>
    </sheetView>
  </sheetViews>
  <sheetFormatPr defaultColWidth="10.8515625" defaultRowHeight="23.25" x14ac:dyDescent="0.2"/>
  <cols>
    <col min="1" max="1" width="10.8515625" style="58"/>
    <col min="2" max="2" width="40.9375" style="58" bestFit="1" customWidth="1"/>
    <col min="3" max="3" width="18.49609375" style="177" bestFit="1" customWidth="1"/>
    <col min="4" max="4" width="17.5078125" style="177" bestFit="1" customWidth="1"/>
    <col min="5" max="5" width="19.48046875" style="177" bestFit="1" customWidth="1"/>
    <col min="6" max="6" width="13.19140625" style="119" customWidth="1"/>
    <col min="7" max="7" width="13.19140625" style="116" customWidth="1"/>
    <col min="8" max="8" width="90.51171875" style="58" customWidth="1"/>
    <col min="9" max="9" width="10.8515625" style="58"/>
    <col min="10" max="10" width="35.7578125" style="58" bestFit="1" customWidth="1"/>
    <col min="11" max="11" width="13.19140625" style="58" hidden="1" customWidth="1"/>
    <col min="12" max="16384" width="10.8515625" style="58"/>
  </cols>
  <sheetData>
    <row r="1" spans="2:13" ht="24" thickBot="1" x14ac:dyDescent="0.25"/>
    <row r="2" spans="2:13" ht="24" thickBot="1" x14ac:dyDescent="0.25">
      <c r="B2" s="369" t="s">
        <v>62</v>
      </c>
      <c r="C2" s="370"/>
      <c r="D2" s="370"/>
      <c r="E2" s="371"/>
      <c r="F2" s="115"/>
      <c r="H2" s="372"/>
    </row>
    <row r="3" spans="2:13" ht="24" thickBot="1" x14ac:dyDescent="0.25">
      <c r="B3" s="374" t="s">
        <v>61</v>
      </c>
      <c r="C3" s="375"/>
      <c r="D3" s="375"/>
      <c r="E3" s="376"/>
      <c r="F3" s="115"/>
      <c r="H3" s="373"/>
    </row>
    <row r="4" spans="2:13" x14ac:dyDescent="0.2">
      <c r="B4" s="125" t="s">
        <v>54</v>
      </c>
      <c r="C4" s="126" t="s">
        <v>53</v>
      </c>
      <c r="D4" s="126" t="s">
        <v>55</v>
      </c>
      <c r="E4" s="127" t="s">
        <v>47</v>
      </c>
      <c r="F4" s="115"/>
      <c r="H4" s="173" t="s">
        <v>67</v>
      </c>
      <c r="K4" s="182"/>
      <c r="L4" s="183"/>
      <c r="M4" s="183"/>
    </row>
    <row r="5" spans="2:13" x14ac:dyDescent="0.2">
      <c r="B5" s="69" t="s">
        <v>52</v>
      </c>
      <c r="C5" s="60">
        <f>Retirement!G6</f>
        <v>170467951.09160665</v>
      </c>
      <c r="D5" s="59">
        <f>(Retirement!K3-Retirement!G3)</f>
        <v>23</v>
      </c>
      <c r="E5" s="67">
        <f>Retirement!H16</f>
        <v>147220.83163703704</v>
      </c>
      <c r="F5" s="117"/>
      <c r="H5" s="174" t="s">
        <v>66</v>
      </c>
      <c r="K5" s="182"/>
      <c r="L5" s="183"/>
      <c r="M5" s="183"/>
    </row>
    <row r="6" spans="2:13" x14ac:dyDescent="0.2">
      <c r="B6" s="61"/>
      <c r="C6" s="63"/>
      <c r="D6" s="62"/>
      <c r="E6" s="68"/>
      <c r="F6" s="117"/>
      <c r="H6" s="175"/>
      <c r="K6" s="182"/>
      <c r="L6" s="183"/>
      <c r="M6" s="183"/>
    </row>
    <row r="7" spans="2:13" x14ac:dyDescent="0.2">
      <c r="B7" s="69" t="s">
        <v>149</v>
      </c>
      <c r="C7" s="60">
        <f>Education!K4</f>
        <v>0</v>
      </c>
      <c r="D7" s="59">
        <f>(Education!H4-Education!G4)</f>
        <v>-2</v>
      </c>
      <c r="E7" s="67">
        <f>Education!M4</f>
        <v>0</v>
      </c>
      <c r="F7" s="117"/>
      <c r="H7" s="174" t="s">
        <v>68</v>
      </c>
      <c r="K7" s="182"/>
      <c r="L7" s="183"/>
      <c r="M7" s="183"/>
    </row>
    <row r="8" spans="2:13" x14ac:dyDescent="0.2">
      <c r="B8" s="69" t="s">
        <v>151</v>
      </c>
      <c r="C8" s="60">
        <f>Education!K19</f>
        <v>1100000</v>
      </c>
      <c r="D8" s="59">
        <f>(Education!H19-Education!G19)</f>
        <v>1</v>
      </c>
      <c r="E8" s="67">
        <f>Education!M19</f>
        <v>86589.613135442429</v>
      </c>
      <c r="F8" s="117"/>
      <c r="H8" s="174" t="s">
        <v>161</v>
      </c>
    </row>
    <row r="9" spans="2:13" x14ac:dyDescent="0.2">
      <c r="B9" s="69" t="s">
        <v>157</v>
      </c>
      <c r="C9" s="60">
        <f>Marriage!K3</f>
        <v>1477455.4437890626</v>
      </c>
      <c r="D9" s="59">
        <f>(Marriage!H3-Marriage!G3)</f>
        <v>8</v>
      </c>
      <c r="E9" s="67">
        <f>Marriage!M3</f>
        <v>9806.7145522544415</v>
      </c>
      <c r="F9" s="117"/>
      <c r="H9" s="176" t="s">
        <v>69</v>
      </c>
    </row>
    <row r="10" spans="2:13" x14ac:dyDescent="0.2">
      <c r="B10" s="61"/>
      <c r="C10" s="63"/>
      <c r="D10" s="62"/>
      <c r="E10" s="68"/>
      <c r="F10" s="117"/>
      <c r="H10" s="175"/>
    </row>
    <row r="11" spans="2:13" x14ac:dyDescent="0.2">
      <c r="B11" s="69" t="s">
        <v>152</v>
      </c>
      <c r="C11" s="60">
        <f>Education!K7</f>
        <v>665500.00000000023</v>
      </c>
      <c r="D11" s="59">
        <f>(Education!H7-Education!G7)</f>
        <v>3</v>
      </c>
      <c r="E11" s="67">
        <f>Education!M7</f>
        <v>15674.790086156212</v>
      </c>
      <c r="F11" s="117"/>
      <c r="H11" s="174" t="s">
        <v>68</v>
      </c>
    </row>
    <row r="12" spans="2:13" x14ac:dyDescent="0.2">
      <c r="B12" s="69" t="s">
        <v>150</v>
      </c>
      <c r="C12" s="60">
        <f>Education!K22</f>
        <v>1771561.0000000009</v>
      </c>
      <c r="D12" s="59">
        <f>(Education!H22-Education!G22)</f>
        <v>6</v>
      </c>
      <c r="E12" s="67">
        <f>Education!M22</f>
        <v>17623.646256256929</v>
      </c>
      <c r="F12" s="117"/>
      <c r="H12" s="174" t="s">
        <v>161</v>
      </c>
    </row>
    <row r="13" spans="2:13" x14ac:dyDescent="0.2">
      <c r="B13" s="69" t="s">
        <v>158</v>
      </c>
      <c r="C13" s="60">
        <f>Marriage!K6</f>
        <v>1885649.142323236</v>
      </c>
      <c r="D13" s="59">
        <f>(Marriage!H6-Marriage!G6)</f>
        <v>13</v>
      </c>
      <c r="E13" s="67">
        <f>Marriage!M6</f>
        <v>5662.9123961298938</v>
      </c>
      <c r="F13" s="117"/>
      <c r="H13" s="176" t="s">
        <v>69</v>
      </c>
    </row>
    <row r="14" spans="2:13" x14ac:dyDescent="0.2">
      <c r="B14" s="61"/>
      <c r="C14" s="63"/>
      <c r="D14" s="62"/>
      <c r="E14" s="68"/>
      <c r="F14" s="117"/>
      <c r="H14" s="175"/>
    </row>
    <row r="15" spans="2:13" x14ac:dyDescent="0.2">
      <c r="B15" s="69" t="s">
        <v>153</v>
      </c>
      <c r="C15" s="60">
        <f>Education!K10</f>
        <v>1071794.4050000005</v>
      </c>
      <c r="D15" s="59">
        <f>(Education!H10-Education!G10)</f>
        <v>8</v>
      </c>
      <c r="E15" s="67">
        <f>Education!M10</f>
        <v>7114.1108401770716</v>
      </c>
      <c r="F15" s="117"/>
      <c r="H15" s="174" t="s">
        <v>68</v>
      </c>
    </row>
    <row r="16" spans="2:13" x14ac:dyDescent="0.2">
      <c r="B16" s="69" t="s">
        <v>154</v>
      </c>
      <c r="C16" s="60">
        <f>Education!K25</f>
        <v>2853116.7061100025</v>
      </c>
      <c r="D16" s="59">
        <f>(Education!H25-Education!G25)</f>
        <v>11</v>
      </c>
      <c r="E16" s="67">
        <f>Education!M25</f>
        <v>11481.326097492625</v>
      </c>
      <c r="F16" s="117"/>
      <c r="H16" s="174" t="s">
        <v>161</v>
      </c>
    </row>
    <row r="17" spans="2:8" x14ac:dyDescent="0.2">
      <c r="B17" s="69" t="s">
        <v>159</v>
      </c>
      <c r="C17" s="60">
        <f>Marriage!K9</f>
        <v>2406619.2336910847</v>
      </c>
      <c r="D17" s="59">
        <f>(Marriage!H9-Marriage!G9)</f>
        <v>18</v>
      </c>
      <c r="E17" s="67">
        <f>Marriage!M12</f>
        <v>2652.652764601688</v>
      </c>
      <c r="F17" s="117"/>
      <c r="H17" s="176" t="s">
        <v>69</v>
      </c>
    </row>
    <row r="18" spans="2:8" x14ac:dyDescent="0.2">
      <c r="B18" s="61"/>
      <c r="C18" s="63"/>
      <c r="D18" s="62"/>
      <c r="E18" s="68"/>
      <c r="F18" s="117"/>
      <c r="H18" s="175"/>
    </row>
    <row r="19" spans="2:8" x14ac:dyDescent="0.2">
      <c r="B19" s="69" t="s">
        <v>155</v>
      </c>
      <c r="C19" s="60">
        <f>Education!K13</f>
        <v>1726135.6071965515</v>
      </c>
      <c r="D19" s="59">
        <f>(Education!H13-Education!G13)</f>
        <v>13</v>
      </c>
      <c r="E19" s="67">
        <f>Education!M13</f>
        <v>5183.8671935284892</v>
      </c>
      <c r="F19" s="117"/>
      <c r="H19" s="174" t="s">
        <v>68</v>
      </c>
    </row>
    <row r="20" spans="2:8" x14ac:dyDescent="0.2">
      <c r="B20" s="69" t="s">
        <v>156</v>
      </c>
      <c r="C20" s="60">
        <f>Education!K28</f>
        <v>4594972.9863572214</v>
      </c>
      <c r="D20" s="59">
        <f>(Education!H28-Education!G28)</f>
        <v>16</v>
      </c>
      <c r="E20" s="67">
        <f>Education!M28</f>
        <v>9229.5682197069509</v>
      </c>
      <c r="F20" s="117"/>
      <c r="H20" s="174" t="s">
        <v>161</v>
      </c>
    </row>
    <row r="21" spans="2:8" x14ac:dyDescent="0.2">
      <c r="B21" s="69" t="s">
        <v>160</v>
      </c>
      <c r="C21" s="60">
        <f>Marriage!K12</f>
        <v>3071523.7559178104</v>
      </c>
      <c r="D21" s="59">
        <f>(Marriage!H12-Marriage!G12)</f>
        <v>23</v>
      </c>
      <c r="E21" s="67">
        <f>Marriage!M12</f>
        <v>2652.652764601688</v>
      </c>
      <c r="F21" s="117"/>
      <c r="H21" s="176" t="s">
        <v>69</v>
      </c>
    </row>
    <row r="22" spans="2:8" ht="24" thickBot="1" x14ac:dyDescent="0.25">
      <c r="B22" s="61"/>
      <c r="C22" s="63"/>
      <c r="D22" s="62"/>
      <c r="E22" s="68"/>
      <c r="F22" s="117"/>
      <c r="H22" s="175"/>
    </row>
    <row r="23" spans="2:8" ht="24" thickBot="1" x14ac:dyDescent="0.25">
      <c r="B23" s="377" t="s">
        <v>56</v>
      </c>
      <c r="C23" s="378"/>
      <c r="D23" s="379"/>
      <c r="E23" s="91">
        <f>SUM(E5:E22)</f>
        <v>320892.68594338553</v>
      </c>
      <c r="F23" s="118"/>
      <c r="H23" s="178"/>
    </row>
    <row r="24" spans="2:8" ht="24" thickBot="1" x14ac:dyDescent="0.25">
      <c r="B24" s="377" t="s">
        <v>197</v>
      </c>
      <c r="C24" s="378"/>
      <c r="D24" s="379"/>
      <c r="E24" s="246">
        <f>SUM(C5:C21)</f>
        <v>193092279.3719916</v>
      </c>
    </row>
    <row r="25" spans="2:8" ht="24" thickBot="1" x14ac:dyDescent="0.25"/>
    <row r="26" spans="2:8" x14ac:dyDescent="0.2">
      <c r="B26" s="380" t="s">
        <v>57</v>
      </c>
      <c r="C26" s="381"/>
      <c r="D26" s="381"/>
      <c r="E26" s="382"/>
      <c r="F26" s="115"/>
      <c r="H26" s="383" t="s">
        <v>71</v>
      </c>
    </row>
    <row r="27" spans="2:8" x14ac:dyDescent="0.2">
      <c r="B27" s="386" t="s">
        <v>58</v>
      </c>
      <c r="C27" s="387"/>
      <c r="D27" s="388">
        <f>-Insurance!G5</f>
        <v>-66987228.065848149</v>
      </c>
      <c r="E27" s="389"/>
      <c r="F27" s="120"/>
      <c r="H27" s="384"/>
    </row>
    <row r="28" spans="2:8" x14ac:dyDescent="0.2">
      <c r="B28" s="386" t="s">
        <v>59</v>
      </c>
      <c r="C28" s="387"/>
      <c r="D28" s="388">
        <v>2500000</v>
      </c>
      <c r="E28" s="389"/>
      <c r="F28" s="120"/>
      <c r="H28" s="384"/>
    </row>
    <row r="29" spans="2:8" ht="24" thickBot="1" x14ac:dyDescent="0.25">
      <c r="B29" s="390" t="s">
        <v>60</v>
      </c>
      <c r="C29" s="391"/>
      <c r="D29" s="392">
        <f>12*'Family Details'!C28</f>
        <v>2400000</v>
      </c>
      <c r="E29" s="393"/>
      <c r="F29" s="120"/>
      <c r="H29" s="385"/>
    </row>
    <row r="31" spans="2:8" x14ac:dyDescent="0.2">
      <c r="B31" s="367"/>
      <c r="C31" s="367"/>
      <c r="D31" s="367"/>
      <c r="E31" s="367"/>
    </row>
    <row r="32" spans="2:8" x14ac:dyDescent="0.2">
      <c r="B32" s="367"/>
      <c r="C32" s="367"/>
      <c r="D32" s="368"/>
      <c r="E32" s="368"/>
    </row>
  </sheetData>
  <mergeCells count="16">
    <mergeCell ref="B31:E31"/>
    <mergeCell ref="B32:C32"/>
    <mergeCell ref="D32:E32"/>
    <mergeCell ref="B2:E2"/>
    <mergeCell ref="H2:H3"/>
    <mergeCell ref="B3:E3"/>
    <mergeCell ref="B23:D23"/>
    <mergeCell ref="B26:E26"/>
    <mergeCell ref="H26:H29"/>
    <mergeCell ref="B27:C27"/>
    <mergeCell ref="D27:E27"/>
    <mergeCell ref="B28:C28"/>
    <mergeCell ref="D28:E28"/>
    <mergeCell ref="B29:C29"/>
    <mergeCell ref="D29:E29"/>
    <mergeCell ref="B24:D24"/>
  </mergeCells>
  <printOptions horizontalCentered="1" verticalCentered="1"/>
  <pageMargins left="0.70866141732283472" right="0.70866141732283472" top="0.74803149606299213" bottom="0.74803149606299213" header="0.31496062992125984" footer="0.31496062992125984"/>
  <pageSetup paperSize="9" scale="69" orientation="landscape" r:id="rId1"/>
  <colBreaks count="1" manualBreakCount="1">
    <brk id="6"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8F2E00-E05F-FF46-86D1-58C849D1F339}">
  <sheetPr codeName="Sheet4">
    <pageSetUpPr fitToPage="1"/>
  </sheetPr>
  <dimension ref="A1:P68"/>
  <sheetViews>
    <sheetView topLeftCell="A22" zoomScale="55" zoomScaleNormal="55" zoomScaleSheetLayoutView="50" workbookViewId="0">
      <selection activeCell="K42" sqref="K42"/>
    </sheetView>
  </sheetViews>
  <sheetFormatPr defaultColWidth="28.359375" defaultRowHeight="21" x14ac:dyDescent="0.3"/>
  <cols>
    <col min="1" max="1" width="5.17578125" style="4" customWidth="1"/>
    <col min="2" max="4" width="28.359375" style="4"/>
    <col min="5" max="5" width="4.9296875" style="4" customWidth="1"/>
    <col min="6" max="6" width="28.359375" style="4"/>
    <col min="7" max="7" width="22.44140625" style="4" customWidth="1"/>
    <col min="8" max="8" width="24.66015625" style="57" customWidth="1"/>
    <col min="9" max="9" width="28.9765625" style="4" customWidth="1"/>
    <col min="10" max="10" width="28.359375" style="57"/>
    <col min="11" max="11" width="23.921875" style="4" customWidth="1"/>
    <col min="12" max="12" width="24.90625" style="4" customWidth="1"/>
    <col min="13" max="13" width="28.9765625" style="4" customWidth="1"/>
    <col min="14" max="14" width="19.60546875" style="4" customWidth="1"/>
    <col min="15" max="15" width="27.9921875" style="4" customWidth="1"/>
    <col min="16" max="262" width="28.359375" style="4"/>
    <col min="263" max="263" width="22.44140625" style="4" customWidth="1"/>
    <col min="264" max="264" width="24.66015625" style="4" customWidth="1"/>
    <col min="265" max="265" width="28.9765625" style="4" customWidth="1"/>
    <col min="266" max="266" width="28.359375" style="4"/>
    <col min="267" max="267" width="23.921875" style="4" customWidth="1"/>
    <col min="268" max="268" width="24.90625" style="4" customWidth="1"/>
    <col min="269" max="269" width="28.9765625" style="4" customWidth="1"/>
    <col min="270" max="270" width="19.60546875" style="4" customWidth="1"/>
    <col min="271" max="271" width="27.9921875" style="4" customWidth="1"/>
    <col min="272" max="518" width="28.359375" style="4"/>
    <col min="519" max="519" width="22.44140625" style="4" customWidth="1"/>
    <col min="520" max="520" width="24.66015625" style="4" customWidth="1"/>
    <col min="521" max="521" width="28.9765625" style="4" customWidth="1"/>
    <col min="522" max="522" width="28.359375" style="4"/>
    <col min="523" max="523" width="23.921875" style="4" customWidth="1"/>
    <col min="524" max="524" width="24.90625" style="4" customWidth="1"/>
    <col min="525" max="525" width="28.9765625" style="4" customWidth="1"/>
    <col min="526" max="526" width="19.60546875" style="4" customWidth="1"/>
    <col min="527" max="527" width="27.9921875" style="4" customWidth="1"/>
    <col min="528" max="774" width="28.359375" style="4"/>
    <col min="775" max="775" width="22.44140625" style="4" customWidth="1"/>
    <col min="776" max="776" width="24.66015625" style="4" customWidth="1"/>
    <col min="777" max="777" width="28.9765625" style="4" customWidth="1"/>
    <col min="778" max="778" width="28.359375" style="4"/>
    <col min="779" max="779" width="23.921875" style="4" customWidth="1"/>
    <col min="780" max="780" width="24.90625" style="4" customWidth="1"/>
    <col min="781" max="781" width="28.9765625" style="4" customWidth="1"/>
    <col min="782" max="782" width="19.60546875" style="4" customWidth="1"/>
    <col min="783" max="783" width="27.9921875" style="4" customWidth="1"/>
    <col min="784" max="1030" width="28.359375" style="4"/>
    <col min="1031" max="1031" width="22.44140625" style="4" customWidth="1"/>
    <col min="1032" max="1032" width="24.66015625" style="4" customWidth="1"/>
    <col min="1033" max="1033" width="28.9765625" style="4" customWidth="1"/>
    <col min="1034" max="1034" width="28.359375" style="4"/>
    <col min="1035" max="1035" width="23.921875" style="4" customWidth="1"/>
    <col min="1036" max="1036" width="24.90625" style="4" customWidth="1"/>
    <col min="1037" max="1037" width="28.9765625" style="4" customWidth="1"/>
    <col min="1038" max="1038" width="19.60546875" style="4" customWidth="1"/>
    <col min="1039" max="1039" width="27.9921875" style="4" customWidth="1"/>
    <col min="1040" max="1286" width="28.359375" style="4"/>
    <col min="1287" max="1287" width="22.44140625" style="4" customWidth="1"/>
    <col min="1288" max="1288" width="24.66015625" style="4" customWidth="1"/>
    <col min="1289" max="1289" width="28.9765625" style="4" customWidth="1"/>
    <col min="1290" max="1290" width="28.359375" style="4"/>
    <col min="1291" max="1291" width="23.921875" style="4" customWidth="1"/>
    <col min="1292" max="1292" width="24.90625" style="4" customWidth="1"/>
    <col min="1293" max="1293" width="28.9765625" style="4" customWidth="1"/>
    <col min="1294" max="1294" width="19.60546875" style="4" customWidth="1"/>
    <col min="1295" max="1295" width="27.9921875" style="4" customWidth="1"/>
    <col min="1296" max="1542" width="28.359375" style="4"/>
    <col min="1543" max="1543" width="22.44140625" style="4" customWidth="1"/>
    <col min="1544" max="1544" width="24.66015625" style="4" customWidth="1"/>
    <col min="1545" max="1545" width="28.9765625" style="4" customWidth="1"/>
    <col min="1546" max="1546" width="28.359375" style="4"/>
    <col min="1547" max="1547" width="23.921875" style="4" customWidth="1"/>
    <col min="1548" max="1548" width="24.90625" style="4" customWidth="1"/>
    <col min="1549" max="1549" width="28.9765625" style="4" customWidth="1"/>
    <col min="1550" max="1550" width="19.60546875" style="4" customWidth="1"/>
    <col min="1551" max="1551" width="27.9921875" style="4" customWidth="1"/>
    <col min="1552" max="1798" width="28.359375" style="4"/>
    <col min="1799" max="1799" width="22.44140625" style="4" customWidth="1"/>
    <col min="1800" max="1800" width="24.66015625" style="4" customWidth="1"/>
    <col min="1801" max="1801" width="28.9765625" style="4" customWidth="1"/>
    <col min="1802" max="1802" width="28.359375" style="4"/>
    <col min="1803" max="1803" width="23.921875" style="4" customWidth="1"/>
    <col min="1804" max="1804" width="24.90625" style="4" customWidth="1"/>
    <col min="1805" max="1805" width="28.9765625" style="4" customWidth="1"/>
    <col min="1806" max="1806" width="19.60546875" style="4" customWidth="1"/>
    <col min="1807" max="1807" width="27.9921875" style="4" customWidth="1"/>
    <col min="1808" max="2054" width="28.359375" style="4"/>
    <col min="2055" max="2055" width="22.44140625" style="4" customWidth="1"/>
    <col min="2056" max="2056" width="24.66015625" style="4" customWidth="1"/>
    <col min="2057" max="2057" width="28.9765625" style="4" customWidth="1"/>
    <col min="2058" max="2058" width="28.359375" style="4"/>
    <col min="2059" max="2059" width="23.921875" style="4" customWidth="1"/>
    <col min="2060" max="2060" width="24.90625" style="4" customWidth="1"/>
    <col min="2061" max="2061" width="28.9765625" style="4" customWidth="1"/>
    <col min="2062" max="2062" width="19.60546875" style="4" customWidth="1"/>
    <col min="2063" max="2063" width="27.9921875" style="4" customWidth="1"/>
    <col min="2064" max="2310" width="28.359375" style="4"/>
    <col min="2311" max="2311" width="22.44140625" style="4" customWidth="1"/>
    <col min="2312" max="2312" width="24.66015625" style="4" customWidth="1"/>
    <col min="2313" max="2313" width="28.9765625" style="4" customWidth="1"/>
    <col min="2314" max="2314" width="28.359375" style="4"/>
    <col min="2315" max="2315" width="23.921875" style="4" customWidth="1"/>
    <col min="2316" max="2316" width="24.90625" style="4" customWidth="1"/>
    <col min="2317" max="2317" width="28.9765625" style="4" customWidth="1"/>
    <col min="2318" max="2318" width="19.60546875" style="4" customWidth="1"/>
    <col min="2319" max="2319" width="27.9921875" style="4" customWidth="1"/>
    <col min="2320" max="2566" width="28.359375" style="4"/>
    <col min="2567" max="2567" width="22.44140625" style="4" customWidth="1"/>
    <col min="2568" max="2568" width="24.66015625" style="4" customWidth="1"/>
    <col min="2569" max="2569" width="28.9765625" style="4" customWidth="1"/>
    <col min="2570" max="2570" width="28.359375" style="4"/>
    <col min="2571" max="2571" width="23.921875" style="4" customWidth="1"/>
    <col min="2572" max="2572" width="24.90625" style="4" customWidth="1"/>
    <col min="2573" max="2573" width="28.9765625" style="4" customWidth="1"/>
    <col min="2574" max="2574" width="19.60546875" style="4" customWidth="1"/>
    <col min="2575" max="2575" width="27.9921875" style="4" customWidth="1"/>
    <col min="2576" max="2822" width="28.359375" style="4"/>
    <col min="2823" max="2823" width="22.44140625" style="4" customWidth="1"/>
    <col min="2824" max="2824" width="24.66015625" style="4" customWidth="1"/>
    <col min="2825" max="2825" width="28.9765625" style="4" customWidth="1"/>
    <col min="2826" max="2826" width="28.359375" style="4"/>
    <col min="2827" max="2827" width="23.921875" style="4" customWidth="1"/>
    <col min="2828" max="2828" width="24.90625" style="4" customWidth="1"/>
    <col min="2829" max="2829" width="28.9765625" style="4" customWidth="1"/>
    <col min="2830" max="2830" width="19.60546875" style="4" customWidth="1"/>
    <col min="2831" max="2831" width="27.9921875" style="4" customWidth="1"/>
    <col min="2832" max="3078" width="28.359375" style="4"/>
    <col min="3079" max="3079" width="22.44140625" style="4" customWidth="1"/>
    <col min="3080" max="3080" width="24.66015625" style="4" customWidth="1"/>
    <col min="3081" max="3081" width="28.9765625" style="4" customWidth="1"/>
    <col min="3082" max="3082" width="28.359375" style="4"/>
    <col min="3083" max="3083" width="23.921875" style="4" customWidth="1"/>
    <col min="3084" max="3084" width="24.90625" style="4" customWidth="1"/>
    <col min="3085" max="3085" width="28.9765625" style="4" customWidth="1"/>
    <col min="3086" max="3086" width="19.60546875" style="4" customWidth="1"/>
    <col min="3087" max="3087" width="27.9921875" style="4" customWidth="1"/>
    <col min="3088" max="3334" width="28.359375" style="4"/>
    <col min="3335" max="3335" width="22.44140625" style="4" customWidth="1"/>
    <col min="3336" max="3336" width="24.66015625" style="4" customWidth="1"/>
    <col min="3337" max="3337" width="28.9765625" style="4" customWidth="1"/>
    <col min="3338" max="3338" width="28.359375" style="4"/>
    <col min="3339" max="3339" width="23.921875" style="4" customWidth="1"/>
    <col min="3340" max="3340" width="24.90625" style="4" customWidth="1"/>
    <col min="3341" max="3341" width="28.9765625" style="4" customWidth="1"/>
    <col min="3342" max="3342" width="19.60546875" style="4" customWidth="1"/>
    <col min="3343" max="3343" width="27.9921875" style="4" customWidth="1"/>
    <col min="3344" max="3590" width="28.359375" style="4"/>
    <col min="3591" max="3591" width="22.44140625" style="4" customWidth="1"/>
    <col min="3592" max="3592" width="24.66015625" style="4" customWidth="1"/>
    <col min="3593" max="3593" width="28.9765625" style="4" customWidth="1"/>
    <col min="3594" max="3594" width="28.359375" style="4"/>
    <col min="3595" max="3595" width="23.921875" style="4" customWidth="1"/>
    <col min="3596" max="3596" width="24.90625" style="4" customWidth="1"/>
    <col min="3597" max="3597" width="28.9765625" style="4" customWidth="1"/>
    <col min="3598" max="3598" width="19.60546875" style="4" customWidth="1"/>
    <col min="3599" max="3599" width="27.9921875" style="4" customWidth="1"/>
    <col min="3600" max="3846" width="28.359375" style="4"/>
    <col min="3847" max="3847" width="22.44140625" style="4" customWidth="1"/>
    <col min="3848" max="3848" width="24.66015625" style="4" customWidth="1"/>
    <col min="3849" max="3849" width="28.9765625" style="4" customWidth="1"/>
    <col min="3850" max="3850" width="28.359375" style="4"/>
    <col min="3851" max="3851" width="23.921875" style="4" customWidth="1"/>
    <col min="3852" max="3852" width="24.90625" style="4" customWidth="1"/>
    <col min="3853" max="3853" width="28.9765625" style="4" customWidth="1"/>
    <col min="3854" max="3854" width="19.60546875" style="4" customWidth="1"/>
    <col min="3855" max="3855" width="27.9921875" style="4" customWidth="1"/>
    <col min="3856" max="4102" width="28.359375" style="4"/>
    <col min="4103" max="4103" width="22.44140625" style="4" customWidth="1"/>
    <col min="4104" max="4104" width="24.66015625" style="4" customWidth="1"/>
    <col min="4105" max="4105" width="28.9765625" style="4" customWidth="1"/>
    <col min="4106" max="4106" width="28.359375" style="4"/>
    <col min="4107" max="4107" width="23.921875" style="4" customWidth="1"/>
    <col min="4108" max="4108" width="24.90625" style="4" customWidth="1"/>
    <col min="4109" max="4109" width="28.9765625" style="4" customWidth="1"/>
    <col min="4110" max="4110" width="19.60546875" style="4" customWidth="1"/>
    <col min="4111" max="4111" width="27.9921875" style="4" customWidth="1"/>
    <col min="4112" max="4358" width="28.359375" style="4"/>
    <col min="4359" max="4359" width="22.44140625" style="4" customWidth="1"/>
    <col min="4360" max="4360" width="24.66015625" style="4" customWidth="1"/>
    <col min="4361" max="4361" width="28.9765625" style="4" customWidth="1"/>
    <col min="4362" max="4362" width="28.359375" style="4"/>
    <col min="4363" max="4363" width="23.921875" style="4" customWidth="1"/>
    <col min="4364" max="4364" width="24.90625" style="4" customWidth="1"/>
    <col min="4365" max="4365" width="28.9765625" style="4" customWidth="1"/>
    <col min="4366" max="4366" width="19.60546875" style="4" customWidth="1"/>
    <col min="4367" max="4367" width="27.9921875" style="4" customWidth="1"/>
    <col min="4368" max="4614" width="28.359375" style="4"/>
    <col min="4615" max="4615" width="22.44140625" style="4" customWidth="1"/>
    <col min="4616" max="4616" width="24.66015625" style="4" customWidth="1"/>
    <col min="4617" max="4617" width="28.9765625" style="4" customWidth="1"/>
    <col min="4618" max="4618" width="28.359375" style="4"/>
    <col min="4619" max="4619" width="23.921875" style="4" customWidth="1"/>
    <col min="4620" max="4620" width="24.90625" style="4" customWidth="1"/>
    <col min="4621" max="4621" width="28.9765625" style="4" customWidth="1"/>
    <col min="4622" max="4622" width="19.60546875" style="4" customWidth="1"/>
    <col min="4623" max="4623" width="27.9921875" style="4" customWidth="1"/>
    <col min="4624" max="4870" width="28.359375" style="4"/>
    <col min="4871" max="4871" width="22.44140625" style="4" customWidth="1"/>
    <col min="4872" max="4872" width="24.66015625" style="4" customWidth="1"/>
    <col min="4873" max="4873" width="28.9765625" style="4" customWidth="1"/>
    <col min="4874" max="4874" width="28.359375" style="4"/>
    <col min="4875" max="4875" width="23.921875" style="4" customWidth="1"/>
    <col min="4876" max="4876" width="24.90625" style="4" customWidth="1"/>
    <col min="4877" max="4877" width="28.9765625" style="4" customWidth="1"/>
    <col min="4878" max="4878" width="19.60546875" style="4" customWidth="1"/>
    <col min="4879" max="4879" width="27.9921875" style="4" customWidth="1"/>
    <col min="4880" max="5126" width="28.359375" style="4"/>
    <col min="5127" max="5127" width="22.44140625" style="4" customWidth="1"/>
    <col min="5128" max="5128" width="24.66015625" style="4" customWidth="1"/>
    <col min="5129" max="5129" width="28.9765625" style="4" customWidth="1"/>
    <col min="5130" max="5130" width="28.359375" style="4"/>
    <col min="5131" max="5131" width="23.921875" style="4" customWidth="1"/>
    <col min="5132" max="5132" width="24.90625" style="4" customWidth="1"/>
    <col min="5133" max="5133" width="28.9765625" style="4" customWidth="1"/>
    <col min="5134" max="5134" width="19.60546875" style="4" customWidth="1"/>
    <col min="5135" max="5135" width="27.9921875" style="4" customWidth="1"/>
    <col min="5136" max="5382" width="28.359375" style="4"/>
    <col min="5383" max="5383" width="22.44140625" style="4" customWidth="1"/>
    <col min="5384" max="5384" width="24.66015625" style="4" customWidth="1"/>
    <col min="5385" max="5385" width="28.9765625" style="4" customWidth="1"/>
    <col min="5386" max="5386" width="28.359375" style="4"/>
    <col min="5387" max="5387" width="23.921875" style="4" customWidth="1"/>
    <col min="5388" max="5388" width="24.90625" style="4" customWidth="1"/>
    <col min="5389" max="5389" width="28.9765625" style="4" customWidth="1"/>
    <col min="5390" max="5390" width="19.60546875" style="4" customWidth="1"/>
    <col min="5391" max="5391" width="27.9921875" style="4" customWidth="1"/>
    <col min="5392" max="5638" width="28.359375" style="4"/>
    <col min="5639" max="5639" width="22.44140625" style="4" customWidth="1"/>
    <col min="5640" max="5640" width="24.66015625" style="4" customWidth="1"/>
    <col min="5641" max="5641" width="28.9765625" style="4" customWidth="1"/>
    <col min="5642" max="5642" width="28.359375" style="4"/>
    <col min="5643" max="5643" width="23.921875" style="4" customWidth="1"/>
    <col min="5644" max="5644" width="24.90625" style="4" customWidth="1"/>
    <col min="5645" max="5645" width="28.9765625" style="4" customWidth="1"/>
    <col min="5646" max="5646" width="19.60546875" style="4" customWidth="1"/>
    <col min="5647" max="5647" width="27.9921875" style="4" customWidth="1"/>
    <col min="5648" max="5894" width="28.359375" style="4"/>
    <col min="5895" max="5895" width="22.44140625" style="4" customWidth="1"/>
    <col min="5896" max="5896" width="24.66015625" style="4" customWidth="1"/>
    <col min="5897" max="5897" width="28.9765625" style="4" customWidth="1"/>
    <col min="5898" max="5898" width="28.359375" style="4"/>
    <col min="5899" max="5899" width="23.921875" style="4" customWidth="1"/>
    <col min="5900" max="5900" width="24.90625" style="4" customWidth="1"/>
    <col min="5901" max="5901" width="28.9765625" style="4" customWidth="1"/>
    <col min="5902" max="5902" width="19.60546875" style="4" customWidth="1"/>
    <col min="5903" max="5903" width="27.9921875" style="4" customWidth="1"/>
    <col min="5904" max="6150" width="28.359375" style="4"/>
    <col min="6151" max="6151" width="22.44140625" style="4" customWidth="1"/>
    <col min="6152" max="6152" width="24.66015625" style="4" customWidth="1"/>
    <col min="6153" max="6153" width="28.9765625" style="4" customWidth="1"/>
    <col min="6154" max="6154" width="28.359375" style="4"/>
    <col min="6155" max="6155" width="23.921875" style="4" customWidth="1"/>
    <col min="6156" max="6156" width="24.90625" style="4" customWidth="1"/>
    <col min="6157" max="6157" width="28.9765625" style="4" customWidth="1"/>
    <col min="6158" max="6158" width="19.60546875" style="4" customWidth="1"/>
    <col min="6159" max="6159" width="27.9921875" style="4" customWidth="1"/>
    <col min="6160" max="6406" width="28.359375" style="4"/>
    <col min="6407" max="6407" width="22.44140625" style="4" customWidth="1"/>
    <col min="6408" max="6408" width="24.66015625" style="4" customWidth="1"/>
    <col min="6409" max="6409" width="28.9765625" style="4" customWidth="1"/>
    <col min="6410" max="6410" width="28.359375" style="4"/>
    <col min="6411" max="6411" width="23.921875" style="4" customWidth="1"/>
    <col min="6412" max="6412" width="24.90625" style="4" customWidth="1"/>
    <col min="6413" max="6413" width="28.9765625" style="4" customWidth="1"/>
    <col min="6414" max="6414" width="19.60546875" style="4" customWidth="1"/>
    <col min="6415" max="6415" width="27.9921875" style="4" customWidth="1"/>
    <col min="6416" max="6662" width="28.359375" style="4"/>
    <col min="6663" max="6663" width="22.44140625" style="4" customWidth="1"/>
    <col min="6664" max="6664" width="24.66015625" style="4" customWidth="1"/>
    <col min="6665" max="6665" width="28.9765625" style="4" customWidth="1"/>
    <col min="6666" max="6666" width="28.359375" style="4"/>
    <col min="6667" max="6667" width="23.921875" style="4" customWidth="1"/>
    <col min="6668" max="6668" width="24.90625" style="4" customWidth="1"/>
    <col min="6669" max="6669" width="28.9765625" style="4" customWidth="1"/>
    <col min="6670" max="6670" width="19.60546875" style="4" customWidth="1"/>
    <col min="6671" max="6671" width="27.9921875" style="4" customWidth="1"/>
    <col min="6672" max="6918" width="28.359375" style="4"/>
    <col min="6919" max="6919" width="22.44140625" style="4" customWidth="1"/>
    <col min="6920" max="6920" width="24.66015625" style="4" customWidth="1"/>
    <col min="6921" max="6921" width="28.9765625" style="4" customWidth="1"/>
    <col min="6922" max="6922" width="28.359375" style="4"/>
    <col min="6923" max="6923" width="23.921875" style="4" customWidth="1"/>
    <col min="6924" max="6924" width="24.90625" style="4" customWidth="1"/>
    <col min="6925" max="6925" width="28.9765625" style="4" customWidth="1"/>
    <col min="6926" max="6926" width="19.60546875" style="4" customWidth="1"/>
    <col min="6927" max="6927" width="27.9921875" style="4" customWidth="1"/>
    <col min="6928" max="7174" width="28.359375" style="4"/>
    <col min="7175" max="7175" width="22.44140625" style="4" customWidth="1"/>
    <col min="7176" max="7176" width="24.66015625" style="4" customWidth="1"/>
    <col min="7177" max="7177" width="28.9765625" style="4" customWidth="1"/>
    <col min="7178" max="7178" width="28.359375" style="4"/>
    <col min="7179" max="7179" width="23.921875" style="4" customWidth="1"/>
    <col min="7180" max="7180" width="24.90625" style="4" customWidth="1"/>
    <col min="7181" max="7181" width="28.9765625" style="4" customWidth="1"/>
    <col min="7182" max="7182" width="19.60546875" style="4" customWidth="1"/>
    <col min="7183" max="7183" width="27.9921875" style="4" customWidth="1"/>
    <col min="7184" max="7430" width="28.359375" style="4"/>
    <col min="7431" max="7431" width="22.44140625" style="4" customWidth="1"/>
    <col min="7432" max="7432" width="24.66015625" style="4" customWidth="1"/>
    <col min="7433" max="7433" width="28.9765625" style="4" customWidth="1"/>
    <col min="7434" max="7434" width="28.359375" style="4"/>
    <col min="7435" max="7435" width="23.921875" style="4" customWidth="1"/>
    <col min="7436" max="7436" width="24.90625" style="4" customWidth="1"/>
    <col min="7437" max="7437" width="28.9765625" style="4" customWidth="1"/>
    <col min="7438" max="7438" width="19.60546875" style="4" customWidth="1"/>
    <col min="7439" max="7439" width="27.9921875" style="4" customWidth="1"/>
    <col min="7440" max="7686" width="28.359375" style="4"/>
    <col min="7687" max="7687" width="22.44140625" style="4" customWidth="1"/>
    <col min="7688" max="7688" width="24.66015625" style="4" customWidth="1"/>
    <col min="7689" max="7689" width="28.9765625" style="4" customWidth="1"/>
    <col min="7690" max="7690" width="28.359375" style="4"/>
    <col min="7691" max="7691" width="23.921875" style="4" customWidth="1"/>
    <col min="7692" max="7692" width="24.90625" style="4" customWidth="1"/>
    <col min="7693" max="7693" width="28.9765625" style="4" customWidth="1"/>
    <col min="7694" max="7694" width="19.60546875" style="4" customWidth="1"/>
    <col min="7695" max="7695" width="27.9921875" style="4" customWidth="1"/>
    <col min="7696" max="7942" width="28.359375" style="4"/>
    <col min="7943" max="7943" width="22.44140625" style="4" customWidth="1"/>
    <col min="7944" max="7944" width="24.66015625" style="4" customWidth="1"/>
    <col min="7945" max="7945" width="28.9765625" style="4" customWidth="1"/>
    <col min="7946" max="7946" width="28.359375" style="4"/>
    <col min="7947" max="7947" width="23.921875" style="4" customWidth="1"/>
    <col min="7948" max="7948" width="24.90625" style="4" customWidth="1"/>
    <col min="7949" max="7949" width="28.9765625" style="4" customWidth="1"/>
    <col min="7950" max="7950" width="19.60546875" style="4" customWidth="1"/>
    <col min="7951" max="7951" width="27.9921875" style="4" customWidth="1"/>
    <col min="7952" max="8198" width="28.359375" style="4"/>
    <col min="8199" max="8199" width="22.44140625" style="4" customWidth="1"/>
    <col min="8200" max="8200" width="24.66015625" style="4" customWidth="1"/>
    <col min="8201" max="8201" width="28.9765625" style="4" customWidth="1"/>
    <col min="8202" max="8202" width="28.359375" style="4"/>
    <col min="8203" max="8203" width="23.921875" style="4" customWidth="1"/>
    <col min="8204" max="8204" width="24.90625" style="4" customWidth="1"/>
    <col min="8205" max="8205" width="28.9765625" style="4" customWidth="1"/>
    <col min="8206" max="8206" width="19.60546875" style="4" customWidth="1"/>
    <col min="8207" max="8207" width="27.9921875" style="4" customWidth="1"/>
    <col min="8208" max="8454" width="28.359375" style="4"/>
    <col min="8455" max="8455" width="22.44140625" style="4" customWidth="1"/>
    <col min="8456" max="8456" width="24.66015625" style="4" customWidth="1"/>
    <col min="8457" max="8457" width="28.9765625" style="4" customWidth="1"/>
    <col min="8458" max="8458" width="28.359375" style="4"/>
    <col min="8459" max="8459" width="23.921875" style="4" customWidth="1"/>
    <col min="8460" max="8460" width="24.90625" style="4" customWidth="1"/>
    <col min="8461" max="8461" width="28.9765625" style="4" customWidth="1"/>
    <col min="8462" max="8462" width="19.60546875" style="4" customWidth="1"/>
    <col min="8463" max="8463" width="27.9921875" style="4" customWidth="1"/>
    <col min="8464" max="8710" width="28.359375" style="4"/>
    <col min="8711" max="8711" width="22.44140625" style="4" customWidth="1"/>
    <col min="8712" max="8712" width="24.66015625" style="4" customWidth="1"/>
    <col min="8713" max="8713" width="28.9765625" style="4" customWidth="1"/>
    <col min="8714" max="8714" width="28.359375" style="4"/>
    <col min="8715" max="8715" width="23.921875" style="4" customWidth="1"/>
    <col min="8716" max="8716" width="24.90625" style="4" customWidth="1"/>
    <col min="8717" max="8717" width="28.9765625" style="4" customWidth="1"/>
    <col min="8718" max="8718" width="19.60546875" style="4" customWidth="1"/>
    <col min="8719" max="8719" width="27.9921875" style="4" customWidth="1"/>
    <col min="8720" max="8966" width="28.359375" style="4"/>
    <col min="8967" max="8967" width="22.44140625" style="4" customWidth="1"/>
    <col min="8968" max="8968" width="24.66015625" style="4" customWidth="1"/>
    <col min="8969" max="8969" width="28.9765625" style="4" customWidth="1"/>
    <col min="8970" max="8970" width="28.359375" style="4"/>
    <col min="8971" max="8971" width="23.921875" style="4" customWidth="1"/>
    <col min="8972" max="8972" width="24.90625" style="4" customWidth="1"/>
    <col min="8973" max="8973" width="28.9765625" style="4" customWidth="1"/>
    <col min="8974" max="8974" width="19.60546875" style="4" customWidth="1"/>
    <col min="8975" max="8975" width="27.9921875" style="4" customWidth="1"/>
    <col min="8976" max="9222" width="28.359375" style="4"/>
    <col min="9223" max="9223" width="22.44140625" style="4" customWidth="1"/>
    <col min="9224" max="9224" width="24.66015625" style="4" customWidth="1"/>
    <col min="9225" max="9225" width="28.9765625" style="4" customWidth="1"/>
    <col min="9226" max="9226" width="28.359375" style="4"/>
    <col min="9227" max="9227" width="23.921875" style="4" customWidth="1"/>
    <col min="9228" max="9228" width="24.90625" style="4" customWidth="1"/>
    <col min="9229" max="9229" width="28.9765625" style="4" customWidth="1"/>
    <col min="9230" max="9230" width="19.60546875" style="4" customWidth="1"/>
    <col min="9231" max="9231" width="27.9921875" style="4" customWidth="1"/>
    <col min="9232" max="9478" width="28.359375" style="4"/>
    <col min="9479" max="9479" width="22.44140625" style="4" customWidth="1"/>
    <col min="9480" max="9480" width="24.66015625" style="4" customWidth="1"/>
    <col min="9481" max="9481" width="28.9765625" style="4" customWidth="1"/>
    <col min="9482" max="9482" width="28.359375" style="4"/>
    <col min="9483" max="9483" width="23.921875" style="4" customWidth="1"/>
    <col min="9484" max="9484" width="24.90625" style="4" customWidth="1"/>
    <col min="9485" max="9485" width="28.9765625" style="4" customWidth="1"/>
    <col min="9486" max="9486" width="19.60546875" style="4" customWidth="1"/>
    <col min="9487" max="9487" width="27.9921875" style="4" customWidth="1"/>
    <col min="9488" max="9734" width="28.359375" style="4"/>
    <col min="9735" max="9735" width="22.44140625" style="4" customWidth="1"/>
    <col min="9736" max="9736" width="24.66015625" style="4" customWidth="1"/>
    <col min="9737" max="9737" width="28.9765625" style="4" customWidth="1"/>
    <col min="9738" max="9738" width="28.359375" style="4"/>
    <col min="9739" max="9739" width="23.921875" style="4" customWidth="1"/>
    <col min="9740" max="9740" width="24.90625" style="4" customWidth="1"/>
    <col min="9741" max="9741" width="28.9765625" style="4" customWidth="1"/>
    <col min="9742" max="9742" width="19.60546875" style="4" customWidth="1"/>
    <col min="9743" max="9743" width="27.9921875" style="4" customWidth="1"/>
    <col min="9744" max="9990" width="28.359375" style="4"/>
    <col min="9991" max="9991" width="22.44140625" style="4" customWidth="1"/>
    <col min="9992" max="9992" width="24.66015625" style="4" customWidth="1"/>
    <col min="9993" max="9993" width="28.9765625" style="4" customWidth="1"/>
    <col min="9994" max="9994" width="28.359375" style="4"/>
    <col min="9995" max="9995" width="23.921875" style="4" customWidth="1"/>
    <col min="9996" max="9996" width="24.90625" style="4" customWidth="1"/>
    <col min="9997" max="9997" width="28.9765625" style="4" customWidth="1"/>
    <col min="9998" max="9998" width="19.60546875" style="4" customWidth="1"/>
    <col min="9999" max="9999" width="27.9921875" style="4" customWidth="1"/>
    <col min="10000" max="10246" width="28.359375" style="4"/>
    <col min="10247" max="10247" width="22.44140625" style="4" customWidth="1"/>
    <col min="10248" max="10248" width="24.66015625" style="4" customWidth="1"/>
    <col min="10249" max="10249" width="28.9765625" style="4" customWidth="1"/>
    <col min="10250" max="10250" width="28.359375" style="4"/>
    <col min="10251" max="10251" width="23.921875" style="4" customWidth="1"/>
    <col min="10252" max="10252" width="24.90625" style="4" customWidth="1"/>
    <col min="10253" max="10253" width="28.9765625" style="4" customWidth="1"/>
    <col min="10254" max="10254" width="19.60546875" style="4" customWidth="1"/>
    <col min="10255" max="10255" width="27.9921875" style="4" customWidth="1"/>
    <col min="10256" max="10502" width="28.359375" style="4"/>
    <col min="10503" max="10503" width="22.44140625" style="4" customWidth="1"/>
    <col min="10504" max="10504" width="24.66015625" style="4" customWidth="1"/>
    <col min="10505" max="10505" width="28.9765625" style="4" customWidth="1"/>
    <col min="10506" max="10506" width="28.359375" style="4"/>
    <col min="10507" max="10507" width="23.921875" style="4" customWidth="1"/>
    <col min="10508" max="10508" width="24.90625" style="4" customWidth="1"/>
    <col min="10509" max="10509" width="28.9765625" style="4" customWidth="1"/>
    <col min="10510" max="10510" width="19.60546875" style="4" customWidth="1"/>
    <col min="10511" max="10511" width="27.9921875" style="4" customWidth="1"/>
    <col min="10512" max="10758" width="28.359375" style="4"/>
    <col min="10759" max="10759" width="22.44140625" style="4" customWidth="1"/>
    <col min="10760" max="10760" width="24.66015625" style="4" customWidth="1"/>
    <col min="10761" max="10761" width="28.9765625" style="4" customWidth="1"/>
    <col min="10762" max="10762" width="28.359375" style="4"/>
    <col min="10763" max="10763" width="23.921875" style="4" customWidth="1"/>
    <col min="10764" max="10764" width="24.90625" style="4" customWidth="1"/>
    <col min="10765" max="10765" width="28.9765625" style="4" customWidth="1"/>
    <col min="10766" max="10766" width="19.60546875" style="4" customWidth="1"/>
    <col min="10767" max="10767" width="27.9921875" style="4" customWidth="1"/>
    <col min="10768" max="11014" width="28.359375" style="4"/>
    <col min="11015" max="11015" width="22.44140625" style="4" customWidth="1"/>
    <col min="11016" max="11016" width="24.66015625" style="4" customWidth="1"/>
    <col min="11017" max="11017" width="28.9765625" style="4" customWidth="1"/>
    <col min="11018" max="11018" width="28.359375" style="4"/>
    <col min="11019" max="11019" width="23.921875" style="4" customWidth="1"/>
    <col min="11020" max="11020" width="24.90625" style="4" customWidth="1"/>
    <col min="11021" max="11021" width="28.9765625" style="4" customWidth="1"/>
    <col min="11022" max="11022" width="19.60546875" style="4" customWidth="1"/>
    <col min="11023" max="11023" width="27.9921875" style="4" customWidth="1"/>
    <col min="11024" max="11270" width="28.359375" style="4"/>
    <col min="11271" max="11271" width="22.44140625" style="4" customWidth="1"/>
    <col min="11272" max="11272" width="24.66015625" style="4" customWidth="1"/>
    <col min="11273" max="11273" width="28.9765625" style="4" customWidth="1"/>
    <col min="11274" max="11274" width="28.359375" style="4"/>
    <col min="11275" max="11275" width="23.921875" style="4" customWidth="1"/>
    <col min="11276" max="11276" width="24.90625" style="4" customWidth="1"/>
    <col min="11277" max="11277" width="28.9765625" style="4" customWidth="1"/>
    <col min="11278" max="11278" width="19.60546875" style="4" customWidth="1"/>
    <col min="11279" max="11279" width="27.9921875" style="4" customWidth="1"/>
    <col min="11280" max="11526" width="28.359375" style="4"/>
    <col min="11527" max="11527" width="22.44140625" style="4" customWidth="1"/>
    <col min="11528" max="11528" width="24.66015625" style="4" customWidth="1"/>
    <col min="11529" max="11529" width="28.9765625" style="4" customWidth="1"/>
    <col min="11530" max="11530" width="28.359375" style="4"/>
    <col min="11531" max="11531" width="23.921875" style="4" customWidth="1"/>
    <col min="11532" max="11532" width="24.90625" style="4" customWidth="1"/>
    <col min="11533" max="11533" width="28.9765625" style="4" customWidth="1"/>
    <col min="11534" max="11534" width="19.60546875" style="4" customWidth="1"/>
    <col min="11535" max="11535" width="27.9921875" style="4" customWidth="1"/>
    <col min="11536" max="11782" width="28.359375" style="4"/>
    <col min="11783" max="11783" width="22.44140625" style="4" customWidth="1"/>
    <col min="11784" max="11784" width="24.66015625" style="4" customWidth="1"/>
    <col min="11785" max="11785" width="28.9765625" style="4" customWidth="1"/>
    <col min="11786" max="11786" width="28.359375" style="4"/>
    <col min="11787" max="11787" width="23.921875" style="4" customWidth="1"/>
    <col min="11788" max="11788" width="24.90625" style="4" customWidth="1"/>
    <col min="11789" max="11789" width="28.9765625" style="4" customWidth="1"/>
    <col min="11790" max="11790" width="19.60546875" style="4" customWidth="1"/>
    <col min="11791" max="11791" width="27.9921875" style="4" customWidth="1"/>
    <col min="11792" max="12038" width="28.359375" style="4"/>
    <col min="12039" max="12039" width="22.44140625" style="4" customWidth="1"/>
    <col min="12040" max="12040" width="24.66015625" style="4" customWidth="1"/>
    <col min="12041" max="12041" width="28.9765625" style="4" customWidth="1"/>
    <col min="12042" max="12042" width="28.359375" style="4"/>
    <col min="12043" max="12043" width="23.921875" style="4" customWidth="1"/>
    <col min="12044" max="12044" width="24.90625" style="4" customWidth="1"/>
    <col min="12045" max="12045" width="28.9765625" style="4" customWidth="1"/>
    <col min="12046" max="12046" width="19.60546875" style="4" customWidth="1"/>
    <col min="12047" max="12047" width="27.9921875" style="4" customWidth="1"/>
    <col min="12048" max="12294" width="28.359375" style="4"/>
    <col min="12295" max="12295" width="22.44140625" style="4" customWidth="1"/>
    <col min="12296" max="12296" width="24.66015625" style="4" customWidth="1"/>
    <col min="12297" max="12297" width="28.9765625" style="4" customWidth="1"/>
    <col min="12298" max="12298" width="28.359375" style="4"/>
    <col min="12299" max="12299" width="23.921875" style="4" customWidth="1"/>
    <col min="12300" max="12300" width="24.90625" style="4" customWidth="1"/>
    <col min="12301" max="12301" width="28.9765625" style="4" customWidth="1"/>
    <col min="12302" max="12302" width="19.60546875" style="4" customWidth="1"/>
    <col min="12303" max="12303" width="27.9921875" style="4" customWidth="1"/>
    <col min="12304" max="12550" width="28.359375" style="4"/>
    <col min="12551" max="12551" width="22.44140625" style="4" customWidth="1"/>
    <col min="12552" max="12552" width="24.66015625" style="4" customWidth="1"/>
    <col min="12553" max="12553" width="28.9765625" style="4" customWidth="1"/>
    <col min="12554" max="12554" width="28.359375" style="4"/>
    <col min="12555" max="12555" width="23.921875" style="4" customWidth="1"/>
    <col min="12556" max="12556" width="24.90625" style="4" customWidth="1"/>
    <col min="12557" max="12557" width="28.9765625" style="4" customWidth="1"/>
    <col min="12558" max="12558" width="19.60546875" style="4" customWidth="1"/>
    <col min="12559" max="12559" width="27.9921875" style="4" customWidth="1"/>
    <col min="12560" max="12806" width="28.359375" style="4"/>
    <col min="12807" max="12807" width="22.44140625" style="4" customWidth="1"/>
    <col min="12808" max="12808" width="24.66015625" style="4" customWidth="1"/>
    <col min="12809" max="12809" width="28.9765625" style="4" customWidth="1"/>
    <col min="12810" max="12810" width="28.359375" style="4"/>
    <col min="12811" max="12811" width="23.921875" style="4" customWidth="1"/>
    <col min="12812" max="12812" width="24.90625" style="4" customWidth="1"/>
    <col min="12813" max="12813" width="28.9765625" style="4" customWidth="1"/>
    <col min="12814" max="12814" width="19.60546875" style="4" customWidth="1"/>
    <col min="12815" max="12815" width="27.9921875" style="4" customWidth="1"/>
    <col min="12816" max="13062" width="28.359375" style="4"/>
    <col min="13063" max="13063" width="22.44140625" style="4" customWidth="1"/>
    <col min="13064" max="13064" width="24.66015625" style="4" customWidth="1"/>
    <col min="13065" max="13065" width="28.9765625" style="4" customWidth="1"/>
    <col min="13066" max="13066" width="28.359375" style="4"/>
    <col min="13067" max="13067" width="23.921875" style="4" customWidth="1"/>
    <col min="13068" max="13068" width="24.90625" style="4" customWidth="1"/>
    <col min="13069" max="13069" width="28.9765625" style="4" customWidth="1"/>
    <col min="13070" max="13070" width="19.60546875" style="4" customWidth="1"/>
    <col min="13071" max="13071" width="27.9921875" style="4" customWidth="1"/>
    <col min="13072" max="13318" width="28.359375" style="4"/>
    <col min="13319" max="13319" width="22.44140625" style="4" customWidth="1"/>
    <col min="13320" max="13320" width="24.66015625" style="4" customWidth="1"/>
    <col min="13321" max="13321" width="28.9765625" style="4" customWidth="1"/>
    <col min="13322" max="13322" width="28.359375" style="4"/>
    <col min="13323" max="13323" width="23.921875" style="4" customWidth="1"/>
    <col min="13324" max="13324" width="24.90625" style="4" customWidth="1"/>
    <col min="13325" max="13325" width="28.9765625" style="4" customWidth="1"/>
    <col min="13326" max="13326" width="19.60546875" style="4" customWidth="1"/>
    <col min="13327" max="13327" width="27.9921875" style="4" customWidth="1"/>
    <col min="13328" max="13574" width="28.359375" style="4"/>
    <col min="13575" max="13575" width="22.44140625" style="4" customWidth="1"/>
    <col min="13576" max="13576" width="24.66015625" style="4" customWidth="1"/>
    <col min="13577" max="13577" width="28.9765625" style="4" customWidth="1"/>
    <col min="13578" max="13578" width="28.359375" style="4"/>
    <col min="13579" max="13579" width="23.921875" style="4" customWidth="1"/>
    <col min="13580" max="13580" width="24.90625" style="4" customWidth="1"/>
    <col min="13581" max="13581" width="28.9765625" style="4" customWidth="1"/>
    <col min="13582" max="13582" width="19.60546875" style="4" customWidth="1"/>
    <col min="13583" max="13583" width="27.9921875" style="4" customWidth="1"/>
    <col min="13584" max="13830" width="28.359375" style="4"/>
    <col min="13831" max="13831" width="22.44140625" style="4" customWidth="1"/>
    <col min="13832" max="13832" width="24.66015625" style="4" customWidth="1"/>
    <col min="13833" max="13833" width="28.9765625" style="4" customWidth="1"/>
    <col min="13834" max="13834" width="28.359375" style="4"/>
    <col min="13835" max="13835" width="23.921875" style="4" customWidth="1"/>
    <col min="13836" max="13836" width="24.90625" style="4" customWidth="1"/>
    <col min="13837" max="13837" width="28.9765625" style="4" customWidth="1"/>
    <col min="13838" max="13838" width="19.60546875" style="4" customWidth="1"/>
    <col min="13839" max="13839" width="27.9921875" style="4" customWidth="1"/>
    <col min="13840" max="14086" width="28.359375" style="4"/>
    <col min="14087" max="14087" width="22.44140625" style="4" customWidth="1"/>
    <col min="14088" max="14088" width="24.66015625" style="4" customWidth="1"/>
    <col min="14089" max="14089" width="28.9765625" style="4" customWidth="1"/>
    <col min="14090" max="14090" width="28.359375" style="4"/>
    <col min="14091" max="14091" width="23.921875" style="4" customWidth="1"/>
    <col min="14092" max="14092" width="24.90625" style="4" customWidth="1"/>
    <col min="14093" max="14093" width="28.9765625" style="4" customWidth="1"/>
    <col min="14094" max="14094" width="19.60546875" style="4" customWidth="1"/>
    <col min="14095" max="14095" width="27.9921875" style="4" customWidth="1"/>
    <col min="14096" max="14342" width="28.359375" style="4"/>
    <col min="14343" max="14343" width="22.44140625" style="4" customWidth="1"/>
    <col min="14344" max="14344" width="24.66015625" style="4" customWidth="1"/>
    <col min="14345" max="14345" width="28.9765625" style="4" customWidth="1"/>
    <col min="14346" max="14346" width="28.359375" style="4"/>
    <col min="14347" max="14347" width="23.921875" style="4" customWidth="1"/>
    <col min="14348" max="14348" width="24.90625" style="4" customWidth="1"/>
    <col min="14349" max="14349" width="28.9765625" style="4" customWidth="1"/>
    <col min="14350" max="14350" width="19.60546875" style="4" customWidth="1"/>
    <col min="14351" max="14351" width="27.9921875" style="4" customWidth="1"/>
    <col min="14352" max="14598" width="28.359375" style="4"/>
    <col min="14599" max="14599" width="22.44140625" style="4" customWidth="1"/>
    <col min="14600" max="14600" width="24.66015625" style="4" customWidth="1"/>
    <col min="14601" max="14601" width="28.9765625" style="4" customWidth="1"/>
    <col min="14602" max="14602" width="28.359375" style="4"/>
    <col min="14603" max="14603" width="23.921875" style="4" customWidth="1"/>
    <col min="14604" max="14604" width="24.90625" style="4" customWidth="1"/>
    <col min="14605" max="14605" width="28.9765625" style="4" customWidth="1"/>
    <col min="14606" max="14606" width="19.60546875" style="4" customWidth="1"/>
    <col min="14607" max="14607" width="27.9921875" style="4" customWidth="1"/>
    <col min="14608" max="14854" width="28.359375" style="4"/>
    <col min="14855" max="14855" width="22.44140625" style="4" customWidth="1"/>
    <col min="14856" max="14856" width="24.66015625" style="4" customWidth="1"/>
    <col min="14857" max="14857" width="28.9765625" style="4" customWidth="1"/>
    <col min="14858" max="14858" width="28.359375" style="4"/>
    <col min="14859" max="14859" width="23.921875" style="4" customWidth="1"/>
    <col min="14860" max="14860" width="24.90625" style="4" customWidth="1"/>
    <col min="14861" max="14861" width="28.9765625" style="4" customWidth="1"/>
    <col min="14862" max="14862" width="19.60546875" style="4" customWidth="1"/>
    <col min="14863" max="14863" width="27.9921875" style="4" customWidth="1"/>
    <col min="14864" max="15110" width="28.359375" style="4"/>
    <col min="15111" max="15111" width="22.44140625" style="4" customWidth="1"/>
    <col min="15112" max="15112" width="24.66015625" style="4" customWidth="1"/>
    <col min="15113" max="15113" width="28.9765625" style="4" customWidth="1"/>
    <col min="15114" max="15114" width="28.359375" style="4"/>
    <col min="15115" max="15115" width="23.921875" style="4" customWidth="1"/>
    <col min="15116" max="15116" width="24.90625" style="4" customWidth="1"/>
    <col min="15117" max="15117" width="28.9765625" style="4" customWidth="1"/>
    <col min="15118" max="15118" width="19.60546875" style="4" customWidth="1"/>
    <col min="15119" max="15119" width="27.9921875" style="4" customWidth="1"/>
    <col min="15120" max="15366" width="28.359375" style="4"/>
    <col min="15367" max="15367" width="22.44140625" style="4" customWidth="1"/>
    <col min="15368" max="15368" width="24.66015625" style="4" customWidth="1"/>
    <col min="15369" max="15369" width="28.9765625" style="4" customWidth="1"/>
    <col min="15370" max="15370" width="28.359375" style="4"/>
    <col min="15371" max="15371" width="23.921875" style="4" customWidth="1"/>
    <col min="15372" max="15372" width="24.90625" style="4" customWidth="1"/>
    <col min="15373" max="15373" width="28.9765625" style="4" customWidth="1"/>
    <col min="15374" max="15374" width="19.60546875" style="4" customWidth="1"/>
    <col min="15375" max="15375" width="27.9921875" style="4" customWidth="1"/>
    <col min="15376" max="15622" width="28.359375" style="4"/>
    <col min="15623" max="15623" width="22.44140625" style="4" customWidth="1"/>
    <col min="15624" max="15624" width="24.66015625" style="4" customWidth="1"/>
    <col min="15625" max="15625" width="28.9765625" style="4" customWidth="1"/>
    <col min="15626" max="15626" width="28.359375" style="4"/>
    <col min="15627" max="15627" width="23.921875" style="4" customWidth="1"/>
    <col min="15628" max="15628" width="24.90625" style="4" customWidth="1"/>
    <col min="15629" max="15629" width="28.9765625" style="4" customWidth="1"/>
    <col min="15630" max="15630" width="19.60546875" style="4" customWidth="1"/>
    <col min="15631" max="15631" width="27.9921875" style="4" customWidth="1"/>
    <col min="15632" max="15878" width="28.359375" style="4"/>
    <col min="15879" max="15879" width="22.44140625" style="4" customWidth="1"/>
    <col min="15880" max="15880" width="24.66015625" style="4" customWidth="1"/>
    <col min="15881" max="15881" width="28.9765625" style="4" customWidth="1"/>
    <col min="15882" max="15882" width="28.359375" style="4"/>
    <col min="15883" max="15883" width="23.921875" style="4" customWidth="1"/>
    <col min="15884" max="15884" width="24.90625" style="4" customWidth="1"/>
    <col min="15885" max="15885" width="28.9765625" style="4" customWidth="1"/>
    <col min="15886" max="15886" width="19.60546875" style="4" customWidth="1"/>
    <col min="15887" max="15887" width="27.9921875" style="4" customWidth="1"/>
    <col min="15888" max="16134" width="28.359375" style="4"/>
    <col min="16135" max="16135" width="22.44140625" style="4" customWidth="1"/>
    <col min="16136" max="16136" width="24.66015625" style="4" customWidth="1"/>
    <col min="16137" max="16137" width="28.9765625" style="4" customWidth="1"/>
    <col min="16138" max="16138" width="28.359375" style="4"/>
    <col min="16139" max="16139" width="23.921875" style="4" customWidth="1"/>
    <col min="16140" max="16140" width="24.90625" style="4" customWidth="1"/>
    <col min="16141" max="16141" width="28.9765625" style="4" customWidth="1"/>
    <col min="16142" max="16142" width="19.60546875" style="4" customWidth="1"/>
    <col min="16143" max="16143" width="27.9921875" style="4" customWidth="1"/>
    <col min="16144" max="16384" width="28.359375" style="4"/>
  </cols>
  <sheetData>
    <row r="1" spans="1:16" ht="21.75" thickBot="1" x14ac:dyDescent="0.35">
      <c r="A1" s="128"/>
      <c r="B1" s="129"/>
      <c r="C1" s="129"/>
      <c r="D1" s="129"/>
      <c r="E1" s="130"/>
      <c r="G1" s="394" t="s">
        <v>27</v>
      </c>
      <c r="H1" s="395"/>
      <c r="I1" s="395"/>
      <c r="J1" s="395"/>
      <c r="K1" s="395"/>
      <c r="L1" s="395"/>
      <c r="M1" s="395"/>
      <c r="N1" s="395"/>
      <c r="O1" s="396"/>
    </row>
    <row r="2" spans="1:16" ht="60" thickBot="1" x14ac:dyDescent="0.35">
      <c r="A2" s="131"/>
      <c r="B2" s="421" t="s">
        <v>73</v>
      </c>
      <c r="C2" s="421"/>
      <c r="D2" s="421"/>
      <c r="E2" s="132"/>
      <c r="G2" s="5" t="s">
        <v>6</v>
      </c>
      <c r="H2" s="6" t="s">
        <v>7</v>
      </c>
      <c r="I2" s="6" t="s">
        <v>28</v>
      </c>
      <c r="J2" s="7" t="s">
        <v>29</v>
      </c>
      <c r="K2" s="6" t="s">
        <v>9</v>
      </c>
      <c r="L2" s="8" t="s">
        <v>10</v>
      </c>
      <c r="M2" s="8" t="s">
        <v>30</v>
      </c>
      <c r="N2" s="9" t="s">
        <v>11</v>
      </c>
      <c r="O2" s="6" t="s">
        <v>31</v>
      </c>
    </row>
    <row r="3" spans="1:16" ht="21.75" thickBot="1" x14ac:dyDescent="0.35">
      <c r="A3" s="133"/>
      <c r="B3" s="31"/>
      <c r="C3" s="31"/>
      <c r="D3" s="31"/>
      <c r="E3" s="134"/>
      <c r="G3" s="10">
        <f>'Family Details'!C9</f>
        <v>37</v>
      </c>
      <c r="H3" s="87">
        <f>12*'Family Details'!C28</f>
        <v>2400000</v>
      </c>
      <c r="I3" s="12">
        <v>0.05</v>
      </c>
      <c r="J3" s="12">
        <v>0.05</v>
      </c>
      <c r="K3" s="10">
        <v>60</v>
      </c>
      <c r="L3" s="13">
        <v>7.0000000000000007E-2</v>
      </c>
      <c r="M3" s="13">
        <v>1</v>
      </c>
      <c r="N3" s="10">
        <v>90</v>
      </c>
      <c r="O3" s="11">
        <v>0</v>
      </c>
    </row>
    <row r="4" spans="1:16" ht="21.75" thickBot="1" x14ac:dyDescent="0.35">
      <c r="A4" s="133"/>
      <c r="B4" s="31"/>
      <c r="C4" s="31"/>
      <c r="D4" s="31"/>
      <c r="E4" s="134"/>
      <c r="G4" s="14"/>
      <c r="H4" s="14"/>
      <c r="I4" s="14"/>
      <c r="J4" s="14"/>
      <c r="K4" s="14"/>
      <c r="L4" s="14"/>
      <c r="M4" s="14"/>
      <c r="N4" s="14"/>
      <c r="O4" s="14"/>
    </row>
    <row r="5" spans="1:16" ht="24" customHeight="1" thickBot="1" x14ac:dyDescent="0.35">
      <c r="A5" s="133"/>
      <c r="B5" s="422" t="str">
        <f>Summary!B6</f>
        <v>Akash Agarwal and Priyanka would need to accumulate Rs. 17.05 Cr by Akash Agarwal’s age of 60. This amount when invested in a 7% return portfolio will take care of 30 years of post-retirement household expenses.
The current annual expenses of Rs. 24 L will become Rs. 73.72 L in the first year of retirement due to inflation and continue to grow by 5% through the years.</v>
      </c>
      <c r="C5" s="422"/>
      <c r="D5" s="422"/>
      <c r="E5" s="134"/>
      <c r="G5" s="397" t="s">
        <v>12</v>
      </c>
      <c r="H5" s="398"/>
      <c r="I5" s="398"/>
      <c r="J5" s="398"/>
      <c r="K5" s="398"/>
      <c r="L5" s="398"/>
      <c r="M5" s="398"/>
      <c r="N5" s="398"/>
      <c r="O5" s="399"/>
    </row>
    <row r="6" spans="1:16" ht="21.75" customHeight="1" thickBot="1" x14ac:dyDescent="0.35">
      <c r="A6" s="131"/>
      <c r="B6" s="422"/>
      <c r="C6" s="422"/>
      <c r="D6" s="422"/>
      <c r="E6" s="135"/>
      <c r="G6" s="400">
        <f>-(PV((1+L3)/(1+J3)-1,N3-K3,H3*(1+I3)^(K3-G3)*M3,0,1))-(O3/(1+L3)^(N3-K3))</f>
        <v>170467951.09160665</v>
      </c>
      <c r="H6" s="401"/>
      <c r="I6" s="401"/>
      <c r="J6" s="401"/>
      <c r="K6" s="401"/>
      <c r="L6" s="401"/>
      <c r="M6" s="401"/>
      <c r="N6" s="401"/>
      <c r="O6" s="402"/>
    </row>
    <row r="7" spans="1:16" ht="21" customHeight="1" x14ac:dyDescent="0.3">
      <c r="A7" s="136"/>
      <c r="B7" s="422"/>
      <c r="C7" s="422"/>
      <c r="D7" s="422"/>
      <c r="E7" s="135"/>
      <c r="G7" s="15"/>
      <c r="H7" s="15"/>
      <c r="I7" s="15"/>
      <c r="J7" s="15"/>
      <c r="K7" s="15"/>
      <c r="L7" s="16"/>
      <c r="M7" s="16"/>
      <c r="N7" s="15"/>
      <c r="O7" s="15"/>
    </row>
    <row r="8" spans="1:16" ht="21.75" customHeight="1" thickBot="1" x14ac:dyDescent="0.35">
      <c r="A8" s="131"/>
      <c r="B8" s="422"/>
      <c r="C8" s="422"/>
      <c r="D8" s="422"/>
      <c r="E8" s="135"/>
      <c r="G8" s="15"/>
      <c r="H8" s="15"/>
      <c r="I8" s="15"/>
      <c r="J8" s="15"/>
      <c r="K8" s="15"/>
      <c r="L8" s="15"/>
      <c r="M8" s="15"/>
      <c r="N8" s="15"/>
      <c r="O8" s="15"/>
    </row>
    <row r="9" spans="1:16" ht="27.95" customHeight="1" thickBot="1" x14ac:dyDescent="0.35">
      <c r="A9" s="131"/>
      <c r="B9" s="422"/>
      <c r="C9" s="422"/>
      <c r="D9" s="422"/>
      <c r="E9" s="135"/>
      <c r="G9" s="403" t="s">
        <v>13</v>
      </c>
      <c r="H9" s="404"/>
      <c r="I9" s="404"/>
      <c r="J9" s="404"/>
      <c r="K9" s="404"/>
      <c r="L9" s="405"/>
      <c r="M9" s="17"/>
      <c r="N9" s="17"/>
      <c r="O9" s="17"/>
    </row>
    <row r="10" spans="1:16" ht="21.75" customHeight="1" thickBot="1" x14ac:dyDescent="0.35">
      <c r="A10" s="131"/>
      <c r="B10" s="422"/>
      <c r="C10" s="422"/>
      <c r="D10" s="422"/>
      <c r="E10" s="134"/>
      <c r="G10" s="406" t="s">
        <v>14</v>
      </c>
      <c r="H10" s="407"/>
      <c r="I10" s="407"/>
      <c r="J10" s="407"/>
      <c r="K10" s="407"/>
      <c r="L10" s="408"/>
      <c r="M10" s="18"/>
    </row>
    <row r="11" spans="1:16" ht="60" thickBot="1" x14ac:dyDescent="0.35">
      <c r="A11" s="131"/>
      <c r="B11" s="422"/>
      <c r="C11" s="422"/>
      <c r="D11" s="422"/>
      <c r="E11" s="135"/>
      <c r="G11" s="8" t="s">
        <v>32</v>
      </c>
      <c r="H11" s="429" t="s">
        <v>15</v>
      </c>
      <c r="I11" s="430"/>
      <c r="J11" s="431"/>
      <c r="K11" s="432" t="s">
        <v>16</v>
      </c>
      <c r="L11" s="433"/>
      <c r="M11" s="19"/>
      <c r="N11" s="20"/>
      <c r="O11" s="21"/>
      <c r="P11" s="186"/>
    </row>
    <row r="12" spans="1:16" ht="21.75" customHeight="1" thickBot="1" x14ac:dyDescent="0.35">
      <c r="A12" s="131"/>
      <c r="B12" s="122"/>
      <c r="C12" s="122"/>
      <c r="D12" s="122"/>
      <c r="E12" s="135"/>
      <c r="G12" s="22">
        <v>0.08</v>
      </c>
      <c r="H12" s="412">
        <v>0</v>
      </c>
      <c r="I12" s="413"/>
      <c r="J12" s="413"/>
      <c r="K12" s="414">
        <f>H12*(1+G12)^(K3-G3)+G6</f>
        <v>170467951.09160665</v>
      </c>
      <c r="L12" s="415"/>
      <c r="M12" s="23"/>
      <c r="N12" s="21"/>
    </row>
    <row r="13" spans="1:16" ht="21.75" customHeight="1" thickBot="1" x14ac:dyDescent="0.35">
      <c r="A13" s="131"/>
      <c r="B13" s="422" t="str">
        <f>Summary!B8</f>
        <v>Akash Agarwal and Priyanka need to start a SIP of Rs. -147221 per month in a growth oriented portfolio giving a return of 11% to achieve their retirement corpus, within a assumption that no investments are made towards retirement as yet.</v>
      </c>
      <c r="C13" s="422"/>
      <c r="D13" s="422"/>
      <c r="E13" s="135"/>
      <c r="G13" s="24"/>
      <c r="H13" s="25"/>
      <c r="I13" s="25"/>
      <c r="J13" s="25"/>
      <c r="K13" s="25"/>
      <c r="L13" s="26"/>
      <c r="M13" s="25"/>
      <c r="N13" s="21"/>
    </row>
    <row r="14" spans="1:16" ht="21.75" thickBot="1" x14ac:dyDescent="0.35">
      <c r="A14" s="131"/>
      <c r="B14" s="422"/>
      <c r="C14" s="422"/>
      <c r="D14" s="422"/>
      <c r="E14" s="134"/>
      <c r="G14" s="416" t="s">
        <v>33</v>
      </c>
      <c r="H14" s="417"/>
      <c r="I14" s="27"/>
      <c r="J14" s="418" t="s">
        <v>34</v>
      </c>
      <c r="K14" s="419"/>
      <c r="L14" s="420"/>
      <c r="M14" s="28"/>
      <c r="N14" s="21"/>
    </row>
    <row r="15" spans="1:16" ht="60" thickBot="1" x14ac:dyDescent="0.35">
      <c r="A15" s="131"/>
      <c r="B15" s="422"/>
      <c r="C15" s="422"/>
      <c r="D15" s="422"/>
      <c r="E15" s="134"/>
      <c r="G15" s="8" t="s">
        <v>32</v>
      </c>
      <c r="H15" s="29" t="s">
        <v>189</v>
      </c>
      <c r="I15" s="25"/>
      <c r="J15" s="9" t="s">
        <v>35</v>
      </c>
      <c r="K15" s="30" t="s">
        <v>17</v>
      </c>
      <c r="L15" s="29" t="s">
        <v>18</v>
      </c>
      <c r="M15" s="19"/>
      <c r="N15" s="31"/>
    </row>
    <row r="16" spans="1:16" ht="21.75" thickBot="1" x14ac:dyDescent="0.35">
      <c r="A16" s="131"/>
      <c r="B16" s="31"/>
      <c r="C16" s="31"/>
      <c r="D16" s="31"/>
      <c r="E16" s="134"/>
      <c r="G16" s="22">
        <v>0.11</v>
      </c>
      <c r="H16" s="89">
        <f>PMT((1+G16)^(1/12)-1,(K3-G3)*12,0,-K12,1)</f>
        <v>147220.83163703704</v>
      </c>
      <c r="I16" s="32"/>
      <c r="J16" s="12">
        <v>0.1</v>
      </c>
      <c r="K16" s="33">
        <f>K12*(G16-J16)/((1+G16)^(K3-G3)-(1+J16)^(K3-G3))</f>
        <v>822735.76616069558</v>
      </c>
      <c r="L16" s="88">
        <f>PMT((1+G16)^(1/12)-1,12,0,-K16,1)</f>
        <v>64763.974276860419</v>
      </c>
      <c r="M16" s="34"/>
      <c r="N16" s="31"/>
    </row>
    <row r="17" spans="1:14" x14ac:dyDescent="0.3">
      <c r="A17" s="131"/>
      <c r="B17" s="31"/>
      <c r="C17" s="31"/>
      <c r="D17" s="31"/>
      <c r="E17" s="134"/>
      <c r="G17" s="15"/>
      <c r="H17" s="25"/>
      <c r="I17" s="25"/>
      <c r="J17" s="35"/>
      <c r="K17" s="20"/>
      <c r="L17" s="21"/>
      <c r="M17" s="21"/>
      <c r="N17" s="31"/>
    </row>
    <row r="18" spans="1:14" ht="21.75" thickBot="1" x14ac:dyDescent="0.35">
      <c r="A18" s="131"/>
      <c r="B18" s="31"/>
      <c r="C18" s="31"/>
      <c r="D18" s="31"/>
      <c r="E18" s="134"/>
      <c r="G18" s="15"/>
      <c r="H18" s="25"/>
      <c r="I18" s="25"/>
      <c r="J18" s="35"/>
      <c r="K18" s="20"/>
      <c r="L18" s="21"/>
      <c r="M18" s="21"/>
      <c r="N18" s="31"/>
    </row>
    <row r="19" spans="1:14" ht="27.95" customHeight="1" thickBot="1" x14ac:dyDescent="0.35">
      <c r="A19" s="131"/>
      <c r="B19" s="31"/>
      <c r="C19" s="31"/>
      <c r="D19" s="31"/>
      <c r="E19" s="134"/>
      <c r="G19" s="403" t="s">
        <v>19</v>
      </c>
      <c r="H19" s="404"/>
      <c r="I19" s="404"/>
      <c r="J19" s="404"/>
      <c r="K19" s="404"/>
      <c r="L19" s="405"/>
      <c r="M19" s="17"/>
      <c r="N19" s="31"/>
    </row>
    <row r="20" spans="1:14" ht="21.75" thickBot="1" x14ac:dyDescent="0.35">
      <c r="A20" s="131"/>
      <c r="B20" s="31"/>
      <c r="C20" s="31"/>
      <c r="D20" s="31"/>
      <c r="E20" s="134"/>
      <c r="G20" s="406" t="s">
        <v>20</v>
      </c>
      <c r="H20" s="407"/>
      <c r="I20" s="407"/>
      <c r="J20" s="407"/>
      <c r="K20" s="407"/>
      <c r="L20" s="408"/>
      <c r="M20" s="18"/>
    </row>
    <row r="21" spans="1:14" ht="68.099999999999994" customHeight="1" thickBot="1" x14ac:dyDescent="0.35">
      <c r="A21" s="131"/>
      <c r="B21" s="31"/>
      <c r="C21" s="31"/>
      <c r="D21" s="31"/>
      <c r="E21" s="134"/>
      <c r="G21" s="36" t="s">
        <v>36</v>
      </c>
      <c r="H21" s="37" t="s">
        <v>21</v>
      </c>
      <c r="I21" s="38" t="s">
        <v>22</v>
      </c>
      <c r="J21" s="36" t="s">
        <v>37</v>
      </c>
      <c r="K21" s="39" t="s">
        <v>16</v>
      </c>
      <c r="L21" s="40" t="s">
        <v>23</v>
      </c>
      <c r="M21" s="19"/>
    </row>
    <row r="22" spans="1:14" ht="21.75" thickBot="1" x14ac:dyDescent="0.35">
      <c r="A22" s="131"/>
      <c r="B22" s="31"/>
      <c r="C22" s="31"/>
      <c r="D22" s="31"/>
      <c r="E22" s="134"/>
      <c r="G22" s="41">
        <f>G12</f>
        <v>0.08</v>
      </c>
      <c r="H22" s="42">
        <v>5000</v>
      </c>
      <c r="I22" s="43">
        <f>FV((1+G22)^(1/12)-1,(K3-G3)*12,-H22,0,1)</f>
        <v>3810058.9409314934</v>
      </c>
      <c r="J22" s="41">
        <v>0.1</v>
      </c>
      <c r="K22" s="43">
        <f>G6+I22</f>
        <v>174278010.03253815</v>
      </c>
      <c r="L22" s="44">
        <f>K22/(1+J22)^(K3-G3)</f>
        <v>19463047.104481246</v>
      </c>
      <c r="M22" s="23"/>
    </row>
    <row r="23" spans="1:14" ht="21.75" thickBot="1" x14ac:dyDescent="0.35">
      <c r="A23" s="131"/>
      <c r="B23" s="31"/>
      <c r="C23" s="31"/>
      <c r="D23" s="31"/>
      <c r="E23" s="134"/>
      <c r="G23" s="45"/>
      <c r="H23" s="14"/>
      <c r="I23" s="45"/>
      <c r="J23" s="14"/>
      <c r="K23" s="45"/>
      <c r="L23" s="45"/>
      <c r="M23" s="45"/>
    </row>
    <row r="24" spans="1:14" ht="21.75" thickBot="1" x14ac:dyDescent="0.35">
      <c r="A24" s="131"/>
      <c r="B24" s="31"/>
      <c r="C24" s="31"/>
      <c r="D24" s="31"/>
      <c r="E24" s="134"/>
      <c r="G24" s="423" t="s">
        <v>38</v>
      </c>
      <c r="H24" s="424"/>
      <c r="I24" s="425"/>
      <c r="J24" s="426">
        <f>H3*(1+I3)^(G28-G3)*M3</f>
        <v>7371657.0142027456</v>
      </c>
      <c r="K24" s="427"/>
      <c r="L24" s="428"/>
      <c r="M24" s="45"/>
    </row>
    <row r="25" spans="1:14" ht="21.75" thickBot="1" x14ac:dyDescent="0.35">
      <c r="A25" s="131"/>
      <c r="B25" s="31"/>
      <c r="C25" s="31"/>
      <c r="D25" s="31"/>
      <c r="E25" s="134"/>
      <c r="G25" s="45"/>
      <c r="H25" s="14"/>
      <c r="I25" s="45"/>
      <c r="J25" s="14"/>
      <c r="K25" s="45"/>
      <c r="L25" s="45"/>
      <c r="M25" s="45"/>
    </row>
    <row r="26" spans="1:14" ht="21.75" thickBot="1" x14ac:dyDescent="0.35">
      <c r="A26" s="131"/>
      <c r="B26" s="31"/>
      <c r="C26" s="31"/>
      <c r="D26" s="31"/>
      <c r="E26" s="134"/>
      <c r="G26" s="394" t="s">
        <v>24</v>
      </c>
      <c r="H26" s="395"/>
      <c r="I26" s="395"/>
      <c r="J26" s="395"/>
      <c r="K26" s="395"/>
      <c r="L26" s="396"/>
      <c r="M26" s="18"/>
    </row>
    <row r="27" spans="1:14" s="48" customFormat="1" ht="60" thickBot="1" x14ac:dyDescent="0.35">
      <c r="A27" s="137"/>
      <c r="B27" s="138"/>
      <c r="C27" s="138"/>
      <c r="D27" s="138"/>
      <c r="E27" s="139"/>
      <c r="G27" s="46" t="s">
        <v>169</v>
      </c>
      <c r="H27" s="46" t="s">
        <v>168</v>
      </c>
      <c r="I27" s="46" t="s">
        <v>167</v>
      </c>
      <c r="J27" s="46" t="s">
        <v>25</v>
      </c>
      <c r="K27" s="47" t="s">
        <v>26</v>
      </c>
      <c r="L27" s="46" t="s">
        <v>39</v>
      </c>
    </row>
    <row r="28" spans="1:14" x14ac:dyDescent="0.3">
      <c r="A28" s="131"/>
      <c r="B28" s="31"/>
      <c r="C28" s="31"/>
      <c r="D28" s="31"/>
      <c r="E28" s="134"/>
      <c r="G28" s="49">
        <f>K3</f>
        <v>60</v>
      </c>
      <c r="H28" s="50">
        <f>J24</f>
        <v>7371657.0142027456</v>
      </c>
      <c r="I28" s="50">
        <f>G6</f>
        <v>170467951.09160665</v>
      </c>
      <c r="J28" s="50">
        <f t="shared" ref="J28:J68" si="0">I28-H28</f>
        <v>163096294.0774039</v>
      </c>
      <c r="K28" s="51">
        <v>1</v>
      </c>
      <c r="L28" s="409"/>
    </row>
    <row r="29" spans="1:14" ht="21.75" thickBot="1" x14ac:dyDescent="0.35">
      <c r="A29" s="140"/>
      <c r="B29" s="141"/>
      <c r="C29" s="141"/>
      <c r="D29" s="141"/>
      <c r="E29" s="142"/>
      <c r="G29" s="52">
        <f>G28+1</f>
        <v>61</v>
      </c>
      <c r="H29" s="53">
        <f>H28*(1+J3)</f>
        <v>7740239.8649128834</v>
      </c>
      <c r="I29" s="53">
        <f>J28*(1+L3)</f>
        <v>174513034.66282219</v>
      </c>
      <c r="J29" s="53">
        <f t="shared" si="0"/>
        <v>166772794.79790929</v>
      </c>
      <c r="K29" s="54">
        <v>2</v>
      </c>
      <c r="L29" s="410"/>
    </row>
    <row r="30" spans="1:14" x14ac:dyDescent="0.3">
      <c r="G30" s="52">
        <f>G29+1</f>
        <v>62</v>
      </c>
      <c r="H30" s="53">
        <f>H29*(1+J3)</f>
        <v>8127251.8581585279</v>
      </c>
      <c r="I30" s="53">
        <f>J29*(1+L3)</f>
        <v>178446890.43376294</v>
      </c>
      <c r="J30" s="53">
        <f t="shared" si="0"/>
        <v>170319638.57560441</v>
      </c>
      <c r="K30" s="54">
        <v>3</v>
      </c>
      <c r="L30" s="410"/>
    </row>
    <row r="31" spans="1:14" x14ac:dyDescent="0.3">
      <c r="G31" s="52">
        <f t="shared" ref="G31:G68" si="1">G30+1</f>
        <v>63</v>
      </c>
      <c r="H31" s="53">
        <f>H30*(1+J3)</f>
        <v>8533614.4510664549</v>
      </c>
      <c r="I31" s="53">
        <f>J30*(1+L3)</f>
        <v>182242013.27589673</v>
      </c>
      <c r="J31" s="53">
        <f t="shared" si="0"/>
        <v>173708398.82483026</v>
      </c>
      <c r="K31" s="54">
        <v>4</v>
      </c>
      <c r="L31" s="410"/>
    </row>
    <row r="32" spans="1:14" x14ac:dyDescent="0.3">
      <c r="G32" s="52">
        <f t="shared" si="1"/>
        <v>64</v>
      </c>
      <c r="H32" s="53">
        <f>H31*(1+J3)</f>
        <v>8960295.1736197788</v>
      </c>
      <c r="I32" s="53">
        <f>J31*(1+L3)</f>
        <v>185867986.7425684</v>
      </c>
      <c r="J32" s="53">
        <f t="shared" si="0"/>
        <v>176907691.56894863</v>
      </c>
      <c r="K32" s="54">
        <v>5</v>
      </c>
      <c r="L32" s="410"/>
      <c r="M32" s="45"/>
      <c r="N32" s="45"/>
    </row>
    <row r="33" spans="7:14" x14ac:dyDescent="0.3">
      <c r="G33" s="52">
        <f t="shared" si="1"/>
        <v>65</v>
      </c>
      <c r="H33" s="53">
        <f>H32*(1+J3)</f>
        <v>9408309.9323007688</v>
      </c>
      <c r="I33" s="53">
        <f>J32*(1+L3)</f>
        <v>189291229.97877505</v>
      </c>
      <c r="J33" s="53">
        <f t="shared" si="0"/>
        <v>179882920.04647428</v>
      </c>
      <c r="K33" s="54">
        <v>6</v>
      </c>
      <c r="L33" s="410"/>
      <c r="M33" s="45"/>
      <c r="N33" s="45"/>
    </row>
    <row r="34" spans="7:14" x14ac:dyDescent="0.3">
      <c r="G34" s="52">
        <f t="shared" si="1"/>
        <v>66</v>
      </c>
      <c r="H34" s="53">
        <f>H33*(1+J3)</f>
        <v>9878725.428915808</v>
      </c>
      <c r="I34" s="53">
        <f>J33*(1+L3)</f>
        <v>192474724.44972748</v>
      </c>
      <c r="J34" s="53">
        <f t="shared" si="0"/>
        <v>182595999.02081168</v>
      </c>
      <c r="K34" s="54">
        <v>7</v>
      </c>
      <c r="L34" s="410"/>
      <c r="M34" s="45"/>
      <c r="N34" s="45"/>
    </row>
    <row r="35" spans="7:14" x14ac:dyDescent="0.3">
      <c r="G35" s="52">
        <f t="shared" si="1"/>
        <v>67</v>
      </c>
      <c r="H35" s="53">
        <f>H34*(1+J3)</f>
        <v>10372661.700361598</v>
      </c>
      <c r="I35" s="53">
        <f>J34*(1+L3)</f>
        <v>195377718.95226851</v>
      </c>
      <c r="J35" s="53">
        <f t="shared" si="0"/>
        <v>185005057.2519069</v>
      </c>
      <c r="K35" s="54">
        <v>8</v>
      </c>
      <c r="L35" s="410"/>
      <c r="M35" s="45"/>
      <c r="N35" s="45"/>
    </row>
    <row r="36" spans="7:14" x14ac:dyDescent="0.3">
      <c r="G36" s="52">
        <f t="shared" si="1"/>
        <v>68</v>
      </c>
      <c r="H36" s="53">
        <f>H35*(1+J3)</f>
        <v>10891294.785379678</v>
      </c>
      <c r="I36" s="53">
        <f>J35*(1+L3)</f>
        <v>197955411.25954041</v>
      </c>
      <c r="J36" s="53">
        <f t="shared" si="0"/>
        <v>187064116.47416073</v>
      </c>
      <c r="K36" s="54">
        <v>9</v>
      </c>
      <c r="L36" s="410"/>
      <c r="M36" s="45"/>
      <c r="N36" s="45"/>
    </row>
    <row r="37" spans="7:14" x14ac:dyDescent="0.3">
      <c r="G37" s="52">
        <f t="shared" si="1"/>
        <v>69</v>
      </c>
      <c r="H37" s="53">
        <f>H36*(1+J3)</f>
        <v>11435859.524648663</v>
      </c>
      <c r="I37" s="53">
        <f>J36*(1+L3)</f>
        <v>200158604.627352</v>
      </c>
      <c r="J37" s="53">
        <f t="shared" si="0"/>
        <v>188722745.10270333</v>
      </c>
      <c r="K37" s="54">
        <v>10</v>
      </c>
      <c r="L37" s="410"/>
      <c r="M37" s="45"/>
      <c r="N37" s="45"/>
    </row>
    <row r="38" spans="7:14" x14ac:dyDescent="0.3">
      <c r="G38" s="52">
        <f t="shared" si="1"/>
        <v>70</v>
      </c>
      <c r="H38" s="53">
        <f>H37*(1+J3)</f>
        <v>12007652.500881096</v>
      </c>
      <c r="I38" s="53">
        <f>J37*(1+L3)</f>
        <v>201933337.25989258</v>
      </c>
      <c r="J38" s="53">
        <f t="shared" si="0"/>
        <v>189925684.75901148</v>
      </c>
      <c r="K38" s="54">
        <v>11</v>
      </c>
      <c r="L38" s="410"/>
      <c r="M38" s="45"/>
      <c r="N38" s="45"/>
    </row>
    <row r="39" spans="7:14" x14ac:dyDescent="0.3">
      <c r="G39" s="52">
        <f t="shared" si="1"/>
        <v>71</v>
      </c>
      <c r="H39" s="53">
        <f>H38*(1+J3)</f>
        <v>12608035.125925152</v>
      </c>
      <c r="I39" s="53">
        <f>J38*(1+L3)</f>
        <v>203220482.69214228</v>
      </c>
      <c r="J39" s="53">
        <f t="shared" si="0"/>
        <v>190612447.56621712</v>
      </c>
      <c r="K39" s="54">
        <v>12</v>
      </c>
      <c r="L39" s="410"/>
      <c r="M39" s="45"/>
      <c r="N39" s="45"/>
    </row>
    <row r="40" spans="7:14" x14ac:dyDescent="0.3">
      <c r="G40" s="52">
        <f t="shared" si="1"/>
        <v>72</v>
      </c>
      <c r="H40" s="53">
        <f>H39*(1+J3)</f>
        <v>13238436.88222141</v>
      </c>
      <c r="I40" s="53">
        <f>J39*(1+L3)</f>
        <v>203955318.89585233</v>
      </c>
      <c r="J40" s="53">
        <f t="shared" si="0"/>
        <v>190716882.01363093</v>
      </c>
      <c r="K40" s="54">
        <v>13</v>
      </c>
      <c r="L40" s="410"/>
      <c r="M40" s="45"/>
      <c r="N40" s="45"/>
    </row>
    <row r="41" spans="7:14" x14ac:dyDescent="0.3">
      <c r="G41" s="52">
        <f t="shared" si="1"/>
        <v>73</v>
      </c>
      <c r="H41" s="53">
        <f>H40*(1+J3)</f>
        <v>13900358.726332482</v>
      </c>
      <c r="I41" s="53">
        <f>J40*(1+L3)</f>
        <v>204067063.75458512</v>
      </c>
      <c r="J41" s="53">
        <f t="shared" si="0"/>
        <v>190166705.02825263</v>
      </c>
      <c r="K41" s="54">
        <v>14</v>
      </c>
      <c r="L41" s="410"/>
      <c r="M41" s="45"/>
      <c r="N41" s="45"/>
    </row>
    <row r="42" spans="7:14" x14ac:dyDescent="0.3">
      <c r="G42" s="52">
        <f t="shared" si="1"/>
        <v>74</v>
      </c>
      <c r="H42" s="53">
        <f>H41*(1+J3)</f>
        <v>14595376.662649106</v>
      </c>
      <c r="I42" s="53">
        <f>J41*(1+L3)</f>
        <v>203478374.38023034</v>
      </c>
      <c r="J42" s="53">
        <f t="shared" si="0"/>
        <v>188882997.71758124</v>
      </c>
      <c r="K42" s="54">
        <v>15</v>
      </c>
      <c r="L42" s="410"/>
      <c r="M42" s="45"/>
      <c r="N42" s="45"/>
    </row>
    <row r="43" spans="7:14" x14ac:dyDescent="0.3">
      <c r="G43" s="52">
        <f t="shared" si="1"/>
        <v>75</v>
      </c>
      <c r="H43" s="53">
        <f>H42*(1+J3)</f>
        <v>15325145.495781561</v>
      </c>
      <c r="I43" s="53">
        <f>J42*(1+L3)</f>
        <v>202104807.55781195</v>
      </c>
      <c r="J43" s="53">
        <f t="shared" si="0"/>
        <v>186779662.06203038</v>
      </c>
      <c r="K43" s="54">
        <v>16</v>
      </c>
      <c r="L43" s="410"/>
      <c r="M43" s="45"/>
      <c r="N43" s="45"/>
    </row>
    <row r="44" spans="7:14" x14ac:dyDescent="0.3">
      <c r="G44" s="52">
        <f t="shared" si="1"/>
        <v>76</v>
      </c>
      <c r="H44" s="53">
        <f>H43*(1+J3)</f>
        <v>16091402.77057064</v>
      </c>
      <c r="I44" s="53">
        <f>J43*(1+L3)</f>
        <v>199854238.40637252</v>
      </c>
      <c r="J44" s="53">
        <f t="shared" si="0"/>
        <v>183762835.63580188</v>
      </c>
      <c r="K44" s="54">
        <v>17</v>
      </c>
      <c r="L44" s="410"/>
      <c r="M44" s="45"/>
      <c r="N44" s="45"/>
    </row>
    <row r="45" spans="7:14" x14ac:dyDescent="0.3">
      <c r="G45" s="52">
        <f t="shared" si="1"/>
        <v>77</v>
      </c>
      <c r="H45" s="53">
        <f>H44*(1+J3)</f>
        <v>16895972.909099173</v>
      </c>
      <c r="I45" s="53">
        <f>J44*(1+L3)</f>
        <v>196626234.13030803</v>
      </c>
      <c r="J45" s="53">
        <f t="shared" si="0"/>
        <v>179730261.22120887</v>
      </c>
      <c r="K45" s="54">
        <v>18</v>
      </c>
      <c r="L45" s="410"/>
      <c r="M45" s="45"/>
      <c r="N45" s="45"/>
    </row>
    <row r="46" spans="7:14" x14ac:dyDescent="0.3">
      <c r="G46" s="52">
        <f t="shared" si="1"/>
        <v>78</v>
      </c>
      <c r="H46" s="53">
        <f>H45*(1+J3)</f>
        <v>17740771.554554131</v>
      </c>
      <c r="I46" s="53">
        <f>J45*(1+L3)</f>
        <v>192311379.50669351</v>
      </c>
      <c r="J46" s="53">
        <f t="shared" si="0"/>
        <v>174570607.95213938</v>
      </c>
      <c r="K46" s="54">
        <v>19</v>
      </c>
      <c r="L46" s="410"/>
      <c r="M46" s="45"/>
      <c r="N46" s="45"/>
    </row>
    <row r="47" spans="7:14" x14ac:dyDescent="0.3">
      <c r="G47" s="52">
        <f t="shared" si="1"/>
        <v>79</v>
      </c>
      <c r="H47" s="53">
        <f>H46*(1+J3)</f>
        <v>18627810.13228184</v>
      </c>
      <c r="I47" s="53">
        <f>J46*(1+L3)</f>
        <v>186790550.50878915</v>
      </c>
      <c r="J47" s="53">
        <f t="shared" si="0"/>
        <v>168162740.37650731</v>
      </c>
      <c r="K47" s="54">
        <v>20</v>
      </c>
      <c r="L47" s="410"/>
      <c r="M47" s="45"/>
      <c r="N47" s="45"/>
    </row>
    <row r="48" spans="7:14" x14ac:dyDescent="0.3">
      <c r="G48" s="52">
        <f t="shared" si="1"/>
        <v>80</v>
      </c>
      <c r="H48" s="53">
        <f>H47*(1+J3)</f>
        <v>19559200.638895933</v>
      </c>
      <c r="I48" s="53">
        <f>J47*(1+L3)</f>
        <v>179934132.20286283</v>
      </c>
      <c r="J48" s="53">
        <f t="shared" si="0"/>
        <v>160374931.5639669</v>
      </c>
      <c r="K48" s="54">
        <v>21</v>
      </c>
      <c r="L48" s="410"/>
      <c r="M48" s="45"/>
      <c r="N48" s="45"/>
    </row>
    <row r="49" spans="7:14" x14ac:dyDescent="0.3">
      <c r="G49" s="52">
        <f t="shared" si="1"/>
        <v>81</v>
      </c>
      <c r="H49" s="53">
        <f>H48*(1+J3)</f>
        <v>20537160.670840729</v>
      </c>
      <c r="I49" s="53">
        <f>J48*(1+L3)</f>
        <v>171601176.77344459</v>
      </c>
      <c r="J49" s="53">
        <f t="shared" si="0"/>
        <v>151064016.10260385</v>
      </c>
      <c r="K49" s="54">
        <v>22</v>
      </c>
      <c r="L49" s="410"/>
      <c r="M49" s="45"/>
      <c r="N49" s="45"/>
    </row>
    <row r="50" spans="7:14" x14ac:dyDescent="0.3">
      <c r="G50" s="52">
        <f t="shared" si="1"/>
        <v>82</v>
      </c>
      <c r="H50" s="53">
        <f>H49*(1+J3)</f>
        <v>21564018.704382766</v>
      </c>
      <c r="I50" s="53">
        <f>J49*(1+L3)</f>
        <v>161638497.22978613</v>
      </c>
      <c r="J50" s="53">
        <f t="shared" si="0"/>
        <v>140074478.52540335</v>
      </c>
      <c r="K50" s="54">
        <v>23</v>
      </c>
      <c r="L50" s="410"/>
      <c r="M50" s="45"/>
      <c r="N50" s="45"/>
    </row>
    <row r="51" spans="7:14" x14ac:dyDescent="0.3">
      <c r="G51" s="52">
        <f t="shared" si="1"/>
        <v>83</v>
      </c>
      <c r="H51" s="53">
        <f>H50*(1+J3)</f>
        <v>22642219.639601905</v>
      </c>
      <c r="I51" s="53">
        <f>J50*(1+L3)</f>
        <v>149879692.0221816</v>
      </c>
      <c r="J51" s="53">
        <f t="shared" si="0"/>
        <v>127237472.3825797</v>
      </c>
      <c r="K51" s="54">
        <v>24</v>
      </c>
      <c r="L51" s="410"/>
      <c r="M51" s="45"/>
      <c r="N51" s="45"/>
    </row>
    <row r="52" spans="7:14" x14ac:dyDescent="0.3">
      <c r="G52" s="52">
        <f t="shared" si="1"/>
        <v>84</v>
      </c>
      <c r="H52" s="53">
        <f>H51*(1+J3)</f>
        <v>23774330.621582001</v>
      </c>
      <c r="I52" s="53">
        <f>J51*(1+L3)</f>
        <v>136144095.44936028</v>
      </c>
      <c r="J52" s="53">
        <f t="shared" si="0"/>
        <v>112369764.82777828</v>
      </c>
      <c r="K52" s="54">
        <v>25</v>
      </c>
      <c r="L52" s="410"/>
      <c r="M52" s="45"/>
      <c r="N52" s="45"/>
    </row>
    <row r="53" spans="7:14" x14ac:dyDescent="0.3">
      <c r="G53" s="52">
        <f t="shared" si="1"/>
        <v>85</v>
      </c>
      <c r="H53" s="53">
        <f>H52*(1+J3)</f>
        <v>24963047.152661104</v>
      </c>
      <c r="I53" s="53">
        <f>J52*(1+L3)</f>
        <v>120235648.36572276</v>
      </c>
      <c r="J53" s="53">
        <f t="shared" si="0"/>
        <v>95272601.213061661</v>
      </c>
      <c r="K53" s="54">
        <v>26</v>
      </c>
      <c r="L53" s="410"/>
      <c r="M53" s="45"/>
      <c r="N53" s="45"/>
    </row>
    <row r="54" spans="7:14" x14ac:dyDescent="0.3">
      <c r="G54" s="52">
        <f t="shared" si="1"/>
        <v>86</v>
      </c>
      <c r="H54" s="53">
        <f>H53*(1+J3)</f>
        <v>26211199.510294162</v>
      </c>
      <c r="I54" s="53">
        <f>J53*(1+L3)</f>
        <v>101941683.29797599</v>
      </c>
      <c r="J54" s="53">
        <f t="shared" si="0"/>
        <v>75730483.787681818</v>
      </c>
      <c r="K54" s="54">
        <v>27</v>
      </c>
      <c r="L54" s="410"/>
      <c r="M54" s="45"/>
      <c r="N54" s="45"/>
    </row>
    <row r="55" spans="7:14" x14ac:dyDescent="0.3">
      <c r="G55" s="52">
        <f t="shared" si="1"/>
        <v>87</v>
      </c>
      <c r="H55" s="53">
        <f>H54*(1+J3)</f>
        <v>27521759.485808872</v>
      </c>
      <c r="I55" s="53">
        <f>J54*(1+L3)</f>
        <v>81031617.652819544</v>
      </c>
      <c r="J55" s="53">
        <f t="shared" si="0"/>
        <v>53509858.167010672</v>
      </c>
      <c r="K55" s="54">
        <v>28</v>
      </c>
      <c r="L55" s="410"/>
      <c r="M55" s="45"/>
      <c r="N55" s="45"/>
    </row>
    <row r="56" spans="7:14" x14ac:dyDescent="0.3">
      <c r="G56" s="52">
        <f t="shared" si="1"/>
        <v>88</v>
      </c>
      <c r="H56" s="53">
        <f>H55*(1+J3)</f>
        <v>28897847.460099317</v>
      </c>
      <c r="I56" s="53">
        <f>J55*(1+L3)</f>
        <v>57255548.238701425</v>
      </c>
      <c r="J56" s="53">
        <f t="shared" si="0"/>
        <v>28357700.778602108</v>
      </c>
      <c r="K56" s="54">
        <v>29</v>
      </c>
      <c r="L56" s="410"/>
      <c r="M56" s="45"/>
      <c r="N56" s="45"/>
    </row>
    <row r="57" spans="7:14" x14ac:dyDescent="0.3">
      <c r="G57" s="52">
        <f t="shared" si="1"/>
        <v>89</v>
      </c>
      <c r="H57" s="53">
        <f>H56*(1+J3)</f>
        <v>30342739.833104283</v>
      </c>
      <c r="I57" s="53">
        <f>J56*(1+L3)</f>
        <v>30342739.833104257</v>
      </c>
      <c r="J57" s="53">
        <f t="shared" si="0"/>
        <v>0</v>
      </c>
      <c r="K57" s="54">
        <v>30</v>
      </c>
      <c r="L57" s="410"/>
      <c r="M57" s="45"/>
      <c r="N57" s="45"/>
    </row>
    <row r="58" spans="7:14" x14ac:dyDescent="0.3">
      <c r="G58" s="52">
        <f>G57+1</f>
        <v>90</v>
      </c>
      <c r="H58" s="53">
        <f>H57*(1+J3)</f>
        <v>31859876.824759498</v>
      </c>
      <c r="I58" s="53">
        <f>J57*(1+L3)</f>
        <v>0</v>
      </c>
      <c r="J58" s="53">
        <f t="shared" si="0"/>
        <v>-31859876.824759498</v>
      </c>
      <c r="K58" s="54">
        <v>31</v>
      </c>
      <c r="L58" s="410"/>
      <c r="M58" s="4" t="s">
        <v>40</v>
      </c>
    </row>
    <row r="59" spans="7:14" x14ac:dyDescent="0.3">
      <c r="G59" s="52">
        <f t="shared" si="1"/>
        <v>91</v>
      </c>
      <c r="H59" s="53">
        <f>H58*(1+J3)</f>
        <v>33452870.665997475</v>
      </c>
      <c r="I59" s="53">
        <f>J58*(1+L3)</f>
        <v>-34090068.202492662</v>
      </c>
      <c r="J59" s="53">
        <f t="shared" si="0"/>
        <v>-67542938.86849013</v>
      </c>
      <c r="K59" s="54">
        <v>32</v>
      </c>
      <c r="L59" s="410"/>
      <c r="M59" s="55"/>
    </row>
    <row r="60" spans="7:14" x14ac:dyDescent="0.3">
      <c r="G60" s="52">
        <f t="shared" si="1"/>
        <v>92</v>
      </c>
      <c r="H60" s="53">
        <f>H59*(1+J3)</f>
        <v>35125514.199297354</v>
      </c>
      <c r="I60" s="53">
        <f>J59*(1+L3)</f>
        <v>-72270944.58928445</v>
      </c>
      <c r="J60" s="53">
        <f t="shared" si="0"/>
        <v>-107396458.7885818</v>
      </c>
      <c r="K60" s="54">
        <v>33</v>
      </c>
      <c r="L60" s="410"/>
    </row>
    <row r="61" spans="7:14" x14ac:dyDescent="0.3">
      <c r="G61" s="52">
        <f t="shared" si="1"/>
        <v>93</v>
      </c>
      <c r="H61" s="53">
        <f>H60*(1+J3)</f>
        <v>36881789.909262225</v>
      </c>
      <c r="I61" s="53">
        <f>J60*(1+L3)</f>
        <v>-114914210.90378253</v>
      </c>
      <c r="J61" s="53">
        <f t="shared" si="0"/>
        <v>-151796000.81304476</v>
      </c>
      <c r="K61" s="54">
        <v>34</v>
      </c>
      <c r="L61" s="410"/>
    </row>
    <row r="62" spans="7:14" x14ac:dyDescent="0.3">
      <c r="G62" s="52">
        <f t="shared" si="1"/>
        <v>94</v>
      </c>
      <c r="H62" s="53">
        <f>H61*(1+J3)</f>
        <v>38725879.404725336</v>
      </c>
      <c r="I62" s="53">
        <f>J61*(1+L3)</f>
        <v>-162421720.86995789</v>
      </c>
      <c r="J62" s="53">
        <f t="shared" si="0"/>
        <v>-201147600.27468324</v>
      </c>
      <c r="K62" s="54">
        <v>35</v>
      </c>
      <c r="L62" s="410"/>
    </row>
    <row r="63" spans="7:14" x14ac:dyDescent="0.3">
      <c r="G63" s="52">
        <f t="shared" si="1"/>
        <v>95</v>
      </c>
      <c r="H63" s="53">
        <f>H62*(1+J3)</f>
        <v>40662173.374961607</v>
      </c>
      <c r="I63" s="53">
        <f>J62*(1+L3)</f>
        <v>-215227932.29391107</v>
      </c>
      <c r="J63" s="53">
        <f t="shared" si="0"/>
        <v>-255890105.66887268</v>
      </c>
      <c r="K63" s="54">
        <v>36</v>
      </c>
      <c r="L63" s="410"/>
    </row>
    <row r="64" spans="7:14" x14ac:dyDescent="0.3">
      <c r="G64" s="52">
        <f t="shared" si="1"/>
        <v>96</v>
      </c>
      <c r="H64" s="53">
        <f>H63*(1+J3)</f>
        <v>42695282.043709688</v>
      </c>
      <c r="I64" s="53">
        <f>J63*(1+L3)</f>
        <v>-273802413.0656938</v>
      </c>
      <c r="J64" s="53">
        <f t="shared" si="0"/>
        <v>-316497695.10940349</v>
      </c>
      <c r="K64" s="54">
        <v>37</v>
      </c>
      <c r="L64" s="410"/>
    </row>
    <row r="65" spans="7:12" x14ac:dyDescent="0.3">
      <c r="G65" s="52">
        <f t="shared" si="1"/>
        <v>97</v>
      </c>
      <c r="H65" s="53">
        <f>H64*(1+J3)</f>
        <v>44830046.145895176</v>
      </c>
      <c r="I65" s="53">
        <f>J64*(1+L3)</f>
        <v>-338652533.76706177</v>
      </c>
      <c r="J65" s="53">
        <f t="shared" si="0"/>
        <v>-383482579.91295695</v>
      </c>
      <c r="K65" s="54">
        <v>38</v>
      </c>
      <c r="L65" s="410"/>
    </row>
    <row r="66" spans="7:12" x14ac:dyDescent="0.3">
      <c r="G66" s="52">
        <f t="shared" si="1"/>
        <v>98</v>
      </c>
      <c r="H66" s="53">
        <f>H65*(1+J3)</f>
        <v>47071548.453189939</v>
      </c>
      <c r="I66" s="53">
        <f>J65*(1+L3)</f>
        <v>-410326360.50686395</v>
      </c>
      <c r="J66" s="53">
        <f t="shared" si="0"/>
        <v>-457397908.96005392</v>
      </c>
      <c r="K66" s="54">
        <v>39</v>
      </c>
      <c r="L66" s="410"/>
    </row>
    <row r="67" spans="7:12" x14ac:dyDescent="0.3">
      <c r="G67" s="52">
        <f t="shared" si="1"/>
        <v>99</v>
      </c>
      <c r="H67" s="53">
        <f>H66*(1+J3)</f>
        <v>49425125.875849441</v>
      </c>
      <c r="I67" s="53">
        <f>J66*(1+L3)</f>
        <v>-489415762.58725774</v>
      </c>
      <c r="J67" s="53">
        <f t="shared" si="0"/>
        <v>-538840888.46310723</v>
      </c>
      <c r="K67" s="54">
        <v>40</v>
      </c>
      <c r="L67" s="410"/>
    </row>
    <row r="68" spans="7:12" ht="21.75" thickBot="1" x14ac:dyDescent="0.35">
      <c r="G68" s="52">
        <f t="shared" si="1"/>
        <v>100</v>
      </c>
      <c r="H68" s="53">
        <f>H67*(1+J3)</f>
        <v>51896382.169641912</v>
      </c>
      <c r="I68" s="56">
        <f>J67*(1+L3)</f>
        <v>-576559750.65552473</v>
      </c>
      <c r="J68" s="53">
        <f t="shared" si="0"/>
        <v>-628456132.8251667</v>
      </c>
      <c r="K68" s="54"/>
      <c r="L68" s="411"/>
    </row>
  </sheetData>
  <mergeCells count="20">
    <mergeCell ref="B2:D2"/>
    <mergeCell ref="B13:D15"/>
    <mergeCell ref="B5:D11"/>
    <mergeCell ref="G24:I24"/>
    <mergeCell ref="J24:L24"/>
    <mergeCell ref="H11:J11"/>
    <mergeCell ref="K11:L11"/>
    <mergeCell ref="G26:L26"/>
    <mergeCell ref="L28:L68"/>
    <mergeCell ref="H12:J12"/>
    <mergeCell ref="K12:L12"/>
    <mergeCell ref="G14:H14"/>
    <mergeCell ref="J14:L14"/>
    <mergeCell ref="G19:L19"/>
    <mergeCell ref="G20:L20"/>
    <mergeCell ref="G1:O1"/>
    <mergeCell ref="G5:O5"/>
    <mergeCell ref="G6:O6"/>
    <mergeCell ref="G9:L9"/>
    <mergeCell ref="G10:L10"/>
  </mergeCells>
  <pageMargins left="0.7" right="0.7" top="0.75" bottom="0.75" header="0.3" footer="0.3"/>
  <pageSetup paperSize="9" scale="84"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A75416-FAC9-D44F-B40F-6EC0FAEADFE7}">
  <sheetPr codeName="Sheet5">
    <pageSetUpPr fitToPage="1"/>
  </sheetPr>
  <dimension ref="A1:K31"/>
  <sheetViews>
    <sheetView zoomScale="48" zoomScaleNormal="48" zoomScaleSheetLayoutView="20" workbookViewId="0">
      <selection activeCell="B6" sqref="B6:D9"/>
    </sheetView>
  </sheetViews>
  <sheetFormatPr defaultColWidth="38.47265625" defaultRowHeight="35.1" customHeight="1" x14ac:dyDescent="0.3"/>
  <cols>
    <col min="1" max="1" width="5.0546875" style="78" customWidth="1"/>
    <col min="2" max="4" width="27.25" style="78" customWidth="1"/>
    <col min="5" max="5" width="5.0546875" style="78" customWidth="1"/>
    <col min="6" max="6" width="27.25" style="78" customWidth="1"/>
    <col min="7" max="16384" width="38.47265625" style="78"/>
  </cols>
  <sheetData>
    <row r="1" spans="1:11" ht="24" thickBot="1" x14ac:dyDescent="0.35">
      <c r="A1" s="143"/>
      <c r="B1" s="144"/>
      <c r="C1" s="144"/>
      <c r="D1" s="144"/>
      <c r="E1" s="145"/>
      <c r="F1" s="1"/>
      <c r="G1" s="434" t="s">
        <v>72</v>
      </c>
      <c r="H1" s="435"/>
      <c r="I1" s="435"/>
      <c r="J1" s="435"/>
      <c r="K1" s="436"/>
    </row>
    <row r="2" spans="1:11" ht="32.25" thickBot="1" x14ac:dyDescent="0.35">
      <c r="A2" s="146"/>
      <c r="B2" s="421" t="s">
        <v>133</v>
      </c>
      <c r="C2" s="421"/>
      <c r="D2" s="421"/>
      <c r="E2" s="132"/>
      <c r="F2" s="121"/>
      <c r="G2" s="79" t="s">
        <v>41</v>
      </c>
      <c r="H2" s="80" t="s">
        <v>7</v>
      </c>
      <c r="I2" s="81" t="s">
        <v>8</v>
      </c>
      <c r="J2" s="80" t="s">
        <v>42</v>
      </c>
      <c r="K2" s="80" t="s">
        <v>11</v>
      </c>
    </row>
    <row r="3" spans="1:11" ht="24" thickBot="1" x14ac:dyDescent="0.35">
      <c r="A3" s="147"/>
      <c r="B3" s="148"/>
      <c r="C3" s="148"/>
      <c r="D3" s="148"/>
      <c r="E3" s="149"/>
      <c r="G3" s="82">
        <f>'Family Details'!C14</f>
        <v>32</v>
      </c>
      <c r="H3" s="86">
        <f>12*'Family Details'!C28</f>
        <v>2400000</v>
      </c>
      <c r="I3" s="83">
        <v>0.05</v>
      </c>
      <c r="J3" s="83">
        <v>0.08</v>
      </c>
      <c r="K3" s="82">
        <v>85</v>
      </c>
    </row>
    <row r="4" spans="1:11" ht="24" thickBot="1" x14ac:dyDescent="0.35">
      <c r="A4" s="147"/>
      <c r="B4" s="445" t="s">
        <v>134</v>
      </c>
      <c r="C4" s="445"/>
      <c r="D4" s="445"/>
      <c r="E4" s="149"/>
      <c r="G4" s="437" t="s">
        <v>43</v>
      </c>
      <c r="H4" s="438"/>
      <c r="I4" s="438"/>
      <c r="J4" s="438"/>
      <c r="K4" s="439"/>
    </row>
    <row r="5" spans="1:11" ht="25.5" customHeight="1" thickBot="1" x14ac:dyDescent="0.35">
      <c r="A5" s="147"/>
      <c r="B5" s="150"/>
      <c r="C5" s="150"/>
      <c r="D5" s="150"/>
      <c r="E5" s="149"/>
      <c r="G5" s="440">
        <f>-PV((1+J3)/(1+I3)-1,K3-G3,H3,0,1)</f>
        <v>66987228.065848149</v>
      </c>
      <c r="H5" s="441"/>
      <c r="I5" s="441"/>
      <c r="J5" s="441"/>
      <c r="K5" s="442"/>
    </row>
    <row r="6" spans="1:11" ht="25.5" customHeight="1" x14ac:dyDescent="0.3">
      <c r="A6" s="147"/>
      <c r="B6" s="443" t="str">
        <f>Summary!B39</f>
        <v>Akash Agarwal needs have a life cover of Rs. 6.7 Cr which will help provide for household expenses for Priyanka from her current age of 32 to her age of 85. The expenses are expected to grow with the inflation rate of 5 % while the claim amount may be invested in a portfolio giving a return of 8 %.</v>
      </c>
      <c r="C6" s="443"/>
      <c r="D6" s="443"/>
      <c r="E6" s="149"/>
      <c r="G6" s="84"/>
      <c r="H6" s="84"/>
      <c r="I6" s="84"/>
      <c r="J6" s="84"/>
      <c r="K6" s="84"/>
    </row>
    <row r="7" spans="1:11" ht="25.5" customHeight="1" x14ac:dyDescent="0.3">
      <c r="A7" s="147"/>
      <c r="B7" s="443"/>
      <c r="C7" s="443"/>
      <c r="D7" s="443"/>
      <c r="E7" s="149"/>
    </row>
    <row r="8" spans="1:11" ht="25.5" customHeight="1" x14ac:dyDescent="0.3">
      <c r="A8" s="147"/>
      <c r="B8" s="443"/>
      <c r="C8" s="443"/>
      <c r="D8" s="443"/>
      <c r="E8" s="149"/>
    </row>
    <row r="9" spans="1:11" ht="25.5" customHeight="1" x14ac:dyDescent="0.3">
      <c r="A9" s="147"/>
      <c r="B9" s="443"/>
      <c r="C9" s="443"/>
      <c r="D9" s="443"/>
      <c r="E9" s="149"/>
    </row>
    <row r="10" spans="1:11" ht="25.5" customHeight="1" x14ac:dyDescent="0.3">
      <c r="A10" s="147"/>
      <c r="B10" s="443" t="str">
        <f>Summary!B42</f>
        <v>This calculation does not take into account other future financial goals such as higher education and marriage of children. This is based on the assumption that Priyanka is financially dependent on Akash Agarwal.</v>
      </c>
      <c r="C10" s="443"/>
      <c r="D10" s="443"/>
      <c r="E10" s="149"/>
    </row>
    <row r="11" spans="1:11" ht="25.5" customHeight="1" x14ac:dyDescent="0.3">
      <c r="A11" s="147"/>
      <c r="B11" s="443"/>
      <c r="C11" s="443"/>
      <c r="D11" s="443"/>
      <c r="E11" s="149"/>
    </row>
    <row r="12" spans="1:11" ht="25.5" customHeight="1" x14ac:dyDescent="0.3">
      <c r="A12" s="147"/>
      <c r="B12" s="443"/>
      <c r="C12" s="443"/>
      <c r="D12" s="443"/>
      <c r="E12" s="149"/>
    </row>
    <row r="13" spans="1:11" ht="25.5" customHeight="1" x14ac:dyDescent="0.3">
      <c r="A13" s="147"/>
      <c r="B13" s="443"/>
      <c r="C13" s="443"/>
      <c r="D13" s="443"/>
      <c r="E13" s="149"/>
    </row>
    <row r="14" spans="1:11" ht="25.5" customHeight="1" x14ac:dyDescent="0.3">
      <c r="A14" s="147"/>
      <c r="B14" s="148"/>
      <c r="C14" s="148"/>
      <c r="D14" s="148"/>
      <c r="E14" s="149"/>
    </row>
    <row r="15" spans="1:11" ht="25.5" customHeight="1" x14ac:dyDescent="0.3">
      <c r="A15" s="147"/>
      <c r="B15" s="445" t="s">
        <v>135</v>
      </c>
      <c r="C15" s="445"/>
      <c r="D15" s="445"/>
      <c r="E15" s="149"/>
    </row>
    <row r="16" spans="1:11" ht="24" customHeight="1" x14ac:dyDescent="0.3">
      <c r="A16" s="147"/>
      <c r="B16" s="148"/>
      <c r="C16" s="148"/>
      <c r="D16" s="148"/>
      <c r="E16" s="149"/>
    </row>
    <row r="17" spans="1:5" ht="24" customHeight="1" x14ac:dyDescent="0.3">
      <c r="A17" s="147"/>
      <c r="B17" s="444" t="str">
        <f>Summary!B48</f>
        <v>Akash Agarwal and Priyanka should have a health insurance cover of Rs. 25 L for the family. A floater policy with a cashless facility should be looked. This insurance cover should be in addition to any health cover that either of them may have from their employees.</v>
      </c>
      <c r="C17" s="444"/>
      <c r="D17" s="444"/>
      <c r="E17" s="149"/>
    </row>
    <row r="18" spans="1:5" ht="24" customHeight="1" x14ac:dyDescent="0.3">
      <c r="A18" s="147"/>
      <c r="B18" s="444"/>
      <c r="C18" s="444"/>
      <c r="D18" s="444"/>
      <c r="E18" s="149"/>
    </row>
    <row r="19" spans="1:5" ht="24" customHeight="1" x14ac:dyDescent="0.3">
      <c r="A19" s="147"/>
      <c r="B19" s="444"/>
      <c r="C19" s="444"/>
      <c r="D19" s="444"/>
      <c r="E19" s="149"/>
    </row>
    <row r="20" spans="1:5" ht="24" customHeight="1" x14ac:dyDescent="0.3">
      <c r="A20" s="147"/>
      <c r="B20" s="444"/>
      <c r="C20" s="444"/>
      <c r="D20" s="444"/>
      <c r="E20" s="149"/>
    </row>
    <row r="21" spans="1:5" ht="24" customHeight="1" x14ac:dyDescent="0.3">
      <c r="A21" s="147"/>
      <c r="B21" s="148"/>
      <c r="C21" s="148"/>
      <c r="D21" s="148"/>
      <c r="E21" s="149"/>
    </row>
    <row r="22" spans="1:5" ht="24" customHeight="1" x14ac:dyDescent="0.3">
      <c r="A22" s="147"/>
      <c r="B22" s="445" t="s">
        <v>136</v>
      </c>
      <c r="C22" s="445"/>
      <c r="D22" s="445"/>
      <c r="E22" s="149"/>
    </row>
    <row r="23" spans="1:5" ht="24" customHeight="1" x14ac:dyDescent="0.3">
      <c r="A23" s="147"/>
      <c r="B23" s="444" t="str">
        <f>Summary!B54</f>
        <v>An emergency fund of Rs. 24 L, which is 12 times the monthly household expenses need to be created to take care of any exigencies, such loss of job, reduction in income, state of health leading to loss of income. This fund should ideally be in a liquid fund and should not be drawn from, except in any case of emergencies for which it was created.</v>
      </c>
      <c r="C23" s="444"/>
      <c r="D23" s="444"/>
      <c r="E23" s="149"/>
    </row>
    <row r="24" spans="1:5" ht="24" customHeight="1" x14ac:dyDescent="0.3">
      <c r="A24" s="147"/>
      <c r="B24" s="444"/>
      <c r="C24" s="444"/>
      <c r="D24" s="444"/>
      <c r="E24" s="149"/>
    </row>
    <row r="25" spans="1:5" ht="24" customHeight="1" x14ac:dyDescent="0.3">
      <c r="A25" s="147"/>
      <c r="B25" s="444"/>
      <c r="C25" s="444"/>
      <c r="D25" s="444"/>
      <c r="E25" s="149"/>
    </row>
    <row r="26" spans="1:5" ht="24" customHeight="1" x14ac:dyDescent="0.3">
      <c r="A26" s="147"/>
      <c r="B26" s="444"/>
      <c r="C26" s="444"/>
      <c r="D26" s="444"/>
      <c r="E26" s="149"/>
    </row>
    <row r="27" spans="1:5" ht="24" customHeight="1" x14ac:dyDescent="0.3">
      <c r="A27" s="147"/>
      <c r="B27" s="444"/>
      <c r="C27" s="444"/>
      <c r="D27" s="444"/>
      <c r="E27" s="149"/>
    </row>
    <row r="28" spans="1:5" ht="24" customHeight="1" x14ac:dyDescent="0.3">
      <c r="A28" s="147"/>
      <c r="B28" s="444"/>
      <c r="C28" s="444"/>
      <c r="D28" s="444"/>
      <c r="E28" s="149"/>
    </row>
    <row r="29" spans="1:5" ht="24" customHeight="1" x14ac:dyDescent="0.3">
      <c r="A29" s="147"/>
      <c r="B29" s="444"/>
      <c r="C29" s="444"/>
      <c r="D29" s="444"/>
      <c r="E29" s="149"/>
    </row>
    <row r="30" spans="1:5" ht="24" customHeight="1" thickBot="1" x14ac:dyDescent="0.35">
      <c r="A30" s="151"/>
      <c r="B30" s="152"/>
      <c r="C30" s="152"/>
      <c r="D30" s="152"/>
      <c r="E30" s="153"/>
    </row>
    <row r="31" spans="1:5" ht="24" customHeight="1" x14ac:dyDescent="0.3"/>
  </sheetData>
  <mergeCells count="11">
    <mergeCell ref="B23:D29"/>
    <mergeCell ref="B10:D13"/>
    <mergeCell ref="B4:D4"/>
    <mergeCell ref="B15:D15"/>
    <mergeCell ref="B17:D20"/>
    <mergeCell ref="B22:D22"/>
    <mergeCell ref="G1:K1"/>
    <mergeCell ref="G4:K4"/>
    <mergeCell ref="G5:K5"/>
    <mergeCell ref="B2:D2"/>
    <mergeCell ref="B6:D9"/>
  </mergeCells>
  <printOptions horizontalCentered="1"/>
  <pageMargins left="0.70866141732283472" right="0.70866141732283472" top="0.74803149606299213" bottom="0.74803149606299213" header="0.31496062992125984" footer="0.31496062992125984"/>
  <pageSetup paperSize="9" scale="87"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9D3773-6D36-6E44-B8BB-E49A413BCD84}">
  <sheetPr codeName="Sheet6">
    <pageSetUpPr fitToPage="1"/>
  </sheetPr>
  <dimension ref="A1:M40"/>
  <sheetViews>
    <sheetView topLeftCell="A13" zoomScale="44" zoomScaleNormal="44" zoomScaleSheetLayoutView="27" workbookViewId="0">
      <selection activeCell="K4" sqref="K4"/>
    </sheetView>
  </sheetViews>
  <sheetFormatPr defaultColWidth="10.8515625" defaultRowHeight="23.25" x14ac:dyDescent="0.3"/>
  <cols>
    <col min="1" max="1" width="5.0546875" style="2" customWidth="1"/>
    <col min="2" max="2" width="28.359375" style="2"/>
    <col min="3" max="3" width="30.33203125" style="2" customWidth="1"/>
    <col min="4" max="4" width="28.359375" style="2"/>
    <col min="5" max="5" width="5.0546875" style="2" customWidth="1"/>
    <col min="6" max="6" width="10.8515625" style="2"/>
    <col min="7" max="7" width="38.84375" style="196" bestFit="1" customWidth="1"/>
    <col min="8" max="8" width="24.90625" style="196" bestFit="1" customWidth="1"/>
    <col min="9" max="9" width="34.52734375" style="196" bestFit="1" customWidth="1"/>
    <col min="10" max="10" width="25.5234375" style="196" customWidth="1"/>
    <col min="11" max="11" width="44.515625" style="196" bestFit="1" customWidth="1"/>
    <col min="12" max="12" width="25.40234375" style="196" bestFit="1" customWidth="1"/>
    <col min="13" max="13" width="17.6328125" style="196" bestFit="1" customWidth="1"/>
    <col min="14" max="16384" width="10.8515625" style="2"/>
  </cols>
  <sheetData>
    <row r="1" spans="1:13" s="3" customFormat="1" ht="24" thickBot="1" x14ac:dyDescent="0.25">
      <c r="A1" s="154"/>
      <c r="B1" s="155"/>
      <c r="C1" s="155"/>
      <c r="D1" s="155"/>
      <c r="E1" s="156"/>
      <c r="F1" s="66"/>
      <c r="G1" s="446" t="s">
        <v>51</v>
      </c>
      <c r="H1" s="447"/>
      <c r="I1" s="447"/>
      <c r="J1" s="447"/>
      <c r="K1" s="447"/>
      <c r="L1" s="447"/>
      <c r="M1" s="448"/>
    </row>
    <row r="2" spans="1:13" s="3" customFormat="1" ht="32.25" thickBot="1" x14ac:dyDescent="0.25">
      <c r="A2" s="157"/>
      <c r="B2" s="421" t="s">
        <v>51</v>
      </c>
      <c r="C2" s="421"/>
      <c r="D2" s="421"/>
      <c r="E2" s="132"/>
      <c r="F2" s="66"/>
      <c r="G2" s="449" t="s">
        <v>48</v>
      </c>
      <c r="H2" s="450"/>
      <c r="I2" s="450"/>
      <c r="J2" s="450"/>
      <c r="K2" s="450"/>
      <c r="L2" s="450"/>
      <c r="M2" s="451"/>
    </row>
    <row r="3" spans="1:13" ht="24" thickBot="1" x14ac:dyDescent="0.35">
      <c r="A3" s="158"/>
      <c r="B3" s="159"/>
      <c r="C3" s="160"/>
      <c r="D3" s="160"/>
      <c r="E3" s="161"/>
      <c r="G3" s="187" t="s">
        <v>145</v>
      </c>
      <c r="H3" s="188" t="s">
        <v>44</v>
      </c>
      <c r="I3" s="188" t="s">
        <v>45</v>
      </c>
      <c r="J3" s="188" t="s">
        <v>70</v>
      </c>
      <c r="K3" s="189" t="s">
        <v>64</v>
      </c>
      <c r="L3" s="188" t="s">
        <v>46</v>
      </c>
      <c r="M3" s="190" t="s">
        <v>47</v>
      </c>
    </row>
    <row r="4" spans="1:13" ht="24" thickBot="1" x14ac:dyDescent="0.35">
      <c r="A4" s="158"/>
      <c r="B4" s="159"/>
      <c r="C4" s="160"/>
      <c r="D4" s="160"/>
      <c r="E4" s="161"/>
      <c r="G4" s="191">
        <f>'Family Details'!C17</f>
        <v>20</v>
      </c>
      <c r="H4" s="192">
        <v>18</v>
      </c>
      <c r="I4" s="193">
        <v>500000</v>
      </c>
      <c r="J4" s="194">
        <f>10%</f>
        <v>0.1</v>
      </c>
      <c r="K4" s="193">
        <f>IF(OR(G4=0,G4&gt;=H4),0,I4*(1+J4)^(H4-G4))</f>
        <v>0</v>
      </c>
      <c r="L4" s="194">
        <f>11%</f>
        <v>0.11</v>
      </c>
      <c r="M4" s="195">
        <f>-PMT((1+L4)^(1/12)-1,(H4-G4)*12,0,K4,1)</f>
        <v>0</v>
      </c>
    </row>
    <row r="5" spans="1:13" ht="24" thickBot="1" x14ac:dyDescent="0.35">
      <c r="A5" s="158"/>
      <c r="B5" s="422" t="str">
        <f>Summary!B15</f>
        <v>The current cost of graduation is considered as Rs. 5 L. The future cost of Sneha’s graduation is Rs 0 L and Amit’s graduation is Rs 6.66 L, considering an education inflation rate of 10 %.</v>
      </c>
      <c r="C5" s="422"/>
      <c r="D5" s="422"/>
      <c r="E5" s="161"/>
    </row>
    <row r="6" spans="1:13" ht="24" customHeight="1" thickBot="1" x14ac:dyDescent="0.35">
      <c r="A6" s="158"/>
      <c r="B6" s="422"/>
      <c r="C6" s="422"/>
      <c r="D6" s="422"/>
      <c r="E6" s="162"/>
      <c r="G6" s="197" t="s">
        <v>146</v>
      </c>
      <c r="H6" s="198" t="s">
        <v>44</v>
      </c>
      <c r="I6" s="198" t="s">
        <v>45</v>
      </c>
      <c r="J6" s="198" t="s">
        <v>70</v>
      </c>
      <c r="K6" s="199" t="s">
        <v>64</v>
      </c>
      <c r="L6" s="198" t="s">
        <v>46</v>
      </c>
      <c r="M6" s="200" t="s">
        <v>47</v>
      </c>
    </row>
    <row r="7" spans="1:13" ht="24" thickBot="1" x14ac:dyDescent="0.35">
      <c r="A7" s="158"/>
      <c r="B7" s="422"/>
      <c r="C7" s="422"/>
      <c r="D7" s="422"/>
      <c r="E7" s="162"/>
      <c r="G7" s="191">
        <f>'Family Details'!C20</f>
        <v>15</v>
      </c>
      <c r="H7" s="192">
        <v>18</v>
      </c>
      <c r="I7" s="193">
        <v>500000</v>
      </c>
      <c r="J7" s="194">
        <f>10%</f>
        <v>0.1</v>
      </c>
      <c r="K7" s="193">
        <f>IF(OR(G7=0,G7&gt;=H7),0,I7*(1+J7)^(H7-G7))</f>
        <v>665500.00000000023</v>
      </c>
      <c r="L7" s="194">
        <f>11%</f>
        <v>0.11</v>
      </c>
      <c r="M7" s="195">
        <f>-PMT((1+L7)^(1/12)-1,(H7-G7)*12,0,K7,1)</f>
        <v>15674.790086156212</v>
      </c>
    </row>
    <row r="8" spans="1:13" ht="24" thickBot="1" x14ac:dyDescent="0.35">
      <c r="A8" s="158"/>
      <c r="B8" s="422"/>
      <c r="C8" s="422"/>
      <c r="D8" s="422"/>
      <c r="E8" s="162"/>
    </row>
    <row r="9" spans="1:13" ht="24" thickBot="1" x14ac:dyDescent="0.35">
      <c r="A9" s="158"/>
      <c r="B9" s="422"/>
      <c r="C9" s="422"/>
      <c r="D9" s="422"/>
      <c r="E9" s="162"/>
      <c r="G9" s="197" t="s">
        <v>147</v>
      </c>
      <c r="H9" s="198" t="s">
        <v>44</v>
      </c>
      <c r="I9" s="198" t="s">
        <v>45</v>
      </c>
      <c r="J9" s="198" t="s">
        <v>70</v>
      </c>
      <c r="K9" s="199" t="s">
        <v>64</v>
      </c>
      <c r="L9" s="198" t="s">
        <v>46</v>
      </c>
      <c r="M9" s="200" t="s">
        <v>47</v>
      </c>
    </row>
    <row r="10" spans="1:13" ht="24" thickBot="1" x14ac:dyDescent="0.35">
      <c r="A10" s="158"/>
      <c r="B10" s="163"/>
      <c r="C10" s="163"/>
      <c r="D10" s="163"/>
      <c r="E10" s="162"/>
      <c r="G10" s="191">
        <f>'Family Details'!C23</f>
        <v>10</v>
      </c>
      <c r="H10" s="192">
        <v>18</v>
      </c>
      <c r="I10" s="193">
        <v>500000</v>
      </c>
      <c r="J10" s="194">
        <f>10%</f>
        <v>0.1</v>
      </c>
      <c r="K10" s="193">
        <f>IF(OR(G10=0,G10&gt;=H10),0,I10*(1+J10)^(H10-G10))</f>
        <v>1071794.4050000005</v>
      </c>
      <c r="L10" s="194">
        <f>11%</f>
        <v>0.11</v>
      </c>
      <c r="M10" s="195">
        <f>-PMT((1+L10)^(1/12)-1,(H10-G10)*12,0,K10,1)</f>
        <v>7114.1108401770716</v>
      </c>
    </row>
    <row r="11" spans="1:13" ht="24" thickBot="1" x14ac:dyDescent="0.35">
      <c r="A11" s="158"/>
      <c r="B11" s="422" t="str">
        <f>Summary!B18</f>
        <v>The monthly SIP that would be required for Sneha and Amit’s graduation planning are Rs.0 and Rs. -15675 respectively in a growth oriented portfolio giving a return of 11 %.</v>
      </c>
      <c r="C11" s="422"/>
      <c r="D11" s="422"/>
      <c r="E11" s="161"/>
    </row>
    <row r="12" spans="1:13" ht="24" customHeight="1" thickBot="1" x14ac:dyDescent="0.35">
      <c r="A12" s="158"/>
      <c r="B12" s="422"/>
      <c r="C12" s="422"/>
      <c r="D12" s="422"/>
      <c r="E12" s="162"/>
      <c r="G12" s="197" t="s">
        <v>148</v>
      </c>
      <c r="H12" s="198" t="s">
        <v>44</v>
      </c>
      <c r="I12" s="198" t="s">
        <v>45</v>
      </c>
      <c r="J12" s="198" t="s">
        <v>70</v>
      </c>
      <c r="K12" s="199" t="s">
        <v>64</v>
      </c>
      <c r="L12" s="198" t="s">
        <v>46</v>
      </c>
      <c r="M12" s="200" t="s">
        <v>47</v>
      </c>
    </row>
    <row r="13" spans="1:13" ht="24" thickBot="1" x14ac:dyDescent="0.35">
      <c r="A13" s="158"/>
      <c r="B13" s="422"/>
      <c r="C13" s="422"/>
      <c r="D13" s="422"/>
      <c r="E13" s="162"/>
      <c r="G13" s="191">
        <f>'Family Details'!C26</f>
        <v>5</v>
      </c>
      <c r="H13" s="192">
        <v>18</v>
      </c>
      <c r="I13" s="193">
        <v>500000</v>
      </c>
      <c r="J13" s="194">
        <f>10%</f>
        <v>0.1</v>
      </c>
      <c r="K13" s="193">
        <f>IF(OR(G13=0,G13&gt;=H13),0,I13*(1+J13)^(H13-G13))</f>
        <v>1726135.6071965515</v>
      </c>
      <c r="L13" s="194">
        <f>11%</f>
        <v>0.11</v>
      </c>
      <c r="M13" s="195">
        <f>-PMT((1+L13)^(1/12)-1,(H13-G13)*12,0,K13,1)</f>
        <v>5183.8671935284892</v>
      </c>
    </row>
    <row r="14" spans="1:13" x14ac:dyDescent="0.3">
      <c r="A14" s="158"/>
      <c r="B14" s="422"/>
      <c r="C14" s="422"/>
      <c r="D14" s="422"/>
      <c r="E14" s="162"/>
    </row>
    <row r="15" spans="1:13" x14ac:dyDescent="0.3">
      <c r="A15" s="158"/>
      <c r="B15" s="422"/>
      <c r="C15" s="422"/>
      <c r="D15" s="422"/>
      <c r="E15" s="162"/>
    </row>
    <row r="16" spans="1:13" ht="24" thickBot="1" x14ac:dyDescent="0.35">
      <c r="A16" s="158"/>
      <c r="B16" s="163"/>
      <c r="C16" s="163"/>
      <c r="D16" s="163"/>
      <c r="E16" s="162"/>
    </row>
    <row r="17" spans="1:13" ht="24" thickBot="1" x14ac:dyDescent="0.35">
      <c r="A17" s="158"/>
      <c r="B17" s="422" t="str">
        <f>Summary!B21</f>
        <v>The current cost of post-graduation is considered as Rs. 10 L. The future cost of Sneha’s post-graduation is Rs 11 L and the future cost of Amit’s post-graduation is Rs 17.72 L, considering an education inflation rate of 10 %.</v>
      </c>
      <c r="C17" s="422"/>
      <c r="D17" s="422"/>
      <c r="E17" s="161"/>
      <c r="G17" s="449" t="s">
        <v>49</v>
      </c>
      <c r="H17" s="450"/>
      <c r="I17" s="450"/>
      <c r="J17" s="450"/>
      <c r="K17" s="450"/>
      <c r="L17" s="450"/>
      <c r="M17" s="451"/>
    </row>
    <row r="18" spans="1:13" ht="23.25" customHeight="1" thickBot="1" x14ac:dyDescent="0.35">
      <c r="A18" s="158"/>
      <c r="B18" s="422"/>
      <c r="C18" s="422"/>
      <c r="D18" s="422"/>
      <c r="E18" s="162"/>
      <c r="G18" s="187" t="s">
        <v>145</v>
      </c>
      <c r="H18" s="188" t="s">
        <v>44</v>
      </c>
      <c r="I18" s="188" t="s">
        <v>45</v>
      </c>
      <c r="J18" s="188" t="s">
        <v>70</v>
      </c>
      <c r="K18" s="189" t="s">
        <v>65</v>
      </c>
      <c r="L18" s="188" t="s">
        <v>46</v>
      </c>
      <c r="M18" s="190" t="s">
        <v>47</v>
      </c>
    </row>
    <row r="19" spans="1:13" ht="24" thickBot="1" x14ac:dyDescent="0.35">
      <c r="A19" s="158"/>
      <c r="B19" s="422"/>
      <c r="C19" s="422"/>
      <c r="D19" s="422"/>
      <c r="E19" s="162"/>
      <c r="G19" s="191">
        <f>'Family Details'!C17</f>
        <v>20</v>
      </c>
      <c r="H19" s="192">
        <v>21</v>
      </c>
      <c r="I19" s="193">
        <v>1000000</v>
      </c>
      <c r="J19" s="194">
        <f>10%</f>
        <v>0.1</v>
      </c>
      <c r="K19" s="193">
        <f>IF(OR(G19=0,G19&gt;=H19),0,I19*(1+J19)^(H19-G19))</f>
        <v>1100000</v>
      </c>
      <c r="L19" s="201">
        <f>11%</f>
        <v>0.11</v>
      </c>
      <c r="M19" s="195">
        <f>-PMT((1+L19)^(1/12)-1,(H19-G19)*12,0,K19,1)</f>
        <v>86589.613135442429</v>
      </c>
    </row>
    <row r="20" spans="1:13" ht="24" thickBot="1" x14ac:dyDescent="0.35">
      <c r="A20" s="158"/>
      <c r="B20" s="422"/>
      <c r="C20" s="422"/>
      <c r="D20" s="422"/>
      <c r="E20" s="162"/>
    </row>
    <row r="21" spans="1:13" ht="24" thickBot="1" x14ac:dyDescent="0.35">
      <c r="A21" s="158"/>
      <c r="B21" s="422"/>
      <c r="C21" s="422"/>
      <c r="D21" s="422"/>
      <c r="E21" s="162"/>
      <c r="G21" s="197" t="s">
        <v>146</v>
      </c>
      <c r="H21" s="198" t="s">
        <v>44</v>
      </c>
      <c r="I21" s="198" t="s">
        <v>45</v>
      </c>
      <c r="J21" s="202" t="s">
        <v>70</v>
      </c>
      <c r="K21" s="199" t="s">
        <v>65</v>
      </c>
      <c r="L21" s="198" t="s">
        <v>46</v>
      </c>
      <c r="M21" s="200" t="s">
        <v>47</v>
      </c>
    </row>
    <row r="22" spans="1:13" ht="24" thickBot="1" x14ac:dyDescent="0.35">
      <c r="A22" s="158"/>
      <c r="B22" s="163"/>
      <c r="C22" s="163"/>
      <c r="D22" s="163"/>
      <c r="E22" s="162"/>
      <c r="G22" s="191">
        <f>'Family Details'!C20</f>
        <v>15</v>
      </c>
      <c r="H22" s="192">
        <v>21</v>
      </c>
      <c r="I22" s="193">
        <v>1000000</v>
      </c>
      <c r="J22" s="194">
        <f>10%</f>
        <v>0.1</v>
      </c>
      <c r="K22" s="193">
        <f>IF(OR(G22=0,G22&gt;=H22),0,I22*(1+J22)^(H22-G22))</f>
        <v>1771561.0000000009</v>
      </c>
      <c r="L22" s="194">
        <f>11%</f>
        <v>0.11</v>
      </c>
      <c r="M22" s="195">
        <f>-PMT((1+L22)^(1/12)-1,(H22-G22)*12,0,K22,1)</f>
        <v>17623.646256256929</v>
      </c>
    </row>
    <row r="23" spans="1:13" ht="24" thickBot="1" x14ac:dyDescent="0.35">
      <c r="A23" s="158"/>
      <c r="B23" s="422" t="str">
        <f>Summary!B24</f>
        <v>The monthly SIP that would be required for Sneha and Amit’s graduation planning are Rs.-86590 and Rs. -17624 respectively in a growth oriented portfolio giving a return of 11 %.</v>
      </c>
      <c r="C23" s="422"/>
      <c r="D23" s="422"/>
      <c r="E23" s="161"/>
    </row>
    <row r="24" spans="1:13" ht="24" thickBot="1" x14ac:dyDescent="0.35">
      <c r="A24" s="158"/>
      <c r="B24" s="422"/>
      <c r="C24" s="422"/>
      <c r="D24" s="422"/>
      <c r="E24" s="162"/>
      <c r="G24" s="197" t="s">
        <v>147</v>
      </c>
      <c r="H24" s="188" t="s">
        <v>44</v>
      </c>
      <c r="I24" s="188" t="s">
        <v>45</v>
      </c>
      <c r="J24" s="188" t="s">
        <v>70</v>
      </c>
      <c r="K24" s="189" t="s">
        <v>65</v>
      </c>
      <c r="L24" s="188" t="s">
        <v>46</v>
      </c>
      <c r="M24" s="190" t="s">
        <v>47</v>
      </c>
    </row>
    <row r="25" spans="1:13" ht="24" thickBot="1" x14ac:dyDescent="0.35">
      <c r="A25" s="158"/>
      <c r="B25" s="422"/>
      <c r="C25" s="422"/>
      <c r="D25" s="422"/>
      <c r="E25" s="162"/>
      <c r="G25" s="191">
        <f>'Family Details'!C23</f>
        <v>10</v>
      </c>
      <c r="H25" s="192">
        <v>21</v>
      </c>
      <c r="I25" s="193">
        <v>1000000</v>
      </c>
      <c r="J25" s="194">
        <f>10%</f>
        <v>0.1</v>
      </c>
      <c r="K25" s="193">
        <f>IF(OR(G25=0,G25&gt;=H25),0,I25*(1+J25)^(H25-G25))</f>
        <v>2853116.7061100025</v>
      </c>
      <c r="L25" s="201">
        <f>11%</f>
        <v>0.11</v>
      </c>
      <c r="M25" s="195">
        <f>-PMT((1+L25)^(1/12)-1,(H25-G25)*12,0,K25,1)</f>
        <v>11481.326097492625</v>
      </c>
    </row>
    <row r="26" spans="1:13" ht="24" thickBot="1" x14ac:dyDescent="0.35">
      <c r="A26" s="158"/>
      <c r="B26" s="422"/>
      <c r="C26" s="422"/>
      <c r="D26" s="422"/>
      <c r="E26" s="162"/>
    </row>
    <row r="27" spans="1:13" ht="24" thickBot="1" x14ac:dyDescent="0.35">
      <c r="A27" s="158"/>
      <c r="B27" s="422"/>
      <c r="C27" s="422"/>
      <c r="D27" s="422"/>
      <c r="E27" s="162"/>
      <c r="G27" s="197" t="s">
        <v>148</v>
      </c>
      <c r="H27" s="198" t="s">
        <v>44</v>
      </c>
      <c r="I27" s="198" t="s">
        <v>45</v>
      </c>
      <c r="J27" s="202" t="s">
        <v>70</v>
      </c>
      <c r="K27" s="199" t="s">
        <v>65</v>
      </c>
      <c r="L27" s="198" t="s">
        <v>46</v>
      </c>
      <c r="M27" s="200" t="s">
        <v>47</v>
      </c>
    </row>
    <row r="28" spans="1:13" ht="24" thickBot="1" x14ac:dyDescent="0.35">
      <c r="A28" s="158"/>
      <c r="B28" s="160"/>
      <c r="C28" s="160"/>
      <c r="D28" s="160"/>
      <c r="E28" s="162"/>
      <c r="G28" s="191">
        <f>'Family Details'!C26</f>
        <v>5</v>
      </c>
      <c r="H28" s="192">
        <v>21</v>
      </c>
      <c r="I28" s="193">
        <v>1000000</v>
      </c>
      <c r="J28" s="194">
        <f>10%</f>
        <v>0.1</v>
      </c>
      <c r="K28" s="193">
        <f>IF(OR(G28=0,G28&gt;=H28),0,I28*(1+J28)^(H28-G28))</f>
        <v>4594972.9863572214</v>
      </c>
      <c r="L28" s="194">
        <f>11%</f>
        <v>0.11</v>
      </c>
      <c r="M28" s="195">
        <f>-PMT((1+L28)^(1/12)-1,(H28-G28)*12,0,K28,1)</f>
        <v>9229.5682197069509</v>
      </c>
    </row>
    <row r="29" spans="1:13" x14ac:dyDescent="0.3">
      <c r="A29" s="158"/>
      <c r="B29" s="160"/>
      <c r="C29" s="160"/>
      <c r="D29" s="160"/>
      <c r="E29" s="161"/>
    </row>
    <row r="30" spans="1:13" x14ac:dyDescent="0.3">
      <c r="A30" s="158"/>
      <c r="B30" s="160"/>
      <c r="C30" s="160"/>
      <c r="D30" s="160"/>
      <c r="E30" s="161"/>
    </row>
    <row r="31" spans="1:13" x14ac:dyDescent="0.3">
      <c r="A31" s="158"/>
      <c r="B31" s="160"/>
      <c r="C31" s="160"/>
      <c r="D31" s="160"/>
      <c r="E31" s="161"/>
    </row>
    <row r="32" spans="1:13" x14ac:dyDescent="0.3">
      <c r="A32" s="158"/>
      <c r="B32" s="160"/>
      <c r="C32" s="160"/>
      <c r="D32" s="160"/>
      <c r="E32" s="161"/>
    </row>
    <row r="33" spans="1:5" x14ac:dyDescent="0.3">
      <c r="A33" s="158"/>
      <c r="B33" s="160"/>
      <c r="C33" s="160"/>
      <c r="D33" s="160"/>
      <c r="E33" s="161"/>
    </row>
    <row r="34" spans="1:5" x14ac:dyDescent="0.3">
      <c r="A34" s="158"/>
      <c r="B34" s="160"/>
      <c r="C34" s="160"/>
      <c r="D34" s="160"/>
      <c r="E34" s="161"/>
    </row>
    <row r="35" spans="1:5" x14ac:dyDescent="0.3">
      <c r="A35" s="158"/>
      <c r="B35" s="160"/>
      <c r="C35" s="160"/>
      <c r="D35" s="160"/>
      <c r="E35" s="161"/>
    </row>
    <row r="36" spans="1:5" x14ac:dyDescent="0.3">
      <c r="A36" s="158"/>
      <c r="B36" s="160"/>
      <c r="C36" s="160"/>
      <c r="D36" s="160"/>
      <c r="E36" s="161"/>
    </row>
    <row r="37" spans="1:5" x14ac:dyDescent="0.3">
      <c r="A37" s="158"/>
      <c r="B37" s="160"/>
      <c r="C37" s="160"/>
      <c r="D37" s="160"/>
      <c r="E37" s="161"/>
    </row>
    <row r="38" spans="1:5" x14ac:dyDescent="0.3">
      <c r="A38" s="158"/>
      <c r="B38" s="160"/>
      <c r="C38" s="160"/>
      <c r="D38" s="160"/>
      <c r="E38" s="161"/>
    </row>
    <row r="39" spans="1:5" x14ac:dyDescent="0.3">
      <c r="A39" s="158"/>
      <c r="B39" s="160"/>
      <c r="C39" s="160"/>
      <c r="D39" s="160"/>
      <c r="E39" s="161"/>
    </row>
    <row r="40" spans="1:5" ht="24" thickBot="1" x14ac:dyDescent="0.35">
      <c r="A40" s="164"/>
      <c r="B40" s="165"/>
      <c r="C40" s="165"/>
      <c r="D40" s="165"/>
      <c r="E40" s="166"/>
    </row>
  </sheetData>
  <mergeCells count="8">
    <mergeCell ref="B23:D27"/>
    <mergeCell ref="B5:D9"/>
    <mergeCell ref="B11:D15"/>
    <mergeCell ref="B17:D21"/>
    <mergeCell ref="G1:M1"/>
    <mergeCell ref="G2:M2"/>
    <mergeCell ref="G17:M17"/>
    <mergeCell ref="B2:D2"/>
  </mergeCells>
  <printOptions horizontalCentered="1"/>
  <pageMargins left="0.7" right="0.7" top="0.75" bottom="0.75" header="0.3" footer="0.3"/>
  <pageSetup paperSize="9" scale="68"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7BE111-34D5-304A-9424-B5870179F912}">
  <sheetPr codeName="Sheet7"/>
  <dimension ref="A1:M36"/>
  <sheetViews>
    <sheetView topLeftCell="E1" zoomScale="70" zoomScaleNormal="70" zoomScaleSheetLayoutView="38" workbookViewId="0">
      <selection activeCell="O11" sqref="O11"/>
    </sheetView>
  </sheetViews>
  <sheetFormatPr defaultColWidth="10.8515625" defaultRowHeight="15" x14ac:dyDescent="0.2"/>
  <cols>
    <col min="1" max="1" width="5.0546875" style="1" customWidth="1"/>
    <col min="2" max="4" width="27.25" style="1" customWidth="1"/>
    <col min="5" max="5" width="5.0546875" style="1" customWidth="1"/>
    <col min="6" max="6" width="10.48046875" style="1" customWidth="1"/>
    <col min="7" max="7" width="38.84375" style="1" bestFit="1" customWidth="1"/>
    <col min="8" max="8" width="24.90625" style="1" bestFit="1" customWidth="1"/>
    <col min="9" max="9" width="34.52734375" style="1" bestFit="1" customWidth="1"/>
    <col min="10" max="10" width="25.89453125" style="1" customWidth="1"/>
    <col min="11" max="11" width="31.56640625" style="1" bestFit="1" customWidth="1"/>
    <col min="12" max="12" width="25.40234375" style="1" bestFit="1" customWidth="1"/>
    <col min="13" max="13" width="17.6328125" style="1" bestFit="1" customWidth="1"/>
    <col min="14" max="16384" width="10.8515625" style="1"/>
  </cols>
  <sheetData>
    <row r="1" spans="1:13" ht="24" thickBot="1" x14ac:dyDescent="0.25">
      <c r="A1" s="143"/>
      <c r="B1" s="144"/>
      <c r="C1" s="144"/>
      <c r="D1" s="144"/>
      <c r="E1" s="145"/>
      <c r="G1" s="452" t="s">
        <v>50</v>
      </c>
      <c r="H1" s="453"/>
      <c r="I1" s="453"/>
      <c r="J1" s="453"/>
      <c r="K1" s="453"/>
      <c r="L1" s="453"/>
      <c r="M1" s="454"/>
    </row>
    <row r="2" spans="1:13" ht="32.25" thickBot="1" x14ac:dyDescent="0.35">
      <c r="A2" s="146"/>
      <c r="B2" s="421" t="s">
        <v>76</v>
      </c>
      <c r="C2" s="421"/>
      <c r="D2" s="421"/>
      <c r="E2" s="132"/>
      <c r="G2" s="85" t="s">
        <v>145</v>
      </c>
      <c r="H2" s="75" t="s">
        <v>170</v>
      </c>
      <c r="I2" s="77" t="s">
        <v>171</v>
      </c>
      <c r="J2" s="75" t="s">
        <v>8</v>
      </c>
      <c r="K2" s="76" t="s">
        <v>63</v>
      </c>
      <c r="L2" s="74" t="s">
        <v>46</v>
      </c>
      <c r="M2" s="65" t="s">
        <v>47</v>
      </c>
    </row>
    <row r="3" spans="1:13" ht="24" thickBot="1" x14ac:dyDescent="0.35">
      <c r="A3" s="146"/>
      <c r="B3" s="167"/>
      <c r="C3" s="167"/>
      <c r="D3" s="167"/>
      <c r="E3" s="168"/>
      <c r="G3" s="70">
        <f>'Family Details'!C17</f>
        <v>20</v>
      </c>
      <c r="H3" s="71">
        <v>28</v>
      </c>
      <c r="I3" s="90">
        <v>1000000</v>
      </c>
      <c r="J3" s="72">
        <v>0.05</v>
      </c>
      <c r="K3" s="90">
        <f>IF(OR(G3=0,G3&gt;=H3),0,I3*(1+J3)^(H3-G3))</f>
        <v>1477455.4437890626</v>
      </c>
      <c r="L3" s="72">
        <f>11%</f>
        <v>0.11</v>
      </c>
      <c r="M3" s="73">
        <f>-PMT((1+L3)^(1/12)-1,(H3-G3)*12,0,K3,1)</f>
        <v>9806.7145522544415</v>
      </c>
    </row>
    <row r="4" spans="1:13" ht="24" thickBot="1" x14ac:dyDescent="0.35">
      <c r="A4" s="146"/>
      <c r="B4" s="422" t="str">
        <f>Summary!B30</f>
        <v>The expected expenses of marriage if considered for today is considered at Rs. 10 L. The future cost of Sneha’s marriage is Rs 14.77 L and Amit’s marriage is Rs 18.86 L, considering an inflation rate of 5 %.</v>
      </c>
      <c r="C4" s="422"/>
      <c r="D4" s="422"/>
      <c r="E4" s="168"/>
      <c r="G4" s="2"/>
      <c r="H4" s="2"/>
      <c r="I4" s="2"/>
      <c r="J4" s="2"/>
      <c r="K4" s="2"/>
      <c r="L4" s="2"/>
      <c r="M4" s="2"/>
    </row>
    <row r="5" spans="1:13" ht="24" thickBot="1" x14ac:dyDescent="0.35">
      <c r="A5" s="146"/>
      <c r="B5" s="422"/>
      <c r="C5" s="422"/>
      <c r="D5" s="422"/>
      <c r="E5" s="168"/>
      <c r="G5" s="74" t="s">
        <v>146</v>
      </c>
      <c r="H5" s="75" t="s">
        <v>170</v>
      </c>
      <c r="I5" s="77" t="s">
        <v>171</v>
      </c>
      <c r="J5" s="75" t="s">
        <v>8</v>
      </c>
      <c r="K5" s="64" t="s">
        <v>63</v>
      </c>
      <c r="L5" s="75" t="s">
        <v>46</v>
      </c>
      <c r="M5" s="65" t="s">
        <v>47</v>
      </c>
    </row>
    <row r="6" spans="1:13" ht="24" thickBot="1" x14ac:dyDescent="0.35">
      <c r="A6" s="146"/>
      <c r="B6" s="422"/>
      <c r="C6" s="422"/>
      <c r="D6" s="422"/>
      <c r="E6" s="168"/>
      <c r="G6" s="70">
        <f>'Family Details'!C20</f>
        <v>15</v>
      </c>
      <c r="H6" s="71">
        <v>28</v>
      </c>
      <c r="I6" s="90">
        <v>1000000</v>
      </c>
      <c r="J6" s="72">
        <v>0.05</v>
      </c>
      <c r="K6" s="90">
        <f>IF(OR(G6=0,G6&gt;=H6),0,I6*(1+J6)^(H6-G6))</f>
        <v>1885649.142323236</v>
      </c>
      <c r="L6" s="72">
        <f>11%</f>
        <v>0.11</v>
      </c>
      <c r="M6" s="73">
        <f>-PMT((1+L6)^(1/12)-1,(H6-G6)*12,0,K6,1)</f>
        <v>5662.9123961298938</v>
      </c>
    </row>
    <row r="7" spans="1:13" ht="15.75" thickBot="1" x14ac:dyDescent="0.25">
      <c r="A7" s="146"/>
      <c r="B7" s="422"/>
      <c r="C7" s="422"/>
      <c r="D7" s="422"/>
      <c r="E7" s="168"/>
    </row>
    <row r="8" spans="1:13" ht="24" thickBot="1" x14ac:dyDescent="0.35">
      <c r="A8" s="146"/>
      <c r="B8" s="422"/>
      <c r="C8" s="422"/>
      <c r="D8" s="422"/>
      <c r="E8" s="168"/>
      <c r="G8" s="74" t="s">
        <v>146</v>
      </c>
      <c r="H8" s="75" t="s">
        <v>170</v>
      </c>
      <c r="I8" s="77" t="s">
        <v>171</v>
      </c>
      <c r="J8" s="75" t="s">
        <v>8</v>
      </c>
      <c r="K8" s="92" t="s">
        <v>63</v>
      </c>
      <c r="L8" s="75" t="s">
        <v>46</v>
      </c>
      <c r="M8" s="93" t="s">
        <v>47</v>
      </c>
    </row>
    <row r="9" spans="1:13" ht="24" thickBot="1" x14ac:dyDescent="0.35">
      <c r="A9" s="146"/>
      <c r="B9" s="169"/>
      <c r="C9" s="169"/>
      <c r="D9" s="169"/>
      <c r="E9" s="168"/>
      <c r="G9" s="70">
        <f>'Family Details'!C23</f>
        <v>10</v>
      </c>
      <c r="H9" s="71">
        <v>28</v>
      </c>
      <c r="I9" s="90">
        <v>1000000</v>
      </c>
      <c r="J9" s="72">
        <v>0.05</v>
      </c>
      <c r="K9" s="90">
        <f>IF(OR(G9=0,G9&gt;=H9),0,I9*(1+J9)^(H9-G9))</f>
        <v>2406619.2336910847</v>
      </c>
      <c r="L9" s="72">
        <f>11%</f>
        <v>0.11</v>
      </c>
      <c r="M9" s="73">
        <f>-PMT((1+L9)^(1/12)-1,(H9-G9)*12,0,K9,1)</f>
        <v>3759.1095805066325</v>
      </c>
    </row>
    <row r="10" spans="1:13" ht="15.75" thickBot="1" x14ac:dyDescent="0.25">
      <c r="A10" s="146"/>
      <c r="B10" s="422" t="str">
        <f>Summary!B33</f>
        <v>The monthly SIP that would be required for Sneha and Amit’s graduation planning are Rs.86590 and Rs. 17624 respectively in a growth oriented portfolio giving a return of 11 %.</v>
      </c>
      <c r="C10" s="422"/>
      <c r="D10" s="422"/>
      <c r="E10" s="168"/>
    </row>
    <row r="11" spans="1:13" ht="24" thickBot="1" x14ac:dyDescent="0.35">
      <c r="A11" s="146"/>
      <c r="B11" s="422"/>
      <c r="C11" s="422"/>
      <c r="D11" s="422"/>
      <c r="E11" s="168"/>
      <c r="G11" s="74" t="s">
        <v>146</v>
      </c>
      <c r="H11" s="75" t="s">
        <v>170</v>
      </c>
      <c r="I11" s="77" t="s">
        <v>171</v>
      </c>
      <c r="J11" s="75" t="s">
        <v>8</v>
      </c>
      <c r="K11" s="92" t="s">
        <v>63</v>
      </c>
      <c r="L11" s="75" t="s">
        <v>46</v>
      </c>
      <c r="M11" s="93" t="s">
        <v>47</v>
      </c>
    </row>
    <row r="12" spans="1:13" ht="24" thickBot="1" x14ac:dyDescent="0.35">
      <c r="A12" s="146"/>
      <c r="B12" s="422"/>
      <c r="C12" s="422"/>
      <c r="D12" s="422"/>
      <c r="E12" s="168"/>
      <c r="G12" s="70">
        <f>'Family Details'!C26</f>
        <v>5</v>
      </c>
      <c r="H12" s="71">
        <v>28</v>
      </c>
      <c r="I12" s="90">
        <v>1000000</v>
      </c>
      <c r="J12" s="72">
        <v>0.05</v>
      </c>
      <c r="K12" s="90">
        <f>IF(OR(G12=0,G12&gt;=H12),0,I12*(1+J12)^(H12-G12))</f>
        <v>3071523.7559178104</v>
      </c>
      <c r="L12" s="72">
        <f>11%</f>
        <v>0.11</v>
      </c>
      <c r="M12" s="73">
        <f>-PMT((1+L12)^(1/12)-1,(H12-G12)*12,0,K12,1)</f>
        <v>2652.652764601688</v>
      </c>
    </row>
    <row r="13" spans="1:13" x14ac:dyDescent="0.2">
      <c r="A13" s="146"/>
      <c r="B13" s="422"/>
      <c r="C13" s="422"/>
      <c r="D13" s="422"/>
      <c r="E13" s="168"/>
    </row>
    <row r="14" spans="1:13" x14ac:dyDescent="0.2">
      <c r="A14" s="146"/>
      <c r="B14" s="422"/>
      <c r="C14" s="422"/>
      <c r="D14" s="422"/>
      <c r="E14" s="168"/>
    </row>
    <row r="15" spans="1:13" x14ac:dyDescent="0.2">
      <c r="A15" s="146"/>
      <c r="B15" s="167"/>
      <c r="C15" s="167"/>
      <c r="D15" s="167"/>
      <c r="E15" s="168"/>
    </row>
    <row r="16" spans="1:13" x14ac:dyDescent="0.2">
      <c r="A16" s="146"/>
      <c r="B16" s="167"/>
      <c r="C16" s="167"/>
      <c r="D16" s="167"/>
      <c r="E16" s="168"/>
    </row>
    <row r="17" spans="1:5" x14ac:dyDescent="0.2">
      <c r="A17" s="146"/>
      <c r="B17" s="167"/>
      <c r="C17" s="167"/>
      <c r="D17" s="167"/>
      <c r="E17" s="168"/>
    </row>
    <row r="18" spans="1:5" x14ac:dyDescent="0.2">
      <c r="A18" s="146"/>
      <c r="B18" s="167"/>
      <c r="C18" s="167"/>
      <c r="D18" s="167"/>
      <c r="E18" s="168"/>
    </row>
    <row r="19" spans="1:5" x14ac:dyDescent="0.2">
      <c r="A19" s="146"/>
      <c r="B19" s="167"/>
      <c r="C19" s="167"/>
      <c r="D19" s="167"/>
      <c r="E19" s="168"/>
    </row>
    <row r="20" spans="1:5" x14ac:dyDescent="0.2">
      <c r="A20" s="146"/>
      <c r="B20" s="167"/>
      <c r="C20" s="167"/>
      <c r="D20" s="167"/>
      <c r="E20" s="168"/>
    </row>
    <row r="21" spans="1:5" x14ac:dyDescent="0.2">
      <c r="A21" s="146"/>
      <c r="B21" s="167"/>
      <c r="C21" s="167"/>
      <c r="D21" s="167"/>
      <c r="E21" s="168"/>
    </row>
    <row r="22" spans="1:5" x14ac:dyDescent="0.2">
      <c r="A22" s="146"/>
      <c r="B22" s="167"/>
      <c r="C22" s="167"/>
      <c r="D22" s="167"/>
      <c r="E22" s="168"/>
    </row>
    <row r="23" spans="1:5" x14ac:dyDescent="0.2">
      <c r="A23" s="146"/>
      <c r="B23" s="167"/>
      <c r="C23" s="167"/>
      <c r="D23" s="167"/>
      <c r="E23" s="168"/>
    </row>
    <row r="24" spans="1:5" x14ac:dyDescent="0.2">
      <c r="A24" s="146"/>
      <c r="B24" s="167"/>
      <c r="C24" s="167"/>
      <c r="D24" s="167"/>
      <c r="E24" s="168"/>
    </row>
    <row r="25" spans="1:5" x14ac:dyDescent="0.2">
      <c r="A25" s="146"/>
      <c r="B25" s="167"/>
      <c r="C25" s="167"/>
      <c r="D25" s="167"/>
      <c r="E25" s="168"/>
    </row>
    <row r="26" spans="1:5" x14ac:dyDescent="0.2">
      <c r="A26" s="146"/>
      <c r="B26" s="167"/>
      <c r="C26" s="167"/>
      <c r="D26" s="167"/>
      <c r="E26" s="168"/>
    </row>
    <row r="27" spans="1:5" x14ac:dyDescent="0.2">
      <c r="A27" s="146"/>
      <c r="B27" s="167"/>
      <c r="C27" s="167"/>
      <c r="D27" s="167"/>
      <c r="E27" s="168"/>
    </row>
    <row r="28" spans="1:5" x14ac:dyDescent="0.2">
      <c r="A28" s="146"/>
      <c r="B28" s="167"/>
      <c r="C28" s="167"/>
      <c r="D28" s="167"/>
      <c r="E28" s="168"/>
    </row>
    <row r="29" spans="1:5" x14ac:dyDescent="0.2">
      <c r="A29" s="146"/>
      <c r="B29" s="167"/>
      <c r="C29" s="167"/>
      <c r="D29" s="167"/>
      <c r="E29" s="168"/>
    </row>
    <row r="30" spans="1:5" x14ac:dyDescent="0.2">
      <c r="A30" s="146"/>
      <c r="B30" s="167"/>
      <c r="C30" s="167"/>
      <c r="D30" s="167"/>
      <c r="E30" s="168"/>
    </row>
    <row r="31" spans="1:5" x14ac:dyDescent="0.2">
      <c r="A31" s="146"/>
      <c r="B31" s="167"/>
      <c r="C31" s="167"/>
      <c r="D31" s="167"/>
      <c r="E31" s="168"/>
    </row>
    <row r="32" spans="1:5" x14ac:dyDescent="0.2">
      <c r="A32" s="146"/>
      <c r="B32" s="167"/>
      <c r="C32" s="167"/>
      <c r="D32" s="167"/>
      <c r="E32" s="168"/>
    </row>
    <row r="33" spans="1:5" x14ac:dyDescent="0.2">
      <c r="A33" s="146"/>
      <c r="B33" s="167"/>
      <c r="C33" s="167"/>
      <c r="D33" s="167"/>
      <c r="E33" s="168"/>
    </row>
    <row r="34" spans="1:5" x14ac:dyDescent="0.2">
      <c r="A34" s="146"/>
      <c r="B34" s="167"/>
      <c r="C34" s="167"/>
      <c r="D34" s="167"/>
      <c r="E34" s="168"/>
    </row>
    <row r="35" spans="1:5" x14ac:dyDescent="0.2">
      <c r="A35" s="146"/>
      <c r="B35" s="167"/>
      <c r="C35" s="167"/>
      <c r="D35" s="167"/>
      <c r="E35" s="168"/>
    </row>
    <row r="36" spans="1:5" ht="15.75" thickBot="1" x14ac:dyDescent="0.25">
      <c r="A36" s="170"/>
      <c r="B36" s="171"/>
      <c r="C36" s="171"/>
      <c r="D36" s="171"/>
      <c r="E36" s="172"/>
    </row>
  </sheetData>
  <mergeCells count="4">
    <mergeCell ref="G1:M1"/>
    <mergeCell ref="B2:D2"/>
    <mergeCell ref="B4:D8"/>
    <mergeCell ref="B10:D14"/>
  </mergeCells>
  <pageMargins left="0.7" right="0.7" top="0.75" bottom="0.75" header="0.3" footer="0.3"/>
  <pageSetup paperSize="9" scale="87"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DCA09F-FF58-4A8E-903F-C42821ACCFBE}">
  <sheetPr codeName="Sheet8"/>
  <dimension ref="A4:S56"/>
  <sheetViews>
    <sheetView view="pageBreakPreview" topLeftCell="A28" zoomScale="70" zoomScaleNormal="45" zoomScaleSheetLayoutView="70" workbookViewId="0">
      <selection activeCell="E41" sqref="E41"/>
    </sheetView>
  </sheetViews>
  <sheetFormatPr defaultRowHeight="15" x14ac:dyDescent="0.2"/>
  <cols>
    <col min="2" max="2" width="128.859375" style="94" customWidth="1"/>
    <col min="3" max="3" width="1.84765625" style="94" bestFit="1" customWidth="1"/>
    <col min="5" max="5" width="12.82421875" bestFit="1" customWidth="1"/>
  </cols>
  <sheetData>
    <row r="4" spans="1:19" x14ac:dyDescent="0.2">
      <c r="B4" s="96" t="s">
        <v>73</v>
      </c>
      <c r="C4" s="96"/>
    </row>
    <row r="6" spans="1:19" x14ac:dyDescent="0.2">
      <c r="A6" t="s">
        <v>95</v>
      </c>
      <c r="B6" s="94" t="str">
        <f>CONCATENATE('Family Details'!C8,Summary!D7,'Family Details'!C13,Summary!E7,F7,G7,'Family Details'!C8,H7,I7,J7,K7,L7,CHAR(10),M7,N7,O7,P7,Q7,R7,S7)</f>
        <v>Akash Agarwal and Priyanka would need to accumulate Rs. 17.05 Cr by Akash Agarwal’s age of 60. This amount when invested in a 7% return portfolio will take care of 30 years of post-retirement household expenses.
The current annual expenses of Rs. 24 L will become Rs. 73.72 L in the first year of retirement due to inflation and continue to grow by 5% through the years.</v>
      </c>
    </row>
    <row r="7" spans="1:19" x14ac:dyDescent="0.2">
      <c r="D7" t="s">
        <v>84</v>
      </c>
      <c r="E7" t="s">
        <v>85</v>
      </c>
      <c r="F7">
        <f>ROUND(Retirement!G6/10000000,2)</f>
        <v>17.05</v>
      </c>
      <c r="G7" t="s">
        <v>86</v>
      </c>
      <c r="H7" t="s">
        <v>87</v>
      </c>
      <c r="I7">
        <f>Retirement!K3</f>
        <v>60</v>
      </c>
      <c r="J7" t="s">
        <v>92</v>
      </c>
      <c r="K7">
        <f>Retirement!L3*100</f>
        <v>7.0000000000000009</v>
      </c>
      <c r="L7" t="s">
        <v>191</v>
      </c>
      <c r="M7" t="s">
        <v>192</v>
      </c>
      <c r="N7">
        <f>ROUND(Retirement!H3/100000,2)</f>
        <v>24</v>
      </c>
      <c r="O7" t="s">
        <v>88</v>
      </c>
      <c r="P7">
        <f>ROUND(Retirement!J24/100000,2)</f>
        <v>73.72</v>
      </c>
      <c r="Q7" t="s">
        <v>93</v>
      </c>
      <c r="R7" s="97">
        <f>ROUND(Retirement!J3*100,2)</f>
        <v>5</v>
      </c>
      <c r="S7" t="s">
        <v>94</v>
      </c>
    </row>
    <row r="8" spans="1:19" x14ac:dyDescent="0.2">
      <c r="A8" t="s">
        <v>96</v>
      </c>
      <c r="B8" s="94" t="str">
        <f>CONCATENATE('Family Details'!C8,Summary!D9,'Family Details'!C13,E9,F9,G9,H9,I9)</f>
        <v>Akash Agarwal and Priyanka need to start a SIP of Rs. -147221 per month in a growth oriented portfolio giving a return of 11% to achieve their retirement corpus, within a assumption that no investments are made towards retirement as yet.</v>
      </c>
    </row>
    <row r="9" spans="1:19" x14ac:dyDescent="0.2">
      <c r="D9" t="s">
        <v>84</v>
      </c>
      <c r="E9" t="s">
        <v>89</v>
      </c>
      <c r="F9">
        <f>ROUNDUP(-Retirement!H16,0)</f>
        <v>-147221</v>
      </c>
      <c r="G9" t="s">
        <v>90</v>
      </c>
      <c r="H9" s="97">
        <f>ROUND(Retirement!G16*100,2)</f>
        <v>11</v>
      </c>
      <c r="I9" t="s">
        <v>91</v>
      </c>
    </row>
    <row r="10" spans="1:19" ht="123" customHeight="1" x14ac:dyDescent="0.2">
      <c r="B10" s="95" t="s">
        <v>83</v>
      </c>
      <c r="C10" s="95"/>
    </row>
    <row r="13" spans="1:19" x14ac:dyDescent="0.2">
      <c r="B13" s="96" t="s">
        <v>74</v>
      </c>
      <c r="C13" s="96"/>
    </row>
    <row r="14" spans="1:19" x14ac:dyDescent="0.2">
      <c r="B14" s="98" t="s">
        <v>107</v>
      </c>
      <c r="C14" s="96"/>
    </row>
    <row r="15" spans="1:19" x14ac:dyDescent="0.2">
      <c r="A15" t="s">
        <v>95</v>
      </c>
      <c r="B15" s="98" t="str">
        <f>CONCATENATE(D16,E16,F16,'Family Details'!C16,Summary!G16,Summary!H16,Summary!I16,'Family Details'!C19,Summary!J16,Summary!K16,Summary!L16,Summary!M16,Summary!N16)</f>
        <v>The current cost of graduation is considered as Rs. 5 L. The future cost of Sneha’s graduation is Rs 0 L and Amit’s graduation is Rs 6.66 L, considering an education inflation rate of 10 %.</v>
      </c>
      <c r="C15" s="96"/>
    </row>
    <row r="16" spans="1:19" x14ac:dyDescent="0.2">
      <c r="B16" s="98"/>
      <c r="C16" s="96"/>
      <c r="D16" t="s">
        <v>100</v>
      </c>
      <c r="E16">
        <f>Education!I4/100000</f>
        <v>5</v>
      </c>
      <c r="F16" t="s">
        <v>101</v>
      </c>
      <c r="G16" t="s">
        <v>102</v>
      </c>
      <c r="H16">
        <f>ROUND(Education!K4/100000,2)</f>
        <v>0</v>
      </c>
      <c r="I16" t="s">
        <v>106</v>
      </c>
      <c r="J16" t="s">
        <v>102</v>
      </c>
      <c r="K16">
        <f>ROUND(Education!K7/100000,2)</f>
        <v>6.66</v>
      </c>
      <c r="L16" t="s">
        <v>108</v>
      </c>
      <c r="M16" s="97">
        <f>Education!J7*100</f>
        <v>10</v>
      </c>
      <c r="N16" t="s">
        <v>113</v>
      </c>
    </row>
    <row r="17" spans="1:14" x14ac:dyDescent="0.2">
      <c r="B17" s="98" t="s">
        <v>99</v>
      </c>
      <c r="C17" s="96"/>
    </row>
    <row r="18" spans="1:14" x14ac:dyDescent="0.2">
      <c r="A18" t="s">
        <v>96</v>
      </c>
      <c r="B18" s="98" t="str">
        <f>CONCATENATE(D19,'Family Details'!C16,Summary!E19,'Family Details'!C19,Summary!F19,Summary!G19,Summary!H19,Summary!I19,Summary!J19,Summary!K19,Summary!L19)</f>
        <v>The monthly SIP that would be required for Sneha and Amit’s graduation planning are Rs.0 and Rs. -15675 respectively in a growth oriented portfolio giving a return of 11 %.</v>
      </c>
      <c r="C18" s="96"/>
    </row>
    <row r="19" spans="1:14" x14ac:dyDescent="0.2">
      <c r="B19" s="98"/>
      <c r="C19" s="96"/>
      <c r="D19" s="98" t="s">
        <v>109</v>
      </c>
      <c r="E19" t="s">
        <v>84</v>
      </c>
      <c r="F19" t="s">
        <v>110</v>
      </c>
      <c r="G19">
        <f>ROUND(-Education!M4,0)</f>
        <v>0</v>
      </c>
      <c r="H19" t="s">
        <v>111</v>
      </c>
      <c r="I19">
        <f>ROUND(-Education!M7,0)</f>
        <v>-15675</v>
      </c>
      <c r="J19" t="s">
        <v>112</v>
      </c>
      <c r="K19">
        <f>ROUND(Education!L7*100,2)</f>
        <v>11</v>
      </c>
      <c r="L19" t="s">
        <v>113</v>
      </c>
    </row>
    <row r="20" spans="1:14" x14ac:dyDescent="0.2">
      <c r="B20" s="98" t="s">
        <v>117</v>
      </c>
      <c r="C20" s="96"/>
    </row>
    <row r="21" spans="1:14" x14ac:dyDescent="0.2">
      <c r="A21" t="s">
        <v>97</v>
      </c>
      <c r="B21" s="98" t="str">
        <f>CONCATENATE(D22,E22,F22,'Family Details'!C16,G22,H22,I22,'Family Details'!C19,J22,K22,L22,M22,N22)</f>
        <v>The current cost of post-graduation is considered as Rs. 10 L. The future cost of Sneha’s post-graduation is Rs 11 L and the future cost of Amit’s post-graduation is Rs 17.72 L, considering an education inflation rate of 10 %.</v>
      </c>
      <c r="C21" s="96"/>
    </row>
    <row r="22" spans="1:14" x14ac:dyDescent="0.2">
      <c r="B22" s="98"/>
      <c r="C22" s="96"/>
      <c r="D22" s="98" t="s">
        <v>114</v>
      </c>
      <c r="E22">
        <f>ROUND(Education!I19/100000,2)</f>
        <v>10</v>
      </c>
      <c r="F22" t="s">
        <v>101</v>
      </c>
      <c r="G22" t="s">
        <v>115</v>
      </c>
      <c r="H22">
        <f>ROUND(Education!K19/100000,2)</f>
        <v>11</v>
      </c>
      <c r="I22" t="s">
        <v>116</v>
      </c>
      <c r="J22" t="s">
        <v>115</v>
      </c>
      <c r="K22">
        <f>ROUND(Education!K22/100000,2)</f>
        <v>17.72</v>
      </c>
      <c r="L22" t="s">
        <v>108</v>
      </c>
      <c r="M22">
        <f>Education!J19*100</f>
        <v>10</v>
      </c>
      <c r="N22" t="s">
        <v>113</v>
      </c>
    </row>
    <row r="23" spans="1:14" x14ac:dyDescent="0.2">
      <c r="B23" s="98" t="s">
        <v>118</v>
      </c>
      <c r="C23" s="96"/>
    </row>
    <row r="24" spans="1:14" x14ac:dyDescent="0.2">
      <c r="A24" t="s">
        <v>98</v>
      </c>
      <c r="B24" s="98" t="str">
        <f>CONCATENATE(D25,'Family Details'!C16,Summary!E25,'Family Details'!C19,F25,G25,H25,I25,J25,K25,L25)</f>
        <v>The monthly SIP that would be required for Sneha and Amit’s graduation planning are Rs.-86590 and Rs. -17624 respectively in a growth oriented portfolio giving a return of 11 %.</v>
      </c>
      <c r="C24" s="96"/>
    </row>
    <row r="25" spans="1:14" x14ac:dyDescent="0.2">
      <c r="D25" s="98" t="s">
        <v>109</v>
      </c>
      <c r="E25" t="s">
        <v>84</v>
      </c>
      <c r="F25" t="s">
        <v>110</v>
      </c>
      <c r="G25">
        <f>ROUND(-Education!M19,0)</f>
        <v>-86590</v>
      </c>
      <c r="H25" t="s">
        <v>111</v>
      </c>
      <c r="I25">
        <f>ROUND(-Education!M22,0)</f>
        <v>-17624</v>
      </c>
      <c r="J25" t="s">
        <v>112</v>
      </c>
      <c r="K25" s="97">
        <f>Education!L22*100</f>
        <v>11</v>
      </c>
      <c r="L25" t="s">
        <v>113</v>
      </c>
    </row>
    <row r="26" spans="1:14" ht="162" x14ac:dyDescent="0.2">
      <c r="B26" s="95" t="s">
        <v>75</v>
      </c>
      <c r="C26" s="95"/>
    </row>
    <row r="28" spans="1:14" x14ac:dyDescent="0.2">
      <c r="B28" s="96" t="s">
        <v>76</v>
      </c>
      <c r="C28" s="96"/>
    </row>
    <row r="29" spans="1:14" x14ac:dyDescent="0.2">
      <c r="B29" s="98"/>
      <c r="C29" s="96"/>
    </row>
    <row r="30" spans="1:14" x14ac:dyDescent="0.2">
      <c r="A30" t="s">
        <v>95</v>
      </c>
      <c r="B30" s="98" t="str">
        <f>CONCATENATE(D31,E31,F31,'Family Details'!C16,G31,H31,I31,'Family Details'!C19,J31,K31,L31,M31,N31)</f>
        <v>The expected expenses of marriage if considered for today is considered at Rs. 10 L. The future cost of Sneha’s marriage is Rs 14.77 L and Amit’s marriage is Rs 18.86 L, considering an inflation rate of 5 %.</v>
      </c>
      <c r="C30" s="96"/>
    </row>
    <row r="31" spans="1:14" x14ac:dyDescent="0.2">
      <c r="B31" s="98"/>
      <c r="C31" s="96"/>
      <c r="D31" s="98" t="s">
        <v>119</v>
      </c>
      <c r="E31">
        <f>ROUND(Marriage!I3/100000,2)</f>
        <v>10</v>
      </c>
      <c r="F31" t="s">
        <v>101</v>
      </c>
      <c r="G31" t="s">
        <v>120</v>
      </c>
      <c r="H31">
        <f>ROUND(Marriage!K3/100000,2)</f>
        <v>14.77</v>
      </c>
      <c r="I31" t="s">
        <v>106</v>
      </c>
      <c r="J31" t="s">
        <v>120</v>
      </c>
      <c r="K31">
        <f>ROUND(Marriage!K6/100000,2)</f>
        <v>18.86</v>
      </c>
      <c r="L31" t="s">
        <v>121</v>
      </c>
      <c r="M31" s="97">
        <f>Marriage!J3*100</f>
        <v>5</v>
      </c>
      <c r="N31" t="s">
        <v>113</v>
      </c>
    </row>
    <row r="32" spans="1:14" x14ac:dyDescent="0.2">
      <c r="B32" s="98"/>
      <c r="C32" s="96"/>
    </row>
    <row r="33" spans="1:15" x14ac:dyDescent="0.2">
      <c r="A33" t="s">
        <v>96</v>
      </c>
      <c r="B33" s="94" t="str">
        <f>CONCATENATE(D34,'Family Details'!C16,Summary!E34,'Family Details'!C19,F34,G34,H34,I34,J34,K34,L34)</f>
        <v>The monthly SIP that would be required for Sneha and Amit’s graduation planning are Rs.86590 and Rs. 17624 respectively in a growth oriented portfolio giving a return of 11 %.</v>
      </c>
      <c r="C33" s="96"/>
    </row>
    <row r="34" spans="1:15" x14ac:dyDescent="0.2">
      <c r="D34" s="98" t="s">
        <v>109</v>
      </c>
      <c r="E34" t="s">
        <v>84</v>
      </c>
      <c r="F34" t="s">
        <v>110</v>
      </c>
      <c r="G34">
        <f>ROUND(Education!M19,0)</f>
        <v>86590</v>
      </c>
      <c r="H34" t="s">
        <v>111</v>
      </c>
      <c r="I34">
        <f>ROUND(Education!M22,0)</f>
        <v>17624</v>
      </c>
      <c r="J34" t="s">
        <v>112</v>
      </c>
      <c r="K34" s="97">
        <f>Education!L19*100</f>
        <v>11</v>
      </c>
      <c r="L34" t="s">
        <v>113</v>
      </c>
    </row>
    <row r="35" spans="1:15" ht="59.25" x14ac:dyDescent="0.2">
      <c r="B35" s="95" t="s">
        <v>77</v>
      </c>
      <c r="C35" s="95"/>
    </row>
    <row r="37" spans="1:15" x14ac:dyDescent="0.2">
      <c r="B37" s="96" t="s">
        <v>58</v>
      </c>
      <c r="C37" s="96"/>
    </row>
    <row r="38" spans="1:15" x14ac:dyDescent="0.2">
      <c r="B38" s="98"/>
      <c r="C38" s="96"/>
    </row>
    <row r="39" spans="1:15" x14ac:dyDescent="0.2">
      <c r="A39" t="s">
        <v>95</v>
      </c>
      <c r="B39" s="98" t="str">
        <f>CONCATENATE('Family Details'!C8,D40,E40,F40,'Family Details'!C13,G40,H40,I40,J40,K40,L40,M40,N40,O40)</f>
        <v>Akash Agarwal needs have a life cover of Rs. 6.7 Cr which will help provide for household expenses for Priyanka from her current age of 32 to her age of 85. The expenses are expected to grow with the inflation rate of 5 % while the claim amount may be invested in a portfolio giving a return of 8 %.</v>
      </c>
      <c r="C39" s="96"/>
    </row>
    <row r="40" spans="1:15" x14ac:dyDescent="0.2">
      <c r="B40" s="98"/>
      <c r="C40" s="96"/>
      <c r="D40" s="98" t="s">
        <v>122</v>
      </c>
      <c r="E40" s="124">
        <f>ROUND(Insurance!G5/10000000,2)</f>
        <v>6.7</v>
      </c>
      <c r="F40" t="s">
        <v>174</v>
      </c>
      <c r="G40" t="s">
        <v>123</v>
      </c>
      <c r="H40">
        <f>Insurance!G3</f>
        <v>32</v>
      </c>
      <c r="I40" t="s">
        <v>124</v>
      </c>
      <c r="J40">
        <f>Insurance!K3</f>
        <v>85</v>
      </c>
      <c r="K40" t="s">
        <v>125</v>
      </c>
      <c r="L40" s="97">
        <f>Insurance!I3*100</f>
        <v>5</v>
      </c>
      <c r="M40" t="s">
        <v>126</v>
      </c>
      <c r="N40" s="97">
        <f>Insurance!J3*100</f>
        <v>8</v>
      </c>
      <c r="O40" t="s">
        <v>113</v>
      </c>
    </row>
    <row r="41" spans="1:15" x14ac:dyDescent="0.2">
      <c r="B41" s="98"/>
      <c r="C41" s="96"/>
    </row>
    <row r="42" spans="1:15" x14ac:dyDescent="0.2">
      <c r="A42" t="s">
        <v>96</v>
      </c>
      <c r="B42" s="94" t="str">
        <f>CONCATENATE(D43,'Family Details'!C13,Summary!E43,'Family Details'!C8,F43)</f>
        <v>This calculation does not take into account other future financial goals such as higher education and marriage of children. This is based on the assumption that Priyanka is financially dependent on Akash Agarwal.</v>
      </c>
      <c r="C42" s="96"/>
    </row>
    <row r="43" spans="1:15" x14ac:dyDescent="0.2">
      <c r="D43" s="98" t="s">
        <v>127</v>
      </c>
      <c r="E43" t="s">
        <v>131</v>
      </c>
      <c r="F43" t="s">
        <v>132</v>
      </c>
    </row>
    <row r="44" spans="1:15" ht="88.5" x14ac:dyDescent="0.2">
      <c r="B44" s="95" t="s">
        <v>78</v>
      </c>
      <c r="C44" s="95"/>
    </row>
    <row r="46" spans="1:15" x14ac:dyDescent="0.2">
      <c r="B46" s="96" t="s">
        <v>79</v>
      </c>
      <c r="C46" s="96"/>
    </row>
    <row r="47" spans="1:15" x14ac:dyDescent="0.2">
      <c r="C47" s="96"/>
    </row>
    <row r="48" spans="1:15" x14ac:dyDescent="0.2">
      <c r="A48" t="s">
        <v>95</v>
      </c>
      <c r="B48" s="98" t="str">
        <f>CONCATENATE('Family Details'!C8,Summary!D49,'Family Details'!C13,E49,F49,G49)</f>
        <v>Akash Agarwal and Priyanka should have a health insurance cover of Rs. 25 L for the family. A floater policy with a cashless facility should be looked. This insurance cover should be in addition to any health cover that either of them may have from their employees.</v>
      </c>
      <c r="C48" s="96"/>
    </row>
    <row r="49" spans="1:7" x14ac:dyDescent="0.2">
      <c r="D49" s="94" t="s">
        <v>84</v>
      </c>
      <c r="E49" t="s">
        <v>128</v>
      </c>
      <c r="F49">
        <f>ROUND(Comprehension!D28/100000,2)</f>
        <v>25</v>
      </c>
      <c r="G49" t="s">
        <v>175</v>
      </c>
    </row>
    <row r="50" spans="1:7" ht="30" x14ac:dyDescent="0.2">
      <c r="B50" s="95" t="s">
        <v>80</v>
      </c>
      <c r="C50" s="95"/>
    </row>
    <row r="52" spans="1:7" x14ac:dyDescent="0.2">
      <c r="B52" s="96" t="s">
        <v>81</v>
      </c>
      <c r="C52" s="96"/>
    </row>
    <row r="53" spans="1:7" x14ac:dyDescent="0.2">
      <c r="B53" s="98"/>
      <c r="C53" s="96"/>
    </row>
    <row r="54" spans="1:7" x14ac:dyDescent="0.2">
      <c r="A54" t="s">
        <v>95</v>
      </c>
      <c r="B54" s="98" t="str">
        <f>CONCATENATE(D55,E55,Summary!F55)</f>
        <v>An emergency fund of Rs. 24 L, which is 12 times the monthly household expenses need to be created to take care of any exigencies, such loss of job, reduction in income, state of health leading to loss of income. This fund should ideally be in a liquid fund and should not be drawn from, except in any case of emergencies for which it was created.</v>
      </c>
      <c r="C54" s="96"/>
    </row>
    <row r="55" spans="1:7" x14ac:dyDescent="0.2">
      <c r="D55" s="98" t="s">
        <v>129</v>
      </c>
      <c r="E55">
        <f>ROUND(Comprehension!D29/100000,2)</f>
        <v>24</v>
      </c>
      <c r="F55" t="s">
        <v>130</v>
      </c>
    </row>
    <row r="56" spans="1:7" ht="45" x14ac:dyDescent="0.2">
      <c r="B56" s="95" t="s">
        <v>82</v>
      </c>
      <c r="C56" s="95"/>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Excel Android</Application>
  <DocSecurity>0</DocSecurity>
  <ScaleCrop>false</ScaleCrop>
  <HeadingPairs>
    <vt:vector size="4" baseType="variant">
      <vt:variant>
        <vt:lpstr>Worksheets</vt:lpstr>
      </vt:variant>
      <vt:variant>
        <vt:i4>2</vt:i4>
      </vt:variant>
      <vt:variant>
        <vt:lpstr>Named Ranges</vt:lpstr>
      </vt:variant>
      <vt:variant>
        <vt:i4>10</vt:i4>
      </vt:variant>
    </vt:vector>
  </HeadingPairs>
  <TitlesOfParts>
    <vt:vector size="12" baseType="lpstr">
      <vt:lpstr>Family Details</vt:lpstr>
      <vt:lpstr>Report</vt:lpstr>
      <vt:lpstr>Comprehension!Print_Area</vt:lpstr>
      <vt:lpstr>Cover!Print_Area</vt:lpstr>
      <vt:lpstr>Education!Print_Area</vt:lpstr>
      <vt:lpstr>Family Details!Print_Area</vt:lpstr>
      <vt:lpstr>Insurance!Print_Area</vt:lpstr>
      <vt:lpstr>Marriage!Print_Area</vt:lpstr>
      <vt:lpstr>Report!Print_Area</vt:lpstr>
      <vt:lpstr>Retirement!Print_Area</vt:lpstr>
      <vt:lpstr>Summary!Print_Area</vt:lpstr>
      <vt:lpstr>Working!Print_Area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RAHUL BANERJEE</dc:creator>
  <cp:lastModifiedBy>Siddhi Mukim</cp:lastModifiedBy>
  <cp:lastPrinted>2022-04-06T06:51:36Z</cp:lastPrinted>
  <dcterms:created xsi:type="dcterms:W3CDTF">2020-11-02T15:09:02Z</dcterms:created>
  <dcterms:modified xsi:type="dcterms:W3CDTF">2022-04-06T08:40:16Z</dcterms:modified>
</cp:coreProperties>
</file>