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8800" windowHeight="16620" tabRatio="500"/>
  </bookViews>
  <sheets>
    <sheet name="LaTEX table" sheetId="1" r:id="rId1"/>
    <sheet name="Evans-style worksheet" sheetId="3" r:id="rId2"/>
    <sheet name="data for IPython csv" sheetId="7" r:id="rId3"/>
    <sheet name="MagIC_SiteTable" sheetId="6" r:id="rId4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41" i="6" l="1"/>
  <c r="BF41" i="6"/>
  <c r="BG27" i="6"/>
  <c r="BF27" i="6"/>
  <c r="BG23" i="6"/>
  <c r="BF23" i="6"/>
  <c r="BG20" i="6"/>
  <c r="BF20" i="6"/>
  <c r="BG16" i="6"/>
  <c r="BF16" i="6"/>
  <c r="BG10" i="6"/>
  <c r="BF10" i="6"/>
  <c r="C100" i="7"/>
  <c r="C99" i="7"/>
  <c r="C98" i="7"/>
  <c r="C97" i="7"/>
  <c r="C96" i="7"/>
  <c r="C95" i="7"/>
  <c r="C94" i="7"/>
  <c r="C93" i="7"/>
  <c r="C92" i="7"/>
  <c r="C91" i="7"/>
  <c r="C89" i="7"/>
  <c r="C88" i="7"/>
  <c r="C87" i="7"/>
  <c r="C86" i="7"/>
  <c r="C85" i="7"/>
  <c r="C44" i="7"/>
  <c r="C43" i="7"/>
  <c r="E37" i="7"/>
  <c r="D37" i="7"/>
  <c r="C37" i="7"/>
  <c r="C35" i="7"/>
  <c r="E23" i="7"/>
  <c r="D23" i="7"/>
  <c r="C23" i="7"/>
  <c r="E19" i="7"/>
  <c r="D19" i="7"/>
  <c r="C19" i="7"/>
  <c r="E16" i="7"/>
  <c r="D16" i="7"/>
  <c r="E12" i="7"/>
  <c r="D12" i="7"/>
  <c r="C12" i="7"/>
  <c r="C10" i="7"/>
  <c r="C9" i="7"/>
  <c r="C8" i="7"/>
  <c r="E6" i="7"/>
  <c r="D6" i="7"/>
  <c r="C6" i="7"/>
  <c r="C4" i="7"/>
  <c r="C3" i="7"/>
  <c r="AI105" i="3"/>
  <c r="AI104" i="3"/>
  <c r="AI103" i="3"/>
  <c r="AI102" i="3"/>
  <c r="AI101" i="3"/>
  <c r="AI100" i="3"/>
  <c r="AI99" i="3"/>
  <c r="AI98" i="3"/>
  <c r="AI97" i="3"/>
  <c r="AI96" i="3"/>
  <c r="AI94" i="3"/>
  <c r="AI93" i="3"/>
  <c r="AI92" i="3"/>
  <c r="AI91" i="3"/>
  <c r="AI90" i="3"/>
  <c r="AI49" i="3"/>
  <c r="AI48" i="3"/>
  <c r="BG42" i="3"/>
  <c r="BF42" i="3"/>
  <c r="AI42" i="3"/>
  <c r="AI40" i="3"/>
  <c r="BG28" i="3"/>
  <c r="BF28" i="3"/>
  <c r="AI28" i="3"/>
  <c r="BG24" i="3"/>
  <c r="BF24" i="3"/>
  <c r="AI24" i="3"/>
  <c r="BG21" i="3"/>
  <c r="BF21" i="3"/>
  <c r="BG17" i="3"/>
  <c r="BF17" i="3"/>
  <c r="AI17" i="3"/>
  <c r="AI15" i="3"/>
  <c r="AI14" i="3"/>
  <c r="AI13" i="3"/>
  <c r="BG11" i="3"/>
  <c r="BF11" i="3"/>
  <c r="AI11" i="3"/>
  <c r="AI9" i="3"/>
  <c r="AI8" i="3"/>
  <c r="E100" i="1"/>
  <c r="E99" i="1"/>
  <c r="E98" i="1"/>
  <c r="E97" i="1"/>
  <c r="E95" i="1"/>
  <c r="E96" i="1"/>
  <c r="E94" i="1"/>
  <c r="E93" i="1"/>
  <c r="E92" i="1"/>
  <c r="E91" i="1"/>
  <c r="J71" i="3"/>
  <c r="I71" i="3"/>
  <c r="L71" i="3"/>
  <c r="J70" i="3"/>
  <c r="I70" i="3"/>
  <c r="L70" i="3"/>
  <c r="J7" i="3"/>
  <c r="I7" i="3"/>
  <c r="L7" i="3"/>
  <c r="J8" i="3"/>
  <c r="I8" i="3"/>
  <c r="L8" i="3"/>
  <c r="J9" i="3"/>
  <c r="I9" i="3"/>
  <c r="L9" i="3"/>
  <c r="J10" i="3"/>
  <c r="I10" i="3"/>
  <c r="L10" i="3"/>
  <c r="J11" i="3"/>
  <c r="I11" i="3"/>
  <c r="L11" i="3"/>
  <c r="J12" i="3"/>
  <c r="I12" i="3"/>
  <c r="L12" i="3"/>
  <c r="J13" i="3"/>
  <c r="I13" i="3"/>
  <c r="L13" i="3"/>
  <c r="J14" i="3"/>
  <c r="I14" i="3"/>
  <c r="L14" i="3"/>
  <c r="J15" i="3"/>
  <c r="I15" i="3"/>
  <c r="L15" i="3"/>
  <c r="J16" i="3"/>
  <c r="I16" i="3"/>
  <c r="L16" i="3"/>
  <c r="J17" i="3"/>
  <c r="I17" i="3"/>
  <c r="L17" i="3"/>
  <c r="J18" i="3"/>
  <c r="I18" i="3"/>
  <c r="L18" i="3"/>
  <c r="J19" i="3"/>
  <c r="I19" i="3"/>
  <c r="L19" i="3"/>
  <c r="J20" i="3"/>
  <c r="I20" i="3"/>
  <c r="L20" i="3"/>
  <c r="J21" i="3"/>
  <c r="I21" i="3"/>
  <c r="L21" i="3"/>
  <c r="J22" i="3"/>
  <c r="I22" i="3"/>
  <c r="L22" i="3"/>
  <c r="J23" i="3"/>
  <c r="I23" i="3"/>
  <c r="L23" i="3"/>
  <c r="J24" i="3"/>
  <c r="I24" i="3"/>
  <c r="L24" i="3"/>
  <c r="J25" i="3"/>
  <c r="I25" i="3"/>
  <c r="L25" i="3"/>
  <c r="J26" i="3"/>
  <c r="I26" i="3"/>
  <c r="L26" i="3"/>
  <c r="J27" i="3"/>
  <c r="I27" i="3"/>
  <c r="L27" i="3"/>
  <c r="J28" i="3"/>
  <c r="I28" i="3"/>
  <c r="L28" i="3"/>
  <c r="J29" i="3"/>
  <c r="I29" i="3"/>
  <c r="L29" i="3"/>
  <c r="J30" i="3"/>
  <c r="I30" i="3"/>
  <c r="L30" i="3"/>
  <c r="J31" i="3"/>
  <c r="I31" i="3"/>
  <c r="L31" i="3"/>
  <c r="J32" i="3"/>
  <c r="I32" i="3"/>
  <c r="L32" i="3"/>
  <c r="J33" i="3"/>
  <c r="I33" i="3"/>
  <c r="L33" i="3"/>
  <c r="J34" i="3"/>
  <c r="I34" i="3"/>
  <c r="L34" i="3"/>
  <c r="J35" i="3"/>
  <c r="I35" i="3"/>
  <c r="L35" i="3"/>
  <c r="J36" i="3"/>
  <c r="I36" i="3"/>
  <c r="L36" i="3"/>
  <c r="J37" i="3"/>
  <c r="I37" i="3"/>
  <c r="L37" i="3"/>
  <c r="J38" i="3"/>
  <c r="I38" i="3"/>
  <c r="L38" i="3"/>
  <c r="J39" i="3"/>
  <c r="I39" i="3"/>
  <c r="L39" i="3"/>
  <c r="J40" i="3"/>
  <c r="I40" i="3"/>
  <c r="L40" i="3"/>
  <c r="J41" i="3"/>
  <c r="I41" i="3"/>
  <c r="L41" i="3"/>
  <c r="J42" i="3"/>
  <c r="I42" i="3"/>
  <c r="L42" i="3"/>
  <c r="J43" i="3"/>
  <c r="I43" i="3"/>
  <c r="L43" i="3"/>
  <c r="J44" i="3"/>
  <c r="I44" i="3"/>
  <c r="L44" i="3"/>
  <c r="J45" i="3"/>
  <c r="I45" i="3"/>
  <c r="L45" i="3"/>
  <c r="J46" i="3"/>
  <c r="I46" i="3"/>
  <c r="L46" i="3"/>
  <c r="J47" i="3"/>
  <c r="I47" i="3"/>
  <c r="L47" i="3"/>
  <c r="J48" i="3"/>
  <c r="I48" i="3"/>
  <c r="L48" i="3"/>
  <c r="J49" i="3"/>
  <c r="I49" i="3"/>
  <c r="L49" i="3"/>
  <c r="J50" i="3"/>
  <c r="I50" i="3"/>
  <c r="L50" i="3"/>
  <c r="J51" i="3"/>
  <c r="I51" i="3"/>
  <c r="L51" i="3"/>
  <c r="J52" i="3"/>
  <c r="I52" i="3"/>
  <c r="L52" i="3"/>
  <c r="J53" i="3"/>
  <c r="I53" i="3"/>
  <c r="L53" i="3"/>
  <c r="J54" i="3"/>
  <c r="I54" i="3"/>
  <c r="L54" i="3"/>
  <c r="J55" i="3"/>
  <c r="I55" i="3"/>
  <c r="L55" i="3"/>
  <c r="J56" i="3"/>
  <c r="I56" i="3"/>
  <c r="L56" i="3"/>
  <c r="J57" i="3"/>
  <c r="I57" i="3"/>
  <c r="L57" i="3"/>
  <c r="J58" i="3"/>
  <c r="I58" i="3"/>
  <c r="L58" i="3"/>
  <c r="J59" i="3"/>
  <c r="I59" i="3"/>
  <c r="L59" i="3"/>
  <c r="J60" i="3"/>
  <c r="I60" i="3"/>
  <c r="L60" i="3"/>
  <c r="J61" i="3"/>
  <c r="I61" i="3"/>
  <c r="L61" i="3"/>
  <c r="J62" i="3"/>
  <c r="I62" i="3"/>
  <c r="L62" i="3"/>
  <c r="J63" i="3"/>
  <c r="I63" i="3"/>
  <c r="L63" i="3"/>
  <c r="J64" i="3"/>
  <c r="I64" i="3"/>
  <c r="L64" i="3"/>
  <c r="J65" i="3"/>
  <c r="I65" i="3"/>
  <c r="L65" i="3"/>
  <c r="J66" i="3"/>
  <c r="I66" i="3"/>
  <c r="L66" i="3"/>
  <c r="J67" i="3"/>
  <c r="I67" i="3"/>
  <c r="L67" i="3"/>
  <c r="J68" i="3"/>
  <c r="I68" i="3"/>
  <c r="L68" i="3"/>
  <c r="J69" i="3"/>
  <c r="I69" i="3"/>
  <c r="L69" i="3"/>
  <c r="J72" i="3"/>
  <c r="I72" i="3"/>
  <c r="L72" i="3"/>
  <c r="J73" i="3"/>
  <c r="I73" i="3"/>
  <c r="L73" i="3"/>
  <c r="J74" i="3"/>
  <c r="I74" i="3"/>
  <c r="L74" i="3"/>
  <c r="J75" i="3"/>
  <c r="I75" i="3"/>
  <c r="L75" i="3"/>
  <c r="J76" i="3"/>
  <c r="I76" i="3"/>
  <c r="L76" i="3"/>
  <c r="J77" i="3"/>
  <c r="I77" i="3"/>
  <c r="L77" i="3"/>
  <c r="J78" i="3"/>
  <c r="I78" i="3"/>
  <c r="L78" i="3"/>
  <c r="J79" i="3"/>
  <c r="I79" i="3"/>
  <c r="L79" i="3"/>
  <c r="J80" i="3"/>
  <c r="I80" i="3"/>
  <c r="L80" i="3"/>
  <c r="J81" i="3"/>
  <c r="I81" i="3"/>
  <c r="L81" i="3"/>
  <c r="J82" i="3"/>
  <c r="I82" i="3"/>
  <c r="L82" i="3"/>
  <c r="J83" i="3"/>
  <c r="I83" i="3"/>
  <c r="L83" i="3"/>
  <c r="J84" i="3"/>
  <c r="I84" i="3"/>
  <c r="L84" i="3"/>
  <c r="J85" i="3"/>
  <c r="I85" i="3"/>
  <c r="L85" i="3"/>
  <c r="J86" i="3"/>
  <c r="I86" i="3"/>
  <c r="L86" i="3"/>
  <c r="J87" i="3"/>
  <c r="I87" i="3"/>
  <c r="L87" i="3"/>
  <c r="J88" i="3"/>
  <c r="I88" i="3"/>
  <c r="L88" i="3"/>
  <c r="J89" i="3"/>
  <c r="I89" i="3"/>
  <c r="L89" i="3"/>
  <c r="J90" i="3"/>
  <c r="I90" i="3"/>
  <c r="L90" i="3"/>
  <c r="J91" i="3"/>
  <c r="I91" i="3"/>
  <c r="L91" i="3"/>
  <c r="J92" i="3"/>
  <c r="I92" i="3"/>
  <c r="L92" i="3"/>
  <c r="J93" i="3"/>
  <c r="I93" i="3"/>
  <c r="L93" i="3"/>
  <c r="J94" i="3"/>
  <c r="I94" i="3"/>
  <c r="L94" i="3"/>
  <c r="J95" i="3"/>
  <c r="I95" i="3"/>
  <c r="L95" i="3"/>
  <c r="J96" i="3"/>
  <c r="I96" i="3"/>
  <c r="L96" i="3"/>
  <c r="J97" i="3"/>
  <c r="I97" i="3"/>
  <c r="L97" i="3"/>
  <c r="J98" i="3"/>
  <c r="I98" i="3"/>
  <c r="L98" i="3"/>
  <c r="J99" i="3"/>
  <c r="I99" i="3"/>
  <c r="L99" i="3"/>
  <c r="J100" i="3"/>
  <c r="I100" i="3"/>
  <c r="L100" i="3"/>
  <c r="J101" i="3"/>
  <c r="I101" i="3"/>
  <c r="L101" i="3"/>
  <c r="J102" i="3"/>
  <c r="I102" i="3"/>
  <c r="L102" i="3"/>
  <c r="J103" i="3"/>
  <c r="I103" i="3"/>
  <c r="L103" i="3"/>
  <c r="J104" i="3"/>
  <c r="I104" i="3"/>
  <c r="L104" i="3"/>
  <c r="J105" i="3"/>
  <c r="I105" i="3"/>
  <c r="L105" i="3"/>
  <c r="L107" i="3"/>
  <c r="M71" i="3"/>
  <c r="M70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7" i="3"/>
  <c r="K71" i="3"/>
  <c r="K70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7" i="3"/>
  <c r="J107" i="3"/>
  <c r="H71" i="3"/>
  <c r="U71" i="3"/>
  <c r="W71" i="3"/>
  <c r="Y71" i="3"/>
  <c r="S71" i="3"/>
  <c r="R71" i="3"/>
  <c r="V71" i="3"/>
  <c r="X71" i="3"/>
  <c r="Z71" i="3"/>
  <c r="AB71" i="3"/>
  <c r="H70" i="3"/>
  <c r="U70" i="3"/>
  <c r="W70" i="3"/>
  <c r="Y70" i="3"/>
  <c r="S70" i="3"/>
  <c r="R70" i="3"/>
  <c r="V70" i="3"/>
  <c r="X70" i="3"/>
  <c r="Z70" i="3"/>
  <c r="AB70" i="3"/>
  <c r="H7" i="3"/>
  <c r="U7" i="3"/>
  <c r="W7" i="3"/>
  <c r="Y7" i="3"/>
  <c r="S7" i="3"/>
  <c r="R7" i="3"/>
  <c r="V7" i="3"/>
  <c r="X7" i="3"/>
  <c r="Z7" i="3"/>
  <c r="AB7" i="3"/>
  <c r="H8" i="3"/>
  <c r="U8" i="3"/>
  <c r="W8" i="3"/>
  <c r="Y8" i="3"/>
  <c r="S8" i="3"/>
  <c r="R8" i="3"/>
  <c r="V8" i="3"/>
  <c r="X8" i="3"/>
  <c r="Z8" i="3"/>
  <c r="AB8" i="3"/>
  <c r="H9" i="3"/>
  <c r="U9" i="3"/>
  <c r="W9" i="3"/>
  <c r="Y9" i="3"/>
  <c r="S9" i="3"/>
  <c r="R9" i="3"/>
  <c r="V9" i="3"/>
  <c r="X9" i="3"/>
  <c r="Z9" i="3"/>
  <c r="AB9" i="3"/>
  <c r="H10" i="3"/>
  <c r="U10" i="3"/>
  <c r="W10" i="3"/>
  <c r="Y10" i="3"/>
  <c r="S10" i="3"/>
  <c r="R10" i="3"/>
  <c r="V10" i="3"/>
  <c r="X10" i="3"/>
  <c r="Z10" i="3"/>
  <c r="AB10" i="3"/>
  <c r="H11" i="3"/>
  <c r="U11" i="3"/>
  <c r="W11" i="3"/>
  <c r="Y11" i="3"/>
  <c r="S11" i="3"/>
  <c r="R11" i="3"/>
  <c r="V11" i="3"/>
  <c r="X11" i="3"/>
  <c r="Z11" i="3"/>
  <c r="AB11" i="3"/>
  <c r="H12" i="3"/>
  <c r="U12" i="3"/>
  <c r="W12" i="3"/>
  <c r="Y12" i="3"/>
  <c r="S12" i="3"/>
  <c r="R12" i="3"/>
  <c r="V12" i="3"/>
  <c r="X12" i="3"/>
  <c r="Z12" i="3"/>
  <c r="AB12" i="3"/>
  <c r="H13" i="3"/>
  <c r="U13" i="3"/>
  <c r="W13" i="3"/>
  <c r="Y13" i="3"/>
  <c r="S13" i="3"/>
  <c r="R13" i="3"/>
  <c r="V13" i="3"/>
  <c r="X13" i="3"/>
  <c r="Z13" i="3"/>
  <c r="AB13" i="3"/>
  <c r="H14" i="3"/>
  <c r="U14" i="3"/>
  <c r="W14" i="3"/>
  <c r="Y14" i="3"/>
  <c r="S14" i="3"/>
  <c r="R14" i="3"/>
  <c r="V14" i="3"/>
  <c r="X14" i="3"/>
  <c r="Z14" i="3"/>
  <c r="AB14" i="3"/>
  <c r="H15" i="3"/>
  <c r="U15" i="3"/>
  <c r="W15" i="3"/>
  <c r="Y15" i="3"/>
  <c r="S15" i="3"/>
  <c r="R15" i="3"/>
  <c r="V15" i="3"/>
  <c r="X15" i="3"/>
  <c r="Z15" i="3"/>
  <c r="AB15" i="3"/>
  <c r="H16" i="3"/>
  <c r="U16" i="3"/>
  <c r="W16" i="3"/>
  <c r="Y16" i="3"/>
  <c r="S16" i="3"/>
  <c r="R16" i="3"/>
  <c r="V16" i="3"/>
  <c r="X16" i="3"/>
  <c r="Z16" i="3"/>
  <c r="AB16" i="3"/>
  <c r="H17" i="3"/>
  <c r="U17" i="3"/>
  <c r="W17" i="3"/>
  <c r="Y17" i="3"/>
  <c r="S17" i="3"/>
  <c r="R17" i="3"/>
  <c r="V17" i="3"/>
  <c r="X17" i="3"/>
  <c r="Z17" i="3"/>
  <c r="AB17" i="3"/>
  <c r="H18" i="3"/>
  <c r="U18" i="3"/>
  <c r="W18" i="3"/>
  <c r="Y18" i="3"/>
  <c r="S18" i="3"/>
  <c r="R18" i="3"/>
  <c r="V18" i="3"/>
  <c r="X18" i="3"/>
  <c r="Z18" i="3"/>
  <c r="AB18" i="3"/>
  <c r="H19" i="3"/>
  <c r="U19" i="3"/>
  <c r="W19" i="3"/>
  <c r="Y19" i="3"/>
  <c r="S19" i="3"/>
  <c r="R19" i="3"/>
  <c r="V19" i="3"/>
  <c r="X19" i="3"/>
  <c r="Z19" i="3"/>
  <c r="AB19" i="3"/>
  <c r="H20" i="3"/>
  <c r="U20" i="3"/>
  <c r="W20" i="3"/>
  <c r="Y20" i="3"/>
  <c r="S20" i="3"/>
  <c r="R20" i="3"/>
  <c r="V20" i="3"/>
  <c r="X20" i="3"/>
  <c r="Z20" i="3"/>
  <c r="AB20" i="3"/>
  <c r="H21" i="3"/>
  <c r="U21" i="3"/>
  <c r="W21" i="3"/>
  <c r="Y21" i="3"/>
  <c r="S21" i="3"/>
  <c r="R21" i="3"/>
  <c r="V21" i="3"/>
  <c r="X21" i="3"/>
  <c r="Z21" i="3"/>
  <c r="AB21" i="3"/>
  <c r="H22" i="3"/>
  <c r="U22" i="3"/>
  <c r="W22" i="3"/>
  <c r="Y22" i="3"/>
  <c r="S22" i="3"/>
  <c r="R22" i="3"/>
  <c r="V22" i="3"/>
  <c r="X22" i="3"/>
  <c r="Z22" i="3"/>
  <c r="AB22" i="3"/>
  <c r="H23" i="3"/>
  <c r="U23" i="3"/>
  <c r="W23" i="3"/>
  <c r="Y23" i="3"/>
  <c r="S23" i="3"/>
  <c r="R23" i="3"/>
  <c r="V23" i="3"/>
  <c r="X23" i="3"/>
  <c r="Z23" i="3"/>
  <c r="AB23" i="3"/>
  <c r="H24" i="3"/>
  <c r="U24" i="3"/>
  <c r="W24" i="3"/>
  <c r="Y24" i="3"/>
  <c r="S24" i="3"/>
  <c r="R24" i="3"/>
  <c r="V24" i="3"/>
  <c r="X24" i="3"/>
  <c r="Z24" i="3"/>
  <c r="AB24" i="3"/>
  <c r="H25" i="3"/>
  <c r="U25" i="3"/>
  <c r="W25" i="3"/>
  <c r="Y25" i="3"/>
  <c r="S25" i="3"/>
  <c r="R25" i="3"/>
  <c r="V25" i="3"/>
  <c r="X25" i="3"/>
  <c r="Z25" i="3"/>
  <c r="AB25" i="3"/>
  <c r="H26" i="3"/>
  <c r="U26" i="3"/>
  <c r="W26" i="3"/>
  <c r="Y26" i="3"/>
  <c r="S26" i="3"/>
  <c r="R26" i="3"/>
  <c r="V26" i="3"/>
  <c r="X26" i="3"/>
  <c r="Z26" i="3"/>
  <c r="AB26" i="3"/>
  <c r="H27" i="3"/>
  <c r="U27" i="3"/>
  <c r="W27" i="3"/>
  <c r="Y27" i="3"/>
  <c r="S27" i="3"/>
  <c r="R27" i="3"/>
  <c r="V27" i="3"/>
  <c r="X27" i="3"/>
  <c r="Z27" i="3"/>
  <c r="AB27" i="3"/>
  <c r="H28" i="3"/>
  <c r="U28" i="3"/>
  <c r="W28" i="3"/>
  <c r="Y28" i="3"/>
  <c r="S28" i="3"/>
  <c r="R28" i="3"/>
  <c r="V28" i="3"/>
  <c r="X28" i="3"/>
  <c r="Z28" i="3"/>
  <c r="AB28" i="3"/>
  <c r="H29" i="3"/>
  <c r="U29" i="3"/>
  <c r="W29" i="3"/>
  <c r="Y29" i="3"/>
  <c r="S29" i="3"/>
  <c r="R29" i="3"/>
  <c r="V29" i="3"/>
  <c r="X29" i="3"/>
  <c r="Z29" i="3"/>
  <c r="AB29" i="3"/>
  <c r="H30" i="3"/>
  <c r="U30" i="3"/>
  <c r="W30" i="3"/>
  <c r="Y30" i="3"/>
  <c r="S30" i="3"/>
  <c r="R30" i="3"/>
  <c r="V30" i="3"/>
  <c r="X30" i="3"/>
  <c r="Z30" i="3"/>
  <c r="AB30" i="3"/>
  <c r="H31" i="3"/>
  <c r="U31" i="3"/>
  <c r="W31" i="3"/>
  <c r="Y31" i="3"/>
  <c r="S31" i="3"/>
  <c r="R31" i="3"/>
  <c r="V31" i="3"/>
  <c r="X31" i="3"/>
  <c r="Z31" i="3"/>
  <c r="AB31" i="3"/>
  <c r="H32" i="3"/>
  <c r="U32" i="3"/>
  <c r="W32" i="3"/>
  <c r="Y32" i="3"/>
  <c r="S32" i="3"/>
  <c r="R32" i="3"/>
  <c r="V32" i="3"/>
  <c r="X32" i="3"/>
  <c r="Z32" i="3"/>
  <c r="AB32" i="3"/>
  <c r="H33" i="3"/>
  <c r="U33" i="3"/>
  <c r="W33" i="3"/>
  <c r="Y33" i="3"/>
  <c r="S33" i="3"/>
  <c r="R33" i="3"/>
  <c r="V33" i="3"/>
  <c r="X33" i="3"/>
  <c r="Z33" i="3"/>
  <c r="AB33" i="3"/>
  <c r="H34" i="3"/>
  <c r="U34" i="3"/>
  <c r="W34" i="3"/>
  <c r="Y34" i="3"/>
  <c r="S34" i="3"/>
  <c r="R34" i="3"/>
  <c r="V34" i="3"/>
  <c r="X34" i="3"/>
  <c r="Z34" i="3"/>
  <c r="AB34" i="3"/>
  <c r="H35" i="3"/>
  <c r="U35" i="3"/>
  <c r="W35" i="3"/>
  <c r="Y35" i="3"/>
  <c r="S35" i="3"/>
  <c r="R35" i="3"/>
  <c r="V35" i="3"/>
  <c r="X35" i="3"/>
  <c r="Z35" i="3"/>
  <c r="AB35" i="3"/>
  <c r="H36" i="3"/>
  <c r="U36" i="3"/>
  <c r="W36" i="3"/>
  <c r="Y36" i="3"/>
  <c r="S36" i="3"/>
  <c r="R36" i="3"/>
  <c r="V36" i="3"/>
  <c r="X36" i="3"/>
  <c r="Z36" i="3"/>
  <c r="AB36" i="3"/>
  <c r="H37" i="3"/>
  <c r="U37" i="3"/>
  <c r="W37" i="3"/>
  <c r="Y37" i="3"/>
  <c r="S37" i="3"/>
  <c r="R37" i="3"/>
  <c r="V37" i="3"/>
  <c r="X37" i="3"/>
  <c r="Z37" i="3"/>
  <c r="AB37" i="3"/>
  <c r="H38" i="3"/>
  <c r="U38" i="3"/>
  <c r="W38" i="3"/>
  <c r="Y38" i="3"/>
  <c r="S38" i="3"/>
  <c r="R38" i="3"/>
  <c r="V38" i="3"/>
  <c r="X38" i="3"/>
  <c r="Z38" i="3"/>
  <c r="AB38" i="3"/>
  <c r="H39" i="3"/>
  <c r="U39" i="3"/>
  <c r="W39" i="3"/>
  <c r="Y39" i="3"/>
  <c r="S39" i="3"/>
  <c r="R39" i="3"/>
  <c r="V39" i="3"/>
  <c r="X39" i="3"/>
  <c r="Z39" i="3"/>
  <c r="AB39" i="3"/>
  <c r="H40" i="3"/>
  <c r="U40" i="3"/>
  <c r="W40" i="3"/>
  <c r="Y40" i="3"/>
  <c r="S40" i="3"/>
  <c r="R40" i="3"/>
  <c r="V40" i="3"/>
  <c r="X40" i="3"/>
  <c r="Z40" i="3"/>
  <c r="AB40" i="3"/>
  <c r="H41" i="3"/>
  <c r="U41" i="3"/>
  <c r="W41" i="3"/>
  <c r="Y41" i="3"/>
  <c r="S41" i="3"/>
  <c r="R41" i="3"/>
  <c r="V41" i="3"/>
  <c r="X41" i="3"/>
  <c r="Z41" i="3"/>
  <c r="AB41" i="3"/>
  <c r="H42" i="3"/>
  <c r="U42" i="3"/>
  <c r="W42" i="3"/>
  <c r="Y42" i="3"/>
  <c r="S42" i="3"/>
  <c r="R42" i="3"/>
  <c r="V42" i="3"/>
  <c r="X42" i="3"/>
  <c r="Z42" i="3"/>
  <c r="AB42" i="3"/>
  <c r="H43" i="3"/>
  <c r="U43" i="3"/>
  <c r="W43" i="3"/>
  <c r="Y43" i="3"/>
  <c r="S43" i="3"/>
  <c r="R43" i="3"/>
  <c r="V43" i="3"/>
  <c r="X43" i="3"/>
  <c r="Z43" i="3"/>
  <c r="AB43" i="3"/>
  <c r="H44" i="3"/>
  <c r="U44" i="3"/>
  <c r="W44" i="3"/>
  <c r="Y44" i="3"/>
  <c r="S44" i="3"/>
  <c r="R44" i="3"/>
  <c r="V44" i="3"/>
  <c r="X44" i="3"/>
  <c r="Z44" i="3"/>
  <c r="AB44" i="3"/>
  <c r="H45" i="3"/>
  <c r="U45" i="3"/>
  <c r="W45" i="3"/>
  <c r="Y45" i="3"/>
  <c r="S45" i="3"/>
  <c r="R45" i="3"/>
  <c r="V45" i="3"/>
  <c r="X45" i="3"/>
  <c r="Z45" i="3"/>
  <c r="AB45" i="3"/>
  <c r="H46" i="3"/>
  <c r="U46" i="3"/>
  <c r="W46" i="3"/>
  <c r="Y46" i="3"/>
  <c r="S46" i="3"/>
  <c r="R46" i="3"/>
  <c r="V46" i="3"/>
  <c r="X46" i="3"/>
  <c r="Z46" i="3"/>
  <c r="AB46" i="3"/>
  <c r="H47" i="3"/>
  <c r="U47" i="3"/>
  <c r="W47" i="3"/>
  <c r="Y47" i="3"/>
  <c r="S47" i="3"/>
  <c r="R47" i="3"/>
  <c r="V47" i="3"/>
  <c r="X47" i="3"/>
  <c r="Z47" i="3"/>
  <c r="AB47" i="3"/>
  <c r="H48" i="3"/>
  <c r="U48" i="3"/>
  <c r="W48" i="3"/>
  <c r="Y48" i="3"/>
  <c r="S48" i="3"/>
  <c r="R48" i="3"/>
  <c r="V48" i="3"/>
  <c r="X48" i="3"/>
  <c r="Z48" i="3"/>
  <c r="AB48" i="3"/>
  <c r="H49" i="3"/>
  <c r="U49" i="3"/>
  <c r="W49" i="3"/>
  <c r="Y49" i="3"/>
  <c r="S49" i="3"/>
  <c r="R49" i="3"/>
  <c r="V49" i="3"/>
  <c r="X49" i="3"/>
  <c r="Z49" i="3"/>
  <c r="AB49" i="3"/>
  <c r="H50" i="3"/>
  <c r="U50" i="3"/>
  <c r="W50" i="3"/>
  <c r="Y50" i="3"/>
  <c r="S50" i="3"/>
  <c r="R50" i="3"/>
  <c r="V50" i="3"/>
  <c r="X50" i="3"/>
  <c r="Z50" i="3"/>
  <c r="AB50" i="3"/>
  <c r="H51" i="3"/>
  <c r="U51" i="3"/>
  <c r="W51" i="3"/>
  <c r="Y51" i="3"/>
  <c r="S51" i="3"/>
  <c r="R51" i="3"/>
  <c r="V51" i="3"/>
  <c r="X51" i="3"/>
  <c r="Z51" i="3"/>
  <c r="AB51" i="3"/>
  <c r="H52" i="3"/>
  <c r="U52" i="3"/>
  <c r="W52" i="3"/>
  <c r="Y52" i="3"/>
  <c r="S52" i="3"/>
  <c r="R52" i="3"/>
  <c r="V52" i="3"/>
  <c r="X52" i="3"/>
  <c r="Z52" i="3"/>
  <c r="AB52" i="3"/>
  <c r="H53" i="3"/>
  <c r="U53" i="3"/>
  <c r="W53" i="3"/>
  <c r="Y53" i="3"/>
  <c r="S53" i="3"/>
  <c r="R53" i="3"/>
  <c r="V53" i="3"/>
  <c r="X53" i="3"/>
  <c r="Z53" i="3"/>
  <c r="AB53" i="3"/>
  <c r="H54" i="3"/>
  <c r="U54" i="3"/>
  <c r="W54" i="3"/>
  <c r="Y54" i="3"/>
  <c r="S54" i="3"/>
  <c r="R54" i="3"/>
  <c r="V54" i="3"/>
  <c r="X54" i="3"/>
  <c r="Z54" i="3"/>
  <c r="AB54" i="3"/>
  <c r="H55" i="3"/>
  <c r="U55" i="3"/>
  <c r="W55" i="3"/>
  <c r="Y55" i="3"/>
  <c r="S55" i="3"/>
  <c r="R55" i="3"/>
  <c r="V55" i="3"/>
  <c r="X55" i="3"/>
  <c r="Z55" i="3"/>
  <c r="AB55" i="3"/>
  <c r="H56" i="3"/>
  <c r="U56" i="3"/>
  <c r="W56" i="3"/>
  <c r="Y56" i="3"/>
  <c r="S56" i="3"/>
  <c r="R56" i="3"/>
  <c r="V56" i="3"/>
  <c r="X56" i="3"/>
  <c r="Z56" i="3"/>
  <c r="AB56" i="3"/>
  <c r="H57" i="3"/>
  <c r="U57" i="3"/>
  <c r="W57" i="3"/>
  <c r="Y57" i="3"/>
  <c r="S57" i="3"/>
  <c r="R57" i="3"/>
  <c r="V57" i="3"/>
  <c r="X57" i="3"/>
  <c r="Z57" i="3"/>
  <c r="AB57" i="3"/>
  <c r="H58" i="3"/>
  <c r="U58" i="3"/>
  <c r="W58" i="3"/>
  <c r="Y58" i="3"/>
  <c r="S58" i="3"/>
  <c r="R58" i="3"/>
  <c r="V58" i="3"/>
  <c r="X58" i="3"/>
  <c r="Z58" i="3"/>
  <c r="AB58" i="3"/>
  <c r="H59" i="3"/>
  <c r="U59" i="3"/>
  <c r="W59" i="3"/>
  <c r="Y59" i="3"/>
  <c r="S59" i="3"/>
  <c r="R59" i="3"/>
  <c r="V59" i="3"/>
  <c r="X59" i="3"/>
  <c r="Z59" i="3"/>
  <c r="AB59" i="3"/>
  <c r="H60" i="3"/>
  <c r="U60" i="3"/>
  <c r="W60" i="3"/>
  <c r="Y60" i="3"/>
  <c r="S60" i="3"/>
  <c r="R60" i="3"/>
  <c r="V60" i="3"/>
  <c r="X60" i="3"/>
  <c r="Z60" i="3"/>
  <c r="AB60" i="3"/>
  <c r="H61" i="3"/>
  <c r="U61" i="3"/>
  <c r="W61" i="3"/>
  <c r="Y61" i="3"/>
  <c r="S61" i="3"/>
  <c r="R61" i="3"/>
  <c r="V61" i="3"/>
  <c r="X61" i="3"/>
  <c r="Z61" i="3"/>
  <c r="AB61" i="3"/>
  <c r="H62" i="3"/>
  <c r="U62" i="3"/>
  <c r="W62" i="3"/>
  <c r="Y62" i="3"/>
  <c r="S62" i="3"/>
  <c r="R62" i="3"/>
  <c r="V62" i="3"/>
  <c r="X62" i="3"/>
  <c r="Z62" i="3"/>
  <c r="AB62" i="3"/>
  <c r="H63" i="3"/>
  <c r="U63" i="3"/>
  <c r="W63" i="3"/>
  <c r="Y63" i="3"/>
  <c r="S63" i="3"/>
  <c r="R63" i="3"/>
  <c r="V63" i="3"/>
  <c r="X63" i="3"/>
  <c r="Z63" i="3"/>
  <c r="AB63" i="3"/>
  <c r="H64" i="3"/>
  <c r="U64" i="3"/>
  <c r="W64" i="3"/>
  <c r="Y64" i="3"/>
  <c r="S64" i="3"/>
  <c r="R64" i="3"/>
  <c r="V64" i="3"/>
  <c r="X64" i="3"/>
  <c r="Z64" i="3"/>
  <c r="AB64" i="3"/>
  <c r="H65" i="3"/>
  <c r="U65" i="3"/>
  <c r="W65" i="3"/>
  <c r="Y65" i="3"/>
  <c r="S65" i="3"/>
  <c r="R65" i="3"/>
  <c r="V65" i="3"/>
  <c r="X65" i="3"/>
  <c r="Z65" i="3"/>
  <c r="AB65" i="3"/>
  <c r="H66" i="3"/>
  <c r="U66" i="3"/>
  <c r="W66" i="3"/>
  <c r="Y66" i="3"/>
  <c r="S66" i="3"/>
  <c r="R66" i="3"/>
  <c r="V66" i="3"/>
  <c r="X66" i="3"/>
  <c r="Z66" i="3"/>
  <c r="AB66" i="3"/>
  <c r="H67" i="3"/>
  <c r="U67" i="3"/>
  <c r="W67" i="3"/>
  <c r="Y67" i="3"/>
  <c r="S67" i="3"/>
  <c r="R67" i="3"/>
  <c r="V67" i="3"/>
  <c r="X67" i="3"/>
  <c r="Z67" i="3"/>
  <c r="AB67" i="3"/>
  <c r="H68" i="3"/>
  <c r="U68" i="3"/>
  <c r="W68" i="3"/>
  <c r="Y68" i="3"/>
  <c r="S68" i="3"/>
  <c r="R68" i="3"/>
  <c r="V68" i="3"/>
  <c r="X68" i="3"/>
  <c r="Z68" i="3"/>
  <c r="AB68" i="3"/>
  <c r="H69" i="3"/>
  <c r="U69" i="3"/>
  <c r="W69" i="3"/>
  <c r="Y69" i="3"/>
  <c r="S69" i="3"/>
  <c r="R69" i="3"/>
  <c r="V69" i="3"/>
  <c r="X69" i="3"/>
  <c r="Z69" i="3"/>
  <c r="AB69" i="3"/>
  <c r="H72" i="3"/>
  <c r="U72" i="3"/>
  <c r="W72" i="3"/>
  <c r="Y72" i="3"/>
  <c r="S72" i="3"/>
  <c r="R72" i="3"/>
  <c r="V72" i="3"/>
  <c r="X72" i="3"/>
  <c r="Z72" i="3"/>
  <c r="AB72" i="3"/>
  <c r="H73" i="3"/>
  <c r="U73" i="3"/>
  <c r="W73" i="3"/>
  <c r="Y73" i="3"/>
  <c r="S73" i="3"/>
  <c r="R73" i="3"/>
  <c r="V73" i="3"/>
  <c r="X73" i="3"/>
  <c r="Z73" i="3"/>
  <c r="AB73" i="3"/>
  <c r="H74" i="3"/>
  <c r="U74" i="3"/>
  <c r="W74" i="3"/>
  <c r="Y74" i="3"/>
  <c r="S74" i="3"/>
  <c r="R74" i="3"/>
  <c r="V74" i="3"/>
  <c r="X74" i="3"/>
  <c r="Z74" i="3"/>
  <c r="AB74" i="3"/>
  <c r="H75" i="3"/>
  <c r="U75" i="3"/>
  <c r="W75" i="3"/>
  <c r="Y75" i="3"/>
  <c r="S75" i="3"/>
  <c r="R75" i="3"/>
  <c r="V75" i="3"/>
  <c r="X75" i="3"/>
  <c r="Z75" i="3"/>
  <c r="AB75" i="3"/>
  <c r="H76" i="3"/>
  <c r="U76" i="3"/>
  <c r="W76" i="3"/>
  <c r="Y76" i="3"/>
  <c r="S76" i="3"/>
  <c r="R76" i="3"/>
  <c r="V76" i="3"/>
  <c r="X76" i="3"/>
  <c r="Z76" i="3"/>
  <c r="AB76" i="3"/>
  <c r="H77" i="3"/>
  <c r="U77" i="3"/>
  <c r="W77" i="3"/>
  <c r="Y77" i="3"/>
  <c r="S77" i="3"/>
  <c r="R77" i="3"/>
  <c r="V77" i="3"/>
  <c r="X77" i="3"/>
  <c r="Z77" i="3"/>
  <c r="AB77" i="3"/>
  <c r="H78" i="3"/>
  <c r="U78" i="3"/>
  <c r="W78" i="3"/>
  <c r="Y78" i="3"/>
  <c r="S78" i="3"/>
  <c r="R78" i="3"/>
  <c r="V78" i="3"/>
  <c r="X78" i="3"/>
  <c r="Z78" i="3"/>
  <c r="AB78" i="3"/>
  <c r="H79" i="3"/>
  <c r="U79" i="3"/>
  <c r="W79" i="3"/>
  <c r="Y79" i="3"/>
  <c r="S79" i="3"/>
  <c r="R79" i="3"/>
  <c r="V79" i="3"/>
  <c r="X79" i="3"/>
  <c r="Z79" i="3"/>
  <c r="AB79" i="3"/>
  <c r="H80" i="3"/>
  <c r="U80" i="3"/>
  <c r="W80" i="3"/>
  <c r="Y80" i="3"/>
  <c r="S80" i="3"/>
  <c r="R80" i="3"/>
  <c r="V80" i="3"/>
  <c r="X80" i="3"/>
  <c r="Z80" i="3"/>
  <c r="AB80" i="3"/>
  <c r="H81" i="3"/>
  <c r="U81" i="3"/>
  <c r="W81" i="3"/>
  <c r="Y81" i="3"/>
  <c r="S81" i="3"/>
  <c r="R81" i="3"/>
  <c r="V81" i="3"/>
  <c r="X81" i="3"/>
  <c r="Z81" i="3"/>
  <c r="AB81" i="3"/>
  <c r="H82" i="3"/>
  <c r="U82" i="3"/>
  <c r="W82" i="3"/>
  <c r="Y82" i="3"/>
  <c r="S82" i="3"/>
  <c r="R82" i="3"/>
  <c r="V82" i="3"/>
  <c r="X82" i="3"/>
  <c r="Z82" i="3"/>
  <c r="AB82" i="3"/>
  <c r="H83" i="3"/>
  <c r="U83" i="3"/>
  <c r="W83" i="3"/>
  <c r="Y83" i="3"/>
  <c r="S83" i="3"/>
  <c r="R83" i="3"/>
  <c r="V83" i="3"/>
  <c r="X83" i="3"/>
  <c r="Z83" i="3"/>
  <c r="AB83" i="3"/>
  <c r="H84" i="3"/>
  <c r="U84" i="3"/>
  <c r="W84" i="3"/>
  <c r="Y84" i="3"/>
  <c r="S84" i="3"/>
  <c r="R84" i="3"/>
  <c r="V84" i="3"/>
  <c r="X84" i="3"/>
  <c r="Z84" i="3"/>
  <c r="AB84" i="3"/>
  <c r="H85" i="3"/>
  <c r="U85" i="3"/>
  <c r="W85" i="3"/>
  <c r="Y85" i="3"/>
  <c r="S85" i="3"/>
  <c r="R85" i="3"/>
  <c r="V85" i="3"/>
  <c r="X85" i="3"/>
  <c r="Z85" i="3"/>
  <c r="AB85" i="3"/>
  <c r="H86" i="3"/>
  <c r="U86" i="3"/>
  <c r="W86" i="3"/>
  <c r="Y86" i="3"/>
  <c r="S86" i="3"/>
  <c r="R86" i="3"/>
  <c r="V86" i="3"/>
  <c r="X86" i="3"/>
  <c r="Z86" i="3"/>
  <c r="AB86" i="3"/>
  <c r="H87" i="3"/>
  <c r="U87" i="3"/>
  <c r="W87" i="3"/>
  <c r="Y87" i="3"/>
  <c r="S87" i="3"/>
  <c r="R87" i="3"/>
  <c r="V87" i="3"/>
  <c r="X87" i="3"/>
  <c r="Z87" i="3"/>
  <c r="AB87" i="3"/>
  <c r="H88" i="3"/>
  <c r="U88" i="3"/>
  <c r="W88" i="3"/>
  <c r="Y88" i="3"/>
  <c r="S88" i="3"/>
  <c r="R88" i="3"/>
  <c r="V88" i="3"/>
  <c r="X88" i="3"/>
  <c r="Z88" i="3"/>
  <c r="AB88" i="3"/>
  <c r="H89" i="3"/>
  <c r="U89" i="3"/>
  <c r="W89" i="3"/>
  <c r="Y89" i="3"/>
  <c r="S89" i="3"/>
  <c r="R89" i="3"/>
  <c r="V89" i="3"/>
  <c r="X89" i="3"/>
  <c r="Z89" i="3"/>
  <c r="AB89" i="3"/>
  <c r="H90" i="3"/>
  <c r="U90" i="3"/>
  <c r="W90" i="3"/>
  <c r="Y90" i="3"/>
  <c r="S90" i="3"/>
  <c r="R90" i="3"/>
  <c r="V90" i="3"/>
  <c r="X90" i="3"/>
  <c r="Z90" i="3"/>
  <c r="AB90" i="3"/>
  <c r="H91" i="3"/>
  <c r="U91" i="3"/>
  <c r="W91" i="3"/>
  <c r="Y91" i="3"/>
  <c r="S91" i="3"/>
  <c r="R91" i="3"/>
  <c r="V91" i="3"/>
  <c r="X91" i="3"/>
  <c r="Z91" i="3"/>
  <c r="AB91" i="3"/>
  <c r="H92" i="3"/>
  <c r="U92" i="3"/>
  <c r="W92" i="3"/>
  <c r="Y92" i="3"/>
  <c r="S92" i="3"/>
  <c r="R92" i="3"/>
  <c r="V92" i="3"/>
  <c r="X92" i="3"/>
  <c r="Z92" i="3"/>
  <c r="AB92" i="3"/>
  <c r="H93" i="3"/>
  <c r="U93" i="3"/>
  <c r="W93" i="3"/>
  <c r="Y93" i="3"/>
  <c r="S93" i="3"/>
  <c r="R93" i="3"/>
  <c r="V93" i="3"/>
  <c r="X93" i="3"/>
  <c r="Z93" i="3"/>
  <c r="AB93" i="3"/>
  <c r="H94" i="3"/>
  <c r="U94" i="3"/>
  <c r="W94" i="3"/>
  <c r="Y94" i="3"/>
  <c r="S94" i="3"/>
  <c r="R94" i="3"/>
  <c r="V94" i="3"/>
  <c r="X94" i="3"/>
  <c r="Z94" i="3"/>
  <c r="AB94" i="3"/>
  <c r="H95" i="3"/>
  <c r="U95" i="3"/>
  <c r="W95" i="3"/>
  <c r="Y95" i="3"/>
  <c r="S95" i="3"/>
  <c r="R95" i="3"/>
  <c r="V95" i="3"/>
  <c r="X95" i="3"/>
  <c r="Z95" i="3"/>
  <c r="AB95" i="3"/>
  <c r="H96" i="3"/>
  <c r="U96" i="3"/>
  <c r="W96" i="3"/>
  <c r="Y96" i="3"/>
  <c r="S96" i="3"/>
  <c r="R96" i="3"/>
  <c r="V96" i="3"/>
  <c r="X96" i="3"/>
  <c r="Z96" i="3"/>
  <c r="AB96" i="3"/>
  <c r="H97" i="3"/>
  <c r="U97" i="3"/>
  <c r="W97" i="3"/>
  <c r="Y97" i="3"/>
  <c r="S97" i="3"/>
  <c r="R97" i="3"/>
  <c r="V97" i="3"/>
  <c r="X97" i="3"/>
  <c r="Z97" i="3"/>
  <c r="AB97" i="3"/>
  <c r="H98" i="3"/>
  <c r="U98" i="3"/>
  <c r="W98" i="3"/>
  <c r="Y98" i="3"/>
  <c r="S98" i="3"/>
  <c r="R98" i="3"/>
  <c r="V98" i="3"/>
  <c r="X98" i="3"/>
  <c r="Z98" i="3"/>
  <c r="AB98" i="3"/>
  <c r="H99" i="3"/>
  <c r="U99" i="3"/>
  <c r="W99" i="3"/>
  <c r="Y99" i="3"/>
  <c r="S99" i="3"/>
  <c r="R99" i="3"/>
  <c r="V99" i="3"/>
  <c r="X99" i="3"/>
  <c r="Z99" i="3"/>
  <c r="AB99" i="3"/>
  <c r="H100" i="3"/>
  <c r="U100" i="3"/>
  <c r="W100" i="3"/>
  <c r="Y100" i="3"/>
  <c r="S100" i="3"/>
  <c r="R100" i="3"/>
  <c r="V100" i="3"/>
  <c r="X100" i="3"/>
  <c r="Z100" i="3"/>
  <c r="AB100" i="3"/>
  <c r="H101" i="3"/>
  <c r="U101" i="3"/>
  <c r="W101" i="3"/>
  <c r="Y101" i="3"/>
  <c r="S101" i="3"/>
  <c r="R101" i="3"/>
  <c r="V101" i="3"/>
  <c r="X101" i="3"/>
  <c r="Z101" i="3"/>
  <c r="AB101" i="3"/>
  <c r="H102" i="3"/>
  <c r="U102" i="3"/>
  <c r="W102" i="3"/>
  <c r="Y102" i="3"/>
  <c r="S102" i="3"/>
  <c r="R102" i="3"/>
  <c r="V102" i="3"/>
  <c r="X102" i="3"/>
  <c r="Z102" i="3"/>
  <c r="AB102" i="3"/>
  <c r="H103" i="3"/>
  <c r="U103" i="3"/>
  <c r="W103" i="3"/>
  <c r="Y103" i="3"/>
  <c r="S103" i="3"/>
  <c r="R103" i="3"/>
  <c r="V103" i="3"/>
  <c r="X103" i="3"/>
  <c r="Z103" i="3"/>
  <c r="AB103" i="3"/>
  <c r="H104" i="3"/>
  <c r="U104" i="3"/>
  <c r="W104" i="3"/>
  <c r="Y104" i="3"/>
  <c r="S104" i="3"/>
  <c r="R104" i="3"/>
  <c r="V104" i="3"/>
  <c r="X104" i="3"/>
  <c r="Z104" i="3"/>
  <c r="AB104" i="3"/>
  <c r="H105" i="3"/>
  <c r="U105" i="3"/>
  <c r="W105" i="3"/>
  <c r="Y105" i="3"/>
  <c r="S105" i="3"/>
  <c r="R105" i="3"/>
  <c r="V105" i="3"/>
  <c r="X105" i="3"/>
  <c r="Z105" i="3"/>
  <c r="AB105" i="3"/>
  <c r="AB107" i="3"/>
  <c r="AC71" i="3"/>
  <c r="AC70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7" i="3"/>
  <c r="AA71" i="3"/>
  <c r="AA70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7" i="3"/>
  <c r="D111" i="3"/>
  <c r="P42" i="3"/>
  <c r="O42" i="3"/>
  <c r="P28" i="3"/>
  <c r="O28" i="3"/>
  <c r="P24" i="3"/>
  <c r="O24" i="3"/>
  <c r="P21" i="3"/>
  <c r="O21" i="3"/>
  <c r="P17" i="3"/>
  <c r="O17" i="3"/>
  <c r="P11" i="3"/>
  <c r="O11" i="3"/>
  <c r="AC6" i="1"/>
  <c r="AB6" i="1"/>
  <c r="AC12" i="1"/>
  <c r="AB12" i="1"/>
  <c r="AC16" i="1"/>
  <c r="AB16" i="1"/>
  <c r="AB19" i="1"/>
  <c r="AC19" i="1"/>
  <c r="AC23" i="1"/>
  <c r="AB23" i="1"/>
  <c r="AC37" i="1"/>
  <c r="AB37" i="1"/>
  <c r="X111" i="3"/>
  <c r="X108" i="3"/>
  <c r="X109" i="3"/>
  <c r="X110" i="3"/>
  <c r="D108" i="3"/>
  <c r="D109" i="3"/>
  <c r="D110" i="3"/>
  <c r="Z107" i="3"/>
  <c r="Y107" i="3"/>
  <c r="X107" i="3"/>
  <c r="W107" i="3"/>
  <c r="I107" i="3"/>
  <c r="D107" i="3"/>
  <c r="C107" i="3"/>
  <c r="E89" i="1"/>
  <c r="E88" i="1"/>
  <c r="E87" i="1"/>
  <c r="E86" i="1"/>
  <c r="E85" i="1"/>
  <c r="E44" i="1"/>
  <c r="E43" i="1"/>
  <c r="E37" i="1"/>
  <c r="E35" i="1"/>
  <c r="E23" i="1"/>
  <c r="E19" i="1"/>
  <c r="E12" i="1"/>
  <c r="E10" i="1"/>
  <c r="E9" i="1"/>
  <c r="E8" i="1"/>
  <c r="E6" i="1"/>
  <c r="E4" i="1"/>
  <c r="E3" i="1"/>
</calcChain>
</file>

<file path=xl/sharedStrings.xml><?xml version="1.0" encoding="utf-8"?>
<sst xmlns="http://schemas.openxmlformats.org/spreadsheetml/2006/main" count="4928" uniqueCount="421">
  <si>
    <t>&amp;</t>
  </si>
  <si>
    <t>0.0 to 15.5</t>
  </si>
  <si>
    <t>mag</t>
  </si>
  <si>
    <t>20.7 to 21.3</t>
  </si>
  <si>
    <t>22.3 to 24.2</t>
  </si>
  <si>
    <t>36.7 to 37.4</t>
  </si>
  <si>
    <t>40.7 to 42.4</t>
  </si>
  <si>
    <t>hem</t>
  </si>
  <si>
    <t>MP18</t>
  </si>
  <si>
    <t>daisy stone</t>
  </si>
  <si>
    <t>0.0 to 6.9</t>
  </si>
  <si>
    <t>20.2 to 27.3</t>
  </si>
  <si>
    <t>mag/hem</t>
  </si>
  <si>
    <t>27.3 to 29.6</t>
  </si>
  <si>
    <t>32.5 to 35.1</t>
  </si>
  <si>
    <t>0.0 to 3.8</t>
  </si>
  <si>
    <t>3.8 to 10.2</t>
  </si>
  <si>
    <t>11.3 to 14.6</t>
  </si>
  <si>
    <t>14.6 to 20.0</t>
  </si>
  <si>
    <t>0.0 to 2.8</t>
  </si>
  <si>
    <t>2.8 to 7.1</t>
  </si>
  <si>
    <t>16.7 to 25.4</t>
  </si>
  <si>
    <t>25.4 to 33.4</t>
  </si>
  <si>
    <t>33.4 to 43.6</t>
  </si>
  <si>
    <t>10.6 to 14.4</t>
  </si>
  <si>
    <t>23.3 to24.4</t>
  </si>
  <si>
    <t>27.6 to 31.3</t>
  </si>
  <si>
    <t>46.6 to 49.4</t>
  </si>
  <si>
    <t>6.6 to 8.8</t>
  </si>
  <si>
    <t>11.0 to 13.1</t>
  </si>
  <si>
    <t>60.3 to 67.9</t>
  </si>
  <si>
    <t>73.4 to 79.1</t>
  </si>
  <si>
    <t>79.1 to 90.0</t>
  </si>
  <si>
    <t>0.0 to 7.0</t>
  </si>
  <si>
    <t>7.0 to 8.0</t>
  </si>
  <si>
    <t>0.0 to 1.7</t>
  </si>
  <si>
    <t>1.7 to 5.6</t>
  </si>
  <si>
    <t>0.9 to 12.1</t>
  </si>
  <si>
    <t>12.1 to 15.1</t>
  </si>
  <si>
    <t>0.0 to 5.3</t>
  </si>
  <si>
    <t>5.3 to 18.2</t>
  </si>
  <si>
    <t>18.2 to 23.4</t>
  </si>
  <si>
    <t>37.6 to 43.1</t>
  </si>
  <si>
    <t>50.4 to 69.2</t>
  </si>
  <si>
    <t>75.5 to 82.8</t>
  </si>
  <si>
    <t>MP53</t>
  </si>
  <si>
    <t>0.0 to 6.6</t>
  </si>
  <si>
    <t>MP54</t>
  </si>
  <si>
    <t>0.0 to 4.0</t>
  </si>
  <si>
    <t>128.2 to 130.7</t>
  </si>
  <si>
    <t>130.7 to 141.9</t>
  </si>
  <si>
    <t>141.9 to 145.5</t>
  </si>
  <si>
    <t>145.5 to 147.1</t>
  </si>
  <si>
    <t>147.1 to 150</t>
  </si>
  <si>
    <t>154.2 to 160.6</t>
  </si>
  <si>
    <t>273.8 to 282.7</t>
  </si>
  <si>
    <t>302.2 to 310.0</t>
  </si>
  <si>
    <t>0.0 to 20.4</t>
  </si>
  <si>
    <t>20.4 to 40.8</t>
  </si>
  <si>
    <t>42.3 to 43.5</t>
  </si>
  <si>
    <t>45.0 to 53.3</t>
  </si>
  <si>
    <t>53.7 to 62.6</t>
  </si>
  <si>
    <t>62.6 to 71.5</t>
  </si>
  <si>
    <t>71.5 to 85.5</t>
  </si>
  <si>
    <t>1.2 to 7.3</t>
  </si>
  <si>
    <t>7.3 to 20.3</t>
  </si>
  <si>
    <t>20.3 to 33.6</t>
  </si>
  <si>
    <t>33.6 to 42.2</t>
  </si>
  <si>
    <t>42.2 to 51.1</t>
  </si>
  <si>
    <t>51.1 to 65.5</t>
  </si>
  <si>
    <t>34.9 to 38.1</t>
  </si>
  <si>
    <t>39.2 to 46.6</t>
  </si>
  <si>
    <t>48.0 to 56.1</t>
  </si>
  <si>
    <t>69.9 to 87.2</t>
  </si>
  <si>
    <t>0.0 to 10.2</t>
  </si>
  <si>
    <t>10.2 to 15.5</t>
  </si>
  <si>
    <t>15.5 to 22.2</t>
  </si>
  <si>
    <t>22.2 to 30.8</t>
  </si>
  <si>
    <t>\cite{Swanson-Hysell2009a}</t>
  </si>
  <si>
    <t>section meter level</t>
  </si>
  <si>
    <t>composite meter level</t>
  </si>
  <si>
    <t>n</t>
  </si>
  <si>
    <t>D_geo</t>
  </si>
  <si>
    <t>I_geo</t>
  </si>
  <si>
    <t>D_tilt-cor</t>
  </si>
  <si>
    <t>I_tilt-cor</t>
  </si>
  <si>
    <t>a_95</t>
  </si>
  <si>
    <t>k</t>
  </si>
  <si>
    <t>fit used</t>
  </si>
  <si>
    <t>demag method</t>
  </si>
  <si>
    <t>thermal</t>
  </si>
  <si>
    <t>15.5 to 16.8</t>
  </si>
  <si>
    <t>\textit{this paper}</t>
  </si>
  <si>
    <t>21.3 to 21.9</t>
  </si>
  <si>
    <t>26.1 to 27.2</t>
  </si>
  <si>
    <t>30.8 to 31.9</t>
  </si>
  <si>
    <t>31.9 to 36.7</t>
  </si>
  <si>
    <t>37.4 to 40.7</t>
  </si>
  <si>
    <t>30.3 to 32.5</t>
  </si>
  <si>
    <t>\cite{Swanson-Hysell2009a} and \textit{this study}</t>
  </si>
  <si>
    <t>AF</t>
  </si>
  <si>
    <t>5.4 to 6.6</t>
  </si>
  <si>
    <t>-0.1 to 1.5</t>
  </si>
  <si>
    <t>1.5 to 5.4</t>
  </si>
  <si>
    <t>157.0 to 165.0</t>
  </si>
  <si>
    <t>130.5 to 151.5</t>
  </si>
  <si>
    <t>MP306</t>
  </si>
  <si>
    <t>10.2 to 11.3</t>
  </si>
  <si>
    <t>16.8 to 18.7</t>
  </si>
  <si>
    <t>lat long in previous summary can add here along with new locales</t>
  </si>
  <si>
    <t>0 to 20.4</t>
  </si>
  <si>
    <t>72.3 to 92.9</t>
  </si>
  <si>
    <t>113.5 to 125.6</t>
  </si>
  <si>
    <t>125.9 to 131.4</t>
  </si>
  <si>
    <t>131.4 to 141.6</t>
  </si>
  <si>
    <t>142.1 to 152.9</t>
  </si>
  <si>
    <t>\\ \hline</t>
  </si>
  <si>
    <t>2.6 to 26.7</t>
  </si>
  <si>
    <t>26.7 to 34.2</t>
  </si>
  <si>
    <t>39.0 to 44.5</t>
  </si>
  <si>
    <t>44.5 to 73.6</t>
  </si>
  <si>
    <t>96.4 to 102.1</t>
  </si>
  <si>
    <t>102.1 to 108.4</t>
  </si>
  <si>
    <t>73.6 to 96.4</t>
  </si>
  <si>
    <t>Stratigraphic Section</t>
  </si>
  <si>
    <t>MP101</t>
  </si>
  <si>
    <t>MP105</t>
  </si>
  <si>
    <t>MP107</t>
  </si>
  <si>
    <t>MP43</t>
  </si>
  <si>
    <t>MP121</t>
  </si>
  <si>
    <t>MP214</t>
  </si>
  <si>
    <t>MP46</t>
  </si>
  <si>
    <t>MP49</t>
  </si>
  <si>
    <t>MP50</t>
  </si>
  <si>
    <t>MP303</t>
  </si>
  <si>
    <t>MP212</t>
  </si>
  <si>
    <t>MP211</t>
  </si>
  <si>
    <t>MP209</t>
  </si>
  <si>
    <t>MP207</t>
  </si>
  <si>
    <t xml:space="preserve">     Site location</t>
  </si>
  <si>
    <t xml:space="preserve">     Pole location</t>
  </si>
  <si>
    <t>Specified polarity</t>
  </si>
  <si>
    <t xml:space="preserve">     Decl</t>
  </si>
  <si>
    <t xml:space="preserve">   Incl</t>
  </si>
  <si>
    <t>a-95 °</t>
  </si>
  <si>
    <t>weight</t>
  </si>
  <si>
    <t>n</t>
    <phoneticPr fontId="0" type="noConversion"/>
  </si>
  <si>
    <t xml:space="preserve">     D,I(radians)</t>
  </si>
  <si>
    <t xml:space="preserve">      N</t>
  </si>
  <si>
    <t xml:space="preserve">      E</t>
  </si>
  <si>
    <t xml:space="preserve">     U</t>
  </si>
  <si>
    <t>Lat °N</t>
  </si>
  <si>
    <t>Long °E</t>
  </si>
  <si>
    <t>° Paleolat</t>
  </si>
  <si>
    <t>Butler's   ß</t>
  </si>
  <si>
    <t>ambig. test</t>
  </si>
  <si>
    <t>North</t>
  </si>
  <si>
    <t>Greenw.</t>
  </si>
  <si>
    <t>NinetyE</t>
  </si>
  <si>
    <t xml:space="preserve">       R =</t>
  </si>
  <si>
    <t xml:space="preserve">     N =</t>
  </si>
  <si>
    <t xml:space="preserve">       k =</t>
  </si>
  <si>
    <t xml:space="preserve">       K =</t>
  </si>
  <si>
    <t xml:space="preserve">   a95 =</t>
  </si>
  <si>
    <t xml:space="preserve">   A95 =</t>
  </si>
  <si>
    <t>tilt-correction modified from Swanson-Hysell2009</t>
  </si>
  <si>
    <t>tilt-correction modified from Swanson-Hysell2009, more samples from this flow</t>
  </si>
  <si>
    <t>lat</t>
  </si>
  <si>
    <t>long</t>
  </si>
  <si>
    <t>6.9 to 10.8</t>
  </si>
  <si>
    <t>these latitude and longitudes are estimated; sometimes being determined from a GPS point taken at the top and bottom of a section and using the strat height to get approx position</t>
  </si>
  <si>
    <t>MP111</t>
  </si>
  <si>
    <t>MP111$^\dagger$</t>
  </si>
  <si>
    <t>Mamainse Point</t>
  </si>
  <si>
    <t>Swanson-Hysell et al., 2013 in prep</t>
  </si>
  <si>
    <t>Site directional data</t>
  </si>
  <si>
    <t>section</t>
  </si>
  <si>
    <t>Pole (in radians)</t>
  </si>
  <si>
    <t>MEAN</t>
  </si>
  <si>
    <t>N =</t>
  </si>
  <si>
    <t>cells colored grey are calculated</t>
  </si>
  <si>
    <t>uncolored cells are input from reference</t>
  </si>
  <si>
    <t>Expedition Name</t>
  </si>
  <si>
    <t>Location Name</t>
  </si>
  <si>
    <t>Formation Name</t>
  </si>
  <si>
    <t>Member Name</t>
  </si>
  <si>
    <t>Site Name</t>
  </si>
  <si>
    <t>Sample Name List</t>
  </si>
  <si>
    <t>Specimen Name List</t>
  </si>
  <si>
    <t>Fossil Name List</t>
  </si>
  <si>
    <t>Mineral Name List</t>
  </si>
  <si>
    <t>Synthetic Material Name List</t>
  </si>
  <si>
    <t>Experiment Name List</t>
  </si>
  <si>
    <t>Measurement Step Minimum</t>
  </si>
  <si>
    <t>Measurement Step Maximum</t>
  </si>
  <si>
    <t>Measurement Step Unit</t>
  </si>
  <si>
    <t>Site Magnetic Polarity</t>
  </si>
  <si>
    <t>Site NRM</t>
  </si>
  <si>
    <t>Site Direction Type</t>
  </si>
  <si>
    <t>Site Flag</t>
  </si>
  <si>
    <t>Site Component Number</t>
  </si>
  <si>
    <t>Site Component N</t>
  </si>
  <si>
    <t>Site Component Name</t>
  </si>
  <si>
    <t>Site Inferred Age</t>
  </si>
  <si>
    <t>Site Inferred Age Sigma</t>
  </si>
  <si>
    <t>Site Inferred Age Low</t>
  </si>
  <si>
    <t>Site Inferred Age High</t>
  </si>
  <si>
    <t>Site Inferred Age Unit</t>
  </si>
  <si>
    <t>Site Inclination</t>
  </si>
  <si>
    <t>Site Declination</t>
  </si>
  <si>
    <t>Site Sigma</t>
  </si>
  <si>
    <t>Site Alpha 95%</t>
  </si>
  <si>
    <t>Site N</t>
  </si>
  <si>
    <t>Site N Best-Fit Lines</t>
  </si>
  <si>
    <t>Site N Best-Fit Planes</t>
  </si>
  <si>
    <t>Site N Total</t>
  </si>
  <si>
    <t>Site K</t>
  </si>
  <si>
    <t>Site R</t>
  </si>
  <si>
    <t>Site Tilt Correction</t>
  </si>
  <si>
    <t>Site Paleo Intensity</t>
  </si>
  <si>
    <t>Site Paleo Intensity Sigma</t>
  </si>
  <si>
    <t>Site Paleo Intensity Sigma %</t>
  </si>
  <si>
    <t>Site Paleo Intensity Relative</t>
  </si>
  <si>
    <t>Site Paleo Intensity Relative Sigma</t>
  </si>
  <si>
    <t>Site Paleo Intensity Relative Sigma %</t>
  </si>
  <si>
    <t>Site Paleo Intensity N</t>
  </si>
  <si>
    <t>Site Magnetization Moment</t>
  </si>
  <si>
    <t>Site Magnetization Volume</t>
  </si>
  <si>
    <t>Site Magnetization Mass</t>
  </si>
  <si>
    <t>Site Description</t>
  </si>
  <si>
    <t>MagIC Software Packages</t>
  </si>
  <si>
    <t>External Database Names</t>
  </si>
  <si>
    <t>External Database ID Numbers</t>
  </si>
  <si>
    <t>Criteria Codes</t>
  </si>
  <si>
    <t>Rotation Codes</t>
  </si>
  <si>
    <t>Method Codes</t>
  </si>
  <si>
    <t>Instrument Codes</t>
  </si>
  <si>
    <t>Analyst Names</t>
  </si>
  <si>
    <t>Citation Names</t>
  </si>
  <si>
    <t>er_expedition_name</t>
  </si>
  <si>
    <t>er_location_name</t>
  </si>
  <si>
    <t>er_formation_name</t>
  </si>
  <si>
    <t>er_member_name</t>
  </si>
  <si>
    <t>er_site_name</t>
  </si>
  <si>
    <t>er_sample_names</t>
  </si>
  <si>
    <t>er_specimen_names</t>
  </si>
  <si>
    <t>er_fossil_names</t>
  </si>
  <si>
    <t>er_mineral_names</t>
  </si>
  <si>
    <t>er_synthetic_names</t>
  </si>
  <si>
    <t>magic_experiment_names</t>
  </si>
  <si>
    <t>measurement_step_min</t>
  </si>
  <si>
    <t>measurement_step_max</t>
  </si>
  <si>
    <t>measurement_step_unit</t>
  </si>
  <si>
    <t>site_polarity</t>
  </si>
  <si>
    <t>site_nrm</t>
  </si>
  <si>
    <t>site_direction_type</t>
  </si>
  <si>
    <t>site_flag</t>
  </si>
  <si>
    <t>site_comp_nmb</t>
  </si>
  <si>
    <t>site_comp_n</t>
  </si>
  <si>
    <t>site_comp_name</t>
  </si>
  <si>
    <t>site_inferred_age</t>
  </si>
  <si>
    <t>site_inferred_age_sigma</t>
  </si>
  <si>
    <t>site_inferred_age_low</t>
  </si>
  <si>
    <t>site_inferred_age_high</t>
  </si>
  <si>
    <t>site_inferred_age_unit</t>
  </si>
  <si>
    <t>site_inc</t>
  </si>
  <si>
    <t>site_dec</t>
  </si>
  <si>
    <t>site_sigma</t>
  </si>
  <si>
    <t>site_alpha95</t>
  </si>
  <si>
    <t>site_n</t>
  </si>
  <si>
    <t>site_n_lines</t>
  </si>
  <si>
    <t>site_n_planes</t>
  </si>
  <si>
    <t>site_n_total</t>
  </si>
  <si>
    <t>site_k</t>
  </si>
  <si>
    <t>site_r</t>
  </si>
  <si>
    <t>site_tilt_correction</t>
  </si>
  <si>
    <t>site_int</t>
  </si>
  <si>
    <t>site_int_sigma</t>
  </si>
  <si>
    <t>site_int_sigma_perc</t>
  </si>
  <si>
    <t>site_int_rel</t>
  </si>
  <si>
    <t>site_int_rel_sigma</t>
  </si>
  <si>
    <t>site_int_rel_sigma_perc</t>
  </si>
  <si>
    <t>site_int_n</t>
  </si>
  <si>
    <t>site_magn_moment</t>
  </si>
  <si>
    <t>site_magn_volume</t>
  </si>
  <si>
    <t>site_magn_mass</t>
  </si>
  <si>
    <t>site_description</t>
  </si>
  <si>
    <t>magic_software_packages</t>
  </si>
  <si>
    <t>external_database_names</t>
  </si>
  <si>
    <t>external_database_ids</t>
  </si>
  <si>
    <t>pmag_criteria_codes</t>
  </si>
  <si>
    <t>pmag_rotation_codes</t>
  </si>
  <si>
    <t>magic_method_codes</t>
  </si>
  <si>
    <t>magic_instrument_codes</t>
  </si>
  <si>
    <t>er_analyst_mail_names</t>
  </si>
  <si>
    <t>er_citation_names</t>
  </si>
  <si>
    <t>String(50)</t>
  </si>
  <si>
    <t>List(2000)</t>
  </si>
  <si>
    <t>Number</t>
  </si>
  <si>
    <t>String(30)</t>
  </si>
  <si>
    <t>String(1)</t>
  </si>
  <si>
    <t>Integer</t>
  </si>
  <si>
    <t>String(1000)</t>
  </si>
  <si>
    <t>List(500)</t>
  </si>
  <si>
    <t>Text</t>
  </si>
  <si>
    <t>Custom</t>
  </si>
  <si>
    <t>Flag</t>
  </si>
  <si>
    <t>Number in Degrees</t>
  </si>
  <si>
    <t>Dimensionless</t>
  </si>
  <si>
    <t>Number in %</t>
  </si>
  <si>
    <t>Number in T</t>
  </si>
  <si>
    <t>Number in Am2</t>
  </si>
  <si>
    <t>Number in A/m</t>
  </si>
  <si>
    <t>Number in Am2/kg</t>
  </si>
  <si>
    <t>Optional</t>
  </si>
  <si>
    <t>Required</t>
  </si>
  <si>
    <t>Recommended</t>
  </si>
  <si>
    <t>MP306(102.1 to 108.4)</t>
  </si>
  <si>
    <t>S.-H. et al., 2009</t>
  </si>
  <si>
    <t>S.-H. et al., 2009 and \textit{this study}</t>
  </si>
  <si>
    <t>MP101(0.0 to 15.5)</t>
  </si>
  <si>
    <t>MP101(15.5 to 16.8)</t>
  </si>
  <si>
    <t>MP101(16.8 to 18.7)</t>
  </si>
  <si>
    <t>MP101(20.7 to 21.3)</t>
  </si>
  <si>
    <t>MP101(21.3 to 21.9)</t>
  </si>
  <si>
    <t>MP101(22.3 to 24.2)</t>
  </si>
  <si>
    <t>MP101(26.1 to 27.2)</t>
  </si>
  <si>
    <t>MP101(30.8 to 31.9)</t>
  </si>
  <si>
    <t>MP101(31.9 to 36.7)</t>
  </si>
  <si>
    <t>MP101(36.7 to 37.4)</t>
  </si>
  <si>
    <t>MP101(37.4 to 40.7)</t>
  </si>
  <si>
    <t>MP101(40.7 to 42.4)</t>
  </si>
  <si>
    <t>MP18(daisy stone)</t>
  </si>
  <si>
    <t>MP105(0.0 to 6.9)</t>
  </si>
  <si>
    <t>MP105(6.9 to 10.8)</t>
  </si>
  <si>
    <t>MP105(20.2 to 27.3)</t>
  </si>
  <si>
    <t>MP105(27.3 to 29.6)</t>
  </si>
  <si>
    <t>MP105(30.3 to 32.5)</t>
  </si>
  <si>
    <t>MP105(32.5 to 35.1)</t>
  </si>
  <si>
    <t>MP107(0.0 to 3.8)</t>
  </si>
  <si>
    <t>MP107(3.8 to 10.2)</t>
  </si>
  <si>
    <t>MP107(10.2 to 11.3)</t>
  </si>
  <si>
    <t>MP107(11.3 to 14.6)</t>
  </si>
  <si>
    <t>MP107(14.6 to 20.0)</t>
  </si>
  <si>
    <t>MP43(0.0 to 2.8)</t>
  </si>
  <si>
    <t>MP43(2.8 to 7.1)</t>
  </si>
  <si>
    <t>MP43(16.7 to 25.4)</t>
  </si>
  <si>
    <t>MP43(25.4 to 33.4)</t>
  </si>
  <si>
    <t>MP43(33.4 to 43.6)</t>
  </si>
  <si>
    <t>MP121(10.6 to 14.4)</t>
  </si>
  <si>
    <t>MP121(23.3 to24.4)</t>
  </si>
  <si>
    <t>MP121(27.6 to 31.3)</t>
  </si>
  <si>
    <t>MP121(46.6 to 49.4)</t>
  </si>
  <si>
    <t>MP214(-0.1 to 1.5)</t>
  </si>
  <si>
    <t>MP214(1.5 to 5.4)</t>
  </si>
  <si>
    <t>MP214(5.4 to 6.6)</t>
  </si>
  <si>
    <t>MP214(6.6 to 8.8)</t>
  </si>
  <si>
    <t>MP214(11.0 to 13.1)</t>
  </si>
  <si>
    <t>MP214(60.3 to 67.9)</t>
  </si>
  <si>
    <t>MP214(73.4 to 79.1)</t>
  </si>
  <si>
    <t>MP214(79.1 to 90.0)</t>
  </si>
  <si>
    <t>MP214(130.5 to 151.5)</t>
  </si>
  <si>
    <t>MP214(157.0 to 165.0)</t>
  </si>
  <si>
    <t>MP46(0.0 to 7.0)</t>
  </si>
  <si>
    <t>MP46(7.0 to 8.0)</t>
  </si>
  <si>
    <t>MP49(0.0 to 1.7)</t>
  </si>
  <si>
    <t>MP49(1.7 to 5.6)</t>
  </si>
  <si>
    <t>MP50(0.9 to 12.1)</t>
  </si>
  <si>
    <t>MP50(12.1 to 15.1)</t>
  </si>
  <si>
    <t>MP111(0.0 to 5.3)</t>
  </si>
  <si>
    <t>MP111(5.3 to 18.2)</t>
  </si>
  <si>
    <t>MP111(18.2 to 23.4)</t>
  </si>
  <si>
    <t>MP111(37.6 to 43.1)</t>
  </si>
  <si>
    <t>MP111(50.4 to 69.2)</t>
  </si>
  <si>
    <t>MP111(75.5 to 82.8)</t>
  </si>
  <si>
    <t>MP53(0.0 to 6.6)</t>
  </si>
  <si>
    <t>MP54(0.0 to 4.0)</t>
  </si>
  <si>
    <t>MP111(128.2 to 130.7)</t>
  </si>
  <si>
    <t>MP111(130.7 to 141.9)</t>
  </si>
  <si>
    <t>MP111(141.9 to 145.5)</t>
  </si>
  <si>
    <t>MP111(145.5 to 147.1)</t>
  </si>
  <si>
    <t>MP111(147.1 to 150)</t>
  </si>
  <si>
    <t>MP111(154.2 to 160.6)</t>
  </si>
  <si>
    <t>MP111(273.8 to 282.7)</t>
  </si>
  <si>
    <t>MP111(302.2 to 310.0)</t>
  </si>
  <si>
    <t>MP207(0.0 to 20.4)</t>
  </si>
  <si>
    <t>MP207(20.4 to 40.8)</t>
  </si>
  <si>
    <t>MP207(42.3 to 43.5)</t>
  </si>
  <si>
    <t>MP207(45.0 to 53.3)</t>
  </si>
  <si>
    <t>MP207(53.7 to 62.6)</t>
  </si>
  <si>
    <t>MP207(62.6 to 71.5)</t>
  </si>
  <si>
    <t>MP207(71.5 to 85.5)</t>
  </si>
  <si>
    <t>MP209(1.2 to 7.3)</t>
  </si>
  <si>
    <t>MP209(7.3 to 20.3)</t>
  </si>
  <si>
    <t>MP209(20.3 to 33.6)</t>
  </si>
  <si>
    <t>MP209(33.6 to 42.2)</t>
  </si>
  <si>
    <t>MP209(42.2 to 51.1)</t>
  </si>
  <si>
    <t>MP209(51.1 to 65.5)</t>
  </si>
  <si>
    <t>MP211(34.9 to 38.1)</t>
  </si>
  <si>
    <t>MP211(39.2 to 46.6)</t>
  </si>
  <si>
    <t>MP211(48.0 to 56.1)</t>
  </si>
  <si>
    <t>MP211(69.9 to 87.2)</t>
  </si>
  <si>
    <t>MP303(0 to 20.4)</t>
  </si>
  <si>
    <t>MP303(72.3 to 92.9)</t>
  </si>
  <si>
    <t>MP303(113.5 to 125.6)</t>
  </si>
  <si>
    <t>MP303(125.9 to 131.4)</t>
  </si>
  <si>
    <t>MP303(131.4 to 141.6)</t>
  </si>
  <si>
    <t>MP303(142.1 to 152.9)</t>
  </si>
  <si>
    <t>MP212(0.0 to 10.2)</t>
  </si>
  <si>
    <t>MP212(10.2 to 15.5)</t>
  </si>
  <si>
    <t>MP212(15.5 to 22.2)</t>
  </si>
  <si>
    <t>MP212(22.2 to 30.8)</t>
  </si>
  <si>
    <t>MP306(2.6 to 26.7)</t>
  </si>
  <si>
    <t>MP306(26.7 to 34.2)</t>
  </si>
  <si>
    <t>MP306(39.0 to 44.5)</t>
  </si>
  <si>
    <t>MP306(44.5 to 73.6)</t>
  </si>
  <si>
    <t>MP306(73.6 to 96.4)</t>
  </si>
  <si>
    <t>MP306(96.4 to 102.1)</t>
  </si>
  <si>
    <t>LP-DC4; LP-DIR-AF</t>
  </si>
  <si>
    <t>LP-DC4; LP-DIR-T</t>
  </si>
  <si>
    <t>lava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</si>
</sst>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00.0"/>
    <numFmt numFmtId="166" formatCode="00.0"/>
    <numFmt numFmtId="167" formatCode="0.000"/>
    <numFmt numFmtId="168" formatCode="#.0"/>
    <numFmt numFmtId="169" formatCode="0.00000"/>
    <numFmt numFmtId="170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scheme val="minor"/>
    </font>
    <font>
      <sz val="10"/>
      <name val="Geneva"/>
    </font>
    <font>
      <sz val="10"/>
      <name val="Myriad Pro"/>
    </font>
    <font>
      <sz val="10"/>
      <color indexed="8"/>
      <name val="Myriad Pro"/>
    </font>
    <font>
      <sz val="10"/>
      <name val="Arial"/>
    </font>
    <font>
      <sz val="10"/>
      <name val="Calibri"/>
      <scheme val="minor"/>
    </font>
    <font>
      <sz val="10"/>
      <color rgb="FF000000"/>
      <name val="Calibri"/>
      <family val="2"/>
      <scheme val="minor"/>
    </font>
    <font>
      <b/>
      <sz val="10"/>
      <color indexed="8"/>
      <name val="Calibri"/>
      <scheme val="minor"/>
    </font>
    <font>
      <sz val="10"/>
      <color indexed="8"/>
      <name val="Calibri"/>
      <scheme val="minor"/>
    </font>
    <font>
      <b/>
      <sz val="10"/>
      <name val="Calibri"/>
      <scheme val="minor"/>
    </font>
    <font>
      <i/>
      <sz val="10"/>
      <name val="Calibri"/>
      <scheme val="minor"/>
    </font>
    <font>
      <b/>
      <sz val="11"/>
      <color indexed="9"/>
      <name val="Geneva"/>
    </font>
    <font>
      <i/>
      <sz val="10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6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0" fillId="0" borderId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1">
    <xf numFmtId="0" fontId="0" fillId="0" borderId="0" xfId="0"/>
    <xf numFmtId="0" fontId="6" fillId="0" borderId="0" xfId="0" applyFont="1" applyFill="1"/>
    <xf numFmtId="0" fontId="5" fillId="0" borderId="0" xfId="391" applyFont="1"/>
    <xf numFmtId="0" fontId="9" fillId="0" borderId="0" xfId="391" applyFont="1"/>
    <xf numFmtId="0" fontId="9" fillId="0" borderId="0" xfId="391" applyFont="1" applyAlignment="1">
      <alignment horizontal="right"/>
    </xf>
    <xf numFmtId="0" fontId="9" fillId="0" borderId="0" xfId="391" applyFont="1" applyFill="1" applyAlignment="1">
      <alignment horizontal="right"/>
    </xf>
    <xf numFmtId="167" fontId="8" fillId="0" borderId="0" xfId="235" applyNumberFormat="1" applyFont="1"/>
    <xf numFmtId="165" fontId="8" fillId="0" borderId="0" xfId="235" applyNumberFormat="1" applyFont="1"/>
    <xf numFmtId="167" fontId="5" fillId="0" borderId="0" xfId="0" applyNumberFormat="1" applyFont="1"/>
    <xf numFmtId="167" fontId="12" fillId="0" borderId="0" xfId="0" applyNumberFormat="1" applyFont="1"/>
    <xf numFmtId="0" fontId="13" fillId="0" borderId="0" xfId="391" applyFont="1"/>
    <xf numFmtId="165" fontId="11" fillId="0" borderId="0" xfId="235" applyNumberFormat="1" applyFont="1" applyBorder="1"/>
    <xf numFmtId="166" fontId="11" fillId="0" borderId="0" xfId="235" applyNumberFormat="1" applyFont="1" applyBorder="1"/>
    <xf numFmtId="164" fontId="11" fillId="0" borderId="0" xfId="235" applyNumberFormat="1" applyFont="1" applyBorder="1"/>
    <xf numFmtId="0" fontId="11" fillId="0" borderId="0" xfId="235" applyFont="1" applyBorder="1"/>
    <xf numFmtId="2" fontId="11" fillId="0" borderId="0" xfId="235" applyNumberFormat="1" applyFont="1" applyBorder="1"/>
    <xf numFmtId="167" fontId="11" fillId="0" borderId="0" xfId="235" applyNumberFormat="1" applyFont="1" applyBorder="1"/>
    <xf numFmtId="0" fontId="11" fillId="0" borderId="0" xfId="235" applyFont="1"/>
    <xf numFmtId="0" fontId="14" fillId="0" borderId="0" xfId="391" applyFont="1"/>
    <xf numFmtId="0" fontId="11" fillId="0" borderId="0" xfId="236" applyNumberFormat="1" applyFont="1" applyFill="1" applyAlignment="1"/>
    <xf numFmtId="0" fontId="11" fillId="0" borderId="0" xfId="236" applyFont="1"/>
    <xf numFmtId="0" fontId="15" fillId="0" borderId="0" xfId="235" applyFont="1"/>
    <xf numFmtId="2" fontId="15" fillId="0" borderId="0" xfId="235" applyNumberFormat="1" applyFont="1" applyBorder="1"/>
    <xf numFmtId="166" fontId="15" fillId="0" borderId="0" xfId="235" applyNumberFormat="1" applyFont="1" applyBorder="1"/>
    <xf numFmtId="166" fontId="11" fillId="0" borderId="0" xfId="235" applyNumberFormat="1" applyFont="1"/>
    <xf numFmtId="0" fontId="11" fillId="0" borderId="9" xfId="235" applyFont="1" applyBorder="1" applyAlignment="1">
      <alignment horizontal="center" wrapText="1"/>
    </xf>
    <xf numFmtId="165" fontId="11" fillId="0" borderId="9" xfId="235" applyNumberFormat="1" applyFont="1" applyBorder="1" applyAlignment="1">
      <alignment horizontal="center"/>
    </xf>
    <xf numFmtId="166" fontId="11" fillId="0" borderId="9" xfId="235" applyNumberFormat="1" applyFont="1" applyBorder="1" applyAlignment="1">
      <alignment horizontal="center"/>
    </xf>
    <xf numFmtId="164" fontId="11" fillId="0" borderId="9" xfId="235" applyNumberFormat="1" applyFont="1" applyBorder="1" applyAlignment="1">
      <alignment horizontal="center"/>
    </xf>
    <xf numFmtId="0" fontId="11" fillId="0" borderId="9" xfId="235" applyFont="1" applyBorder="1" applyAlignment="1">
      <alignment horizontal="center"/>
    </xf>
    <xf numFmtId="0" fontId="11" fillId="0" borderId="6" xfId="235" applyFont="1" applyBorder="1" applyAlignment="1">
      <alignment horizontal="center"/>
    </xf>
    <xf numFmtId="0" fontId="11" fillId="0" borderId="10" xfId="235" applyFont="1" applyBorder="1" applyAlignment="1">
      <alignment horizontal="center"/>
    </xf>
    <xf numFmtId="2" fontId="11" fillId="0" borderId="5" xfId="235" applyNumberFormat="1" applyFont="1" applyBorder="1" applyAlignment="1">
      <alignment horizontal="center"/>
    </xf>
    <xf numFmtId="2" fontId="11" fillId="0" borderId="9" xfId="235" applyNumberFormat="1" applyFont="1" applyBorder="1" applyAlignment="1">
      <alignment horizontal="center"/>
    </xf>
    <xf numFmtId="167" fontId="11" fillId="0" borderId="10" xfId="235" applyNumberFormat="1" applyFont="1" applyBorder="1" applyAlignment="1">
      <alignment horizontal="center"/>
    </xf>
    <xf numFmtId="167" fontId="11" fillId="0" borderId="9" xfId="235" applyNumberFormat="1" applyFont="1" applyBorder="1" applyAlignment="1">
      <alignment horizontal="center"/>
    </xf>
    <xf numFmtId="0" fontId="11" fillId="0" borderId="9" xfId="235" applyFont="1" applyBorder="1" applyAlignment="1">
      <alignment horizontal="left"/>
    </xf>
    <xf numFmtId="0" fontId="11" fillId="0" borderId="0" xfId="235" applyFont="1" applyFill="1" applyBorder="1" applyAlignment="1">
      <alignment horizontal="right"/>
    </xf>
    <xf numFmtId="166" fontId="11" fillId="2" borderId="0" xfId="235" applyNumberFormat="1" applyFont="1" applyFill="1" applyBorder="1" applyAlignment="1">
      <alignment horizontal="right"/>
    </xf>
    <xf numFmtId="0" fontId="11" fillId="2" borderId="0" xfId="235" applyFont="1" applyFill="1" applyBorder="1" applyAlignment="1">
      <alignment horizontal="right"/>
    </xf>
    <xf numFmtId="0" fontId="11" fillId="0" borderId="0" xfId="235" applyFont="1" applyBorder="1" applyAlignment="1">
      <alignment horizontal="right"/>
    </xf>
    <xf numFmtId="2" fontId="11" fillId="2" borderId="0" xfId="235" applyNumberFormat="1" applyFont="1" applyFill="1" applyBorder="1" applyAlignment="1">
      <alignment horizontal="right"/>
    </xf>
    <xf numFmtId="167" fontId="11" fillId="2" borderId="0" xfId="235" applyNumberFormat="1" applyFont="1" applyFill="1" applyBorder="1" applyAlignment="1">
      <alignment horizontal="right"/>
    </xf>
    <xf numFmtId="0" fontId="11" fillId="2" borderId="0" xfId="236" applyFont="1" applyFill="1"/>
    <xf numFmtId="164" fontId="11" fillId="2" borderId="0" xfId="236" applyNumberFormat="1" applyFont="1" applyFill="1"/>
    <xf numFmtId="0" fontId="11" fillId="0" borderId="0" xfId="235" applyFont="1" applyAlignment="1">
      <alignment horizontal="right"/>
    </xf>
    <xf numFmtId="0" fontId="11" fillId="0" borderId="0" xfId="235" applyFont="1" applyFill="1" applyAlignment="1">
      <alignment horizontal="right"/>
    </xf>
    <xf numFmtId="167" fontId="11" fillId="0" borderId="0" xfId="235" applyNumberFormat="1" applyFont="1"/>
    <xf numFmtId="167" fontId="5" fillId="0" borderId="0" xfId="0" applyNumberFormat="1" applyFont="1" applyAlignment="1">
      <alignment vertical="center"/>
    </xf>
    <xf numFmtId="0" fontId="16" fillId="0" borderId="0" xfId="0" applyFont="1" applyFill="1"/>
    <xf numFmtId="165" fontId="11" fillId="0" borderId="0" xfId="235" applyNumberFormat="1" applyFont="1"/>
    <xf numFmtId="165" fontId="11" fillId="2" borderId="7" xfId="235" applyNumberFormat="1" applyFont="1" applyFill="1" applyBorder="1"/>
    <xf numFmtId="166" fontId="11" fillId="2" borderId="8" xfId="235" applyNumberFormat="1" applyFont="1" applyFill="1" applyBorder="1"/>
    <xf numFmtId="164" fontId="11" fillId="0" borderId="0" xfId="235" applyNumberFormat="1" applyFont="1"/>
    <xf numFmtId="0" fontId="11" fillId="2" borderId="0" xfId="235" applyFont="1" applyFill="1"/>
    <xf numFmtId="2" fontId="11" fillId="0" borderId="0" xfId="235" applyNumberFormat="1" applyFont="1"/>
    <xf numFmtId="166" fontId="11" fillId="2" borderId="7" xfId="235" applyNumberFormat="1" applyFont="1" applyFill="1" applyBorder="1"/>
    <xf numFmtId="165" fontId="11" fillId="2" borderId="8" xfId="235" applyNumberFormat="1" applyFont="1" applyFill="1" applyBorder="1"/>
    <xf numFmtId="166" fontId="11" fillId="2" borderId="1" xfId="235" applyNumberFormat="1" applyFont="1" applyFill="1" applyBorder="1"/>
    <xf numFmtId="0" fontId="11" fillId="2" borderId="2" xfId="235" applyFont="1" applyFill="1" applyBorder="1"/>
    <xf numFmtId="168" fontId="11" fillId="2" borderId="2" xfId="235" applyNumberFormat="1" applyFont="1" applyFill="1" applyBorder="1"/>
    <xf numFmtId="166" fontId="11" fillId="2" borderId="3" xfId="235" applyNumberFormat="1" applyFont="1" applyFill="1" applyBorder="1"/>
    <xf numFmtId="0" fontId="11" fillId="2" borderId="4" xfId="235" applyFont="1" applyFill="1" applyBorder="1"/>
    <xf numFmtId="168" fontId="11" fillId="2" borderId="4" xfId="235" applyNumberFormat="1" applyFont="1" applyFill="1" applyBorder="1"/>
    <xf numFmtId="164" fontId="11" fillId="2" borderId="4" xfId="235" applyNumberFormat="1" applyFont="1" applyFill="1" applyBorder="1"/>
    <xf numFmtId="164" fontId="11" fillId="2" borderId="6" xfId="235" applyNumberFormat="1" applyFont="1" applyFill="1" applyBorder="1" applyAlignment="1">
      <alignment horizontal="center"/>
    </xf>
    <xf numFmtId="0" fontId="11" fillId="2" borderId="5" xfId="235" applyFont="1" applyFill="1" applyBorder="1"/>
    <xf numFmtId="166" fontId="11" fillId="2" borderId="6" xfId="235" applyNumberFormat="1" applyFont="1" applyFill="1" applyBorder="1"/>
    <xf numFmtId="1" fontId="11" fillId="2" borderId="5" xfId="235" applyNumberFormat="1" applyFont="1" applyFill="1" applyBorder="1"/>
    <xf numFmtId="165" fontId="11" fillId="2" borderId="0" xfId="235" applyNumberFormat="1" applyFont="1" applyFill="1"/>
    <xf numFmtId="166" fontId="11" fillId="2" borderId="0" xfId="235" applyNumberFormat="1" applyFont="1" applyFill="1"/>
    <xf numFmtId="1" fontId="11" fillId="0" borderId="0" xfId="0" applyNumberFormat="1" applyFont="1" applyFill="1"/>
    <xf numFmtId="0" fontId="11" fillId="0" borderId="0" xfId="0" applyFont="1" applyFill="1"/>
    <xf numFmtId="164" fontId="11" fillId="0" borderId="0" xfId="0" applyNumberFormat="1" applyFont="1" applyFill="1"/>
    <xf numFmtId="1" fontId="6" fillId="0" borderId="0" xfId="0" applyNumberFormat="1" applyFont="1" applyFill="1"/>
    <xf numFmtId="169" fontId="6" fillId="0" borderId="0" xfId="0" applyNumberFormat="1" applyFont="1" applyFill="1"/>
    <xf numFmtId="169" fontId="11" fillId="0" borderId="0" xfId="0" applyNumberFormat="1" applyFont="1" applyFill="1" applyAlignment="1">
      <alignment vertical="center"/>
    </xf>
    <xf numFmtId="0" fontId="11" fillId="0" borderId="0" xfId="0" quotePrefix="1" applyFont="1" applyFill="1"/>
    <xf numFmtId="164" fontId="0" fillId="0" borderId="0" xfId="0" applyNumberFormat="1"/>
    <xf numFmtId="0" fontId="17" fillId="3" borderId="11" xfId="236" applyNumberFormat="1" applyFont="1" applyFill="1" applyBorder="1" applyAlignment="1">
      <alignment horizontal="left" vertical="center" wrapText="1"/>
    </xf>
    <xf numFmtId="164" fontId="17" fillId="3" borderId="11" xfId="236" applyNumberFormat="1" applyFont="1" applyFill="1" applyBorder="1" applyAlignment="1">
      <alignment horizontal="left" vertical="center" wrapText="1"/>
    </xf>
    <xf numFmtId="1" fontId="17" fillId="3" borderId="11" xfId="236" applyNumberFormat="1" applyFont="1" applyFill="1" applyBorder="1" applyAlignment="1">
      <alignment horizontal="left" vertical="center" wrapText="1"/>
    </xf>
    <xf numFmtId="2" fontId="17" fillId="3" borderId="11" xfId="236" applyNumberFormat="1" applyFont="1" applyFill="1" applyBorder="1" applyAlignment="1">
      <alignment horizontal="left" vertical="center" wrapText="1"/>
    </xf>
    <xf numFmtId="0" fontId="2" fillId="4" borderId="11" xfId="236" applyNumberFormat="1" applyFont="1" applyFill="1" applyBorder="1" applyAlignment="1">
      <alignment horizontal="left" vertical="center" wrapText="1"/>
    </xf>
    <xf numFmtId="164" fontId="2" fillId="4" borderId="11" xfId="236" applyNumberFormat="1" applyFont="1" applyFill="1" applyBorder="1" applyAlignment="1">
      <alignment horizontal="left" vertical="center" wrapText="1"/>
    </xf>
    <xf numFmtId="1" fontId="2" fillId="4" borderId="11" xfId="236" applyNumberFormat="1" applyFont="1" applyFill="1" applyBorder="1" applyAlignment="1">
      <alignment horizontal="left" vertical="center" wrapText="1"/>
    </xf>
    <xf numFmtId="2" fontId="2" fillId="4" borderId="11" xfId="236" applyNumberFormat="1" applyFont="1" applyFill="1" applyBorder="1" applyAlignment="1">
      <alignment horizontal="left" vertical="center" wrapText="1"/>
    </xf>
    <xf numFmtId="0" fontId="18" fillId="5" borderId="11" xfId="236" applyNumberFormat="1" applyFont="1" applyFill="1" applyBorder="1" applyAlignment="1">
      <alignment horizontal="left" vertical="center" wrapText="1"/>
    </xf>
    <xf numFmtId="164" fontId="18" fillId="5" borderId="11" xfId="236" applyNumberFormat="1" applyFont="1" applyFill="1" applyBorder="1" applyAlignment="1">
      <alignment horizontal="left" vertical="center" wrapText="1"/>
    </xf>
    <xf numFmtId="1" fontId="18" fillId="5" borderId="11" xfId="236" applyNumberFormat="1" applyFont="1" applyFill="1" applyBorder="1" applyAlignment="1">
      <alignment horizontal="left" vertical="center" wrapText="1"/>
    </xf>
    <xf numFmtId="2" fontId="18" fillId="5" borderId="11" xfId="236" applyNumberFormat="1" applyFont="1" applyFill="1" applyBorder="1" applyAlignment="1">
      <alignment horizontal="left" vertical="center" wrapText="1"/>
    </xf>
    <xf numFmtId="0" fontId="7" fillId="6" borderId="11" xfId="236" applyNumberFormat="1" applyFont="1" applyFill="1" applyBorder="1" applyAlignment="1">
      <alignment horizontal="left" vertical="center" wrapText="1"/>
    </xf>
    <xf numFmtId="164" fontId="7" fillId="6" borderId="11" xfId="236" applyNumberFormat="1" applyFont="1" applyFill="1" applyBorder="1" applyAlignment="1">
      <alignment horizontal="left" vertical="center" wrapText="1"/>
    </xf>
    <xf numFmtId="1" fontId="7" fillId="6" borderId="11" xfId="236" applyNumberFormat="1" applyFont="1" applyFill="1" applyBorder="1" applyAlignment="1">
      <alignment horizontal="left" vertical="center" wrapText="1"/>
    </xf>
    <xf numFmtId="2" fontId="7" fillId="6" borderId="11" xfId="236" applyNumberFormat="1" applyFont="1" applyFill="1" applyBorder="1" applyAlignment="1">
      <alignment horizontal="left" vertical="center" wrapText="1"/>
    </xf>
    <xf numFmtId="0" fontId="7" fillId="7" borderId="11" xfId="236" applyNumberFormat="1" applyFont="1" applyFill="1" applyBorder="1" applyAlignment="1">
      <alignment horizontal="left" vertical="center" wrapText="1"/>
    </xf>
    <xf numFmtId="164" fontId="7" fillId="7" borderId="11" xfId="236" applyNumberFormat="1" applyFont="1" applyFill="1" applyBorder="1" applyAlignment="1">
      <alignment horizontal="left" vertical="center" wrapText="1"/>
    </xf>
    <xf numFmtId="1" fontId="7" fillId="7" borderId="11" xfId="236" applyNumberFormat="1" applyFont="1" applyFill="1" applyBorder="1" applyAlignment="1">
      <alignment horizontal="left" vertical="center" wrapText="1"/>
    </xf>
    <xf numFmtId="2" fontId="7" fillId="7" borderId="11" xfId="236" applyNumberFormat="1" applyFont="1" applyFill="1" applyBorder="1" applyAlignment="1">
      <alignment horizontal="left" vertical="center" wrapText="1"/>
    </xf>
    <xf numFmtId="0" fontId="2" fillId="0" borderId="0" xfId="236"/>
    <xf numFmtId="0" fontId="8" fillId="0" borderId="0" xfId="235" applyFont="1"/>
    <xf numFmtId="166" fontId="0" fillId="0" borderId="0" xfId="0" applyNumberFormat="1"/>
    <xf numFmtId="164" fontId="2" fillId="0" borderId="0" xfId="236" applyNumberFormat="1"/>
    <xf numFmtId="164" fontId="8" fillId="0" borderId="0" xfId="0" applyNumberFormat="1" applyFont="1"/>
    <xf numFmtId="0" fontId="8" fillId="0" borderId="0" xfId="236" applyFont="1"/>
    <xf numFmtId="0" fontId="8" fillId="0" borderId="0" xfId="0" applyFont="1"/>
    <xf numFmtId="164" fontId="6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0" fillId="0" borderId="0" xfId="0" applyNumberFormat="1" applyFont="1"/>
    <xf numFmtId="2" fontId="10" fillId="0" borderId="0" xfId="0" applyNumberFormat="1" applyFont="1"/>
    <xf numFmtId="0" fontId="8" fillId="0" borderId="0" xfId="235" applyFont="1" applyFill="1" applyBorder="1"/>
    <xf numFmtId="1" fontId="2" fillId="0" borderId="0" xfId="236" applyNumberFormat="1"/>
    <xf numFmtId="0" fontId="10" fillId="0" borderId="0" xfId="0" applyFont="1"/>
    <xf numFmtId="164" fontId="6" fillId="0" borderId="0" xfId="0" applyNumberFormat="1" applyFont="1" applyFill="1"/>
    <xf numFmtId="170" fontId="6" fillId="0" borderId="0" xfId="0" applyNumberFormat="1" applyFont="1" applyFill="1"/>
    <xf numFmtId="170" fontId="11" fillId="0" borderId="0" xfId="0" applyNumberFormat="1" applyFont="1" applyFill="1" applyAlignment="1">
      <alignment vertical="center"/>
    </xf>
    <xf numFmtId="170" fontId="11" fillId="0" borderId="0" xfId="0" applyNumberFormat="1" applyFont="1" applyFill="1"/>
    <xf numFmtId="166" fontId="5" fillId="0" borderId="0" xfId="0" applyNumberFormat="1" applyFont="1"/>
    <xf numFmtId="2" fontId="5" fillId="0" borderId="0" xfId="236" applyNumberFormat="1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164" fontId="11" fillId="0" borderId="0" xfId="0" applyNumberFormat="1" applyFont="1"/>
    <xf numFmtId="0" fontId="11" fillId="0" borderId="0" xfId="0" applyFont="1"/>
    <xf numFmtId="164" fontId="11" fillId="0" borderId="0" xfId="236" applyNumberFormat="1" applyFont="1"/>
    <xf numFmtId="165" fontId="11" fillId="0" borderId="0" xfId="0" applyNumberFormat="1" applyFont="1"/>
    <xf numFmtId="166" fontId="11" fillId="0" borderId="0" xfId="0" applyNumberFormat="1" applyFont="1"/>
    <xf numFmtId="2" fontId="11" fillId="0" borderId="0" xfId="0" applyNumberFormat="1" applyFont="1"/>
  </cellXfs>
  <cellStyles count="6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Normal" xfId="0" builtinId="0"/>
    <cellStyle name="Normal 2" xfId="236"/>
    <cellStyle name="Normal 2 2" xfId="392"/>
    <cellStyle name="Normal 3" xfId="391"/>
    <cellStyle name="Normal_NSH Mamainse data2.xls" xfId="23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8"/>
  <sheetViews>
    <sheetView tabSelected="1" topLeftCell="A61" workbookViewId="0">
      <selection activeCell="M100" sqref="M2:M100"/>
    </sheetView>
  </sheetViews>
  <sheetFormatPr baseColWidth="10" defaultRowHeight="15" x14ac:dyDescent="0"/>
  <cols>
    <col min="1" max="1" width="10.83203125" style="1"/>
    <col min="2" max="2" width="3" style="1" customWidth="1"/>
    <col min="3" max="3" width="10.83203125" style="1"/>
    <col min="4" max="4" width="2.6640625" style="1" customWidth="1"/>
    <col min="5" max="5" width="10.83203125" style="74"/>
    <col min="6" max="6" width="2.5" style="1" customWidth="1"/>
    <col min="7" max="7" width="4.6640625" style="1" customWidth="1"/>
    <col min="8" max="8" width="3" style="1" customWidth="1"/>
    <col min="9" max="9" width="10.83203125" style="114"/>
    <col min="10" max="10" width="2.5" style="1" customWidth="1"/>
    <col min="11" max="11" width="10.83203125" style="114"/>
    <col min="12" max="12" width="2.83203125" style="1" customWidth="1"/>
    <col min="13" max="13" width="10.83203125" style="114"/>
    <col min="14" max="14" width="3" style="1" customWidth="1"/>
    <col min="15" max="15" width="10.83203125" style="114"/>
    <col min="16" max="16" width="3.5" style="1" customWidth="1"/>
    <col min="17" max="17" width="10.83203125" style="114"/>
    <col min="18" max="18" width="3.1640625" style="1" customWidth="1"/>
    <col min="19" max="19" width="10.83203125" style="1"/>
    <col min="20" max="20" width="3.1640625" style="1" customWidth="1"/>
    <col min="21" max="21" width="10.83203125" style="1"/>
    <col min="22" max="22" width="3.1640625" style="1" customWidth="1"/>
    <col min="23" max="23" width="10.83203125" style="1"/>
    <col min="24" max="24" width="3.5" style="1" customWidth="1"/>
    <col min="25" max="27" width="10.83203125" style="1"/>
    <col min="28" max="28" width="14.33203125" style="115" bestFit="1" customWidth="1"/>
    <col min="29" max="29" width="14.5" style="115" bestFit="1" customWidth="1"/>
    <col min="30" max="51" width="10.83203125" style="1"/>
  </cols>
  <sheetData>
    <row r="1" spans="1:34">
      <c r="A1" s="72" t="s">
        <v>124</v>
      </c>
      <c r="B1" s="72" t="s">
        <v>0</v>
      </c>
      <c r="C1" s="72" t="s">
        <v>79</v>
      </c>
      <c r="D1" s="72"/>
      <c r="E1" s="71" t="s">
        <v>80</v>
      </c>
      <c r="F1" s="72"/>
      <c r="G1" s="72" t="s">
        <v>81</v>
      </c>
      <c r="H1" s="72"/>
      <c r="I1" s="73" t="s">
        <v>82</v>
      </c>
      <c r="J1" s="72"/>
      <c r="K1" s="73" t="s">
        <v>83</v>
      </c>
      <c r="L1" s="72"/>
      <c r="M1" s="73" t="s">
        <v>84</v>
      </c>
      <c r="N1" s="72"/>
      <c r="O1" s="73" t="s">
        <v>85</v>
      </c>
      <c r="P1" s="72"/>
      <c r="Q1" s="73" t="s">
        <v>86</v>
      </c>
      <c r="R1" s="72"/>
      <c r="S1" s="72" t="s">
        <v>87</v>
      </c>
      <c r="T1" s="72"/>
      <c r="U1" s="72" t="s">
        <v>88</v>
      </c>
      <c r="V1" s="72"/>
      <c r="W1" s="72" t="s">
        <v>89</v>
      </c>
      <c r="X1" s="72"/>
      <c r="Y1" s="72"/>
      <c r="AA1" s="1" t="s">
        <v>109</v>
      </c>
      <c r="AB1" s="115" t="s">
        <v>167</v>
      </c>
      <c r="AC1" s="115" t="s">
        <v>168</v>
      </c>
      <c r="AD1" s="1" t="s">
        <v>170</v>
      </c>
      <c r="AH1" s="72"/>
    </row>
    <row r="2" spans="1:34">
      <c r="A2" s="72" t="s">
        <v>125</v>
      </c>
      <c r="B2" s="72" t="s">
        <v>0</v>
      </c>
      <c r="C2" s="49" t="s">
        <v>1</v>
      </c>
      <c r="D2" s="72" t="s">
        <v>0</v>
      </c>
      <c r="E2" s="71">
        <v>68.126200000000011</v>
      </c>
      <c r="F2" s="72" t="s">
        <v>0</v>
      </c>
      <c r="G2" s="72">
        <v>6</v>
      </c>
      <c r="H2" s="72" t="s">
        <v>0</v>
      </c>
      <c r="I2" s="73">
        <v>203.2</v>
      </c>
      <c r="J2" s="72" t="s">
        <v>0</v>
      </c>
      <c r="K2" s="73">
        <v>-50.3</v>
      </c>
      <c r="L2" s="72" t="s">
        <v>0</v>
      </c>
      <c r="M2" s="73">
        <v>131.6</v>
      </c>
      <c r="N2" s="72" t="s">
        <v>0</v>
      </c>
      <c r="O2" s="73">
        <v>-63.2</v>
      </c>
      <c r="P2" s="72" t="s">
        <v>0</v>
      </c>
      <c r="Q2" s="73">
        <v>9.1999999999999993</v>
      </c>
      <c r="R2" s="72" t="s">
        <v>0</v>
      </c>
      <c r="S2" s="71">
        <v>54</v>
      </c>
      <c r="T2" s="72" t="s">
        <v>0</v>
      </c>
      <c r="U2" s="72" t="s">
        <v>2</v>
      </c>
      <c r="V2" s="72" t="s">
        <v>0</v>
      </c>
      <c r="W2" s="72" t="s">
        <v>90</v>
      </c>
      <c r="X2" s="72" t="s">
        <v>0</v>
      </c>
      <c r="Y2" s="72" t="s">
        <v>318</v>
      </c>
      <c r="AA2" s="72" t="s">
        <v>116</v>
      </c>
      <c r="AB2" s="115">
        <v>47.0988032380737</v>
      </c>
      <c r="AC2" s="115">
        <v>-84.712252949819799</v>
      </c>
      <c r="AH2" s="72"/>
    </row>
    <row r="3" spans="1:34">
      <c r="A3" s="72" t="s">
        <v>125</v>
      </c>
      <c r="B3" s="72" t="s">
        <v>0</v>
      </c>
      <c r="C3" s="49" t="s">
        <v>91</v>
      </c>
      <c r="D3" s="72" t="s">
        <v>0</v>
      </c>
      <c r="E3" s="71">
        <f>E2+16</f>
        <v>84.126200000000011</v>
      </c>
      <c r="F3" s="72" t="s">
        <v>0</v>
      </c>
      <c r="G3" s="72">
        <v>3</v>
      </c>
      <c r="H3" s="72" t="s">
        <v>0</v>
      </c>
      <c r="I3" s="73">
        <v>225</v>
      </c>
      <c r="J3" s="72" t="s">
        <v>0</v>
      </c>
      <c r="K3" s="73">
        <v>-47.2</v>
      </c>
      <c r="L3" s="72" t="s">
        <v>0</v>
      </c>
      <c r="M3" s="73">
        <v>146</v>
      </c>
      <c r="N3" s="72" t="s">
        <v>0</v>
      </c>
      <c r="O3" s="73">
        <v>-77.2</v>
      </c>
      <c r="P3" s="72" t="s">
        <v>0</v>
      </c>
      <c r="Q3" s="73">
        <v>13.7</v>
      </c>
      <c r="R3" s="72" t="s">
        <v>0</v>
      </c>
      <c r="S3" s="71">
        <v>54</v>
      </c>
      <c r="T3" s="72" t="s">
        <v>0</v>
      </c>
      <c r="U3" s="72" t="s">
        <v>2</v>
      </c>
      <c r="V3" s="72" t="s">
        <v>0</v>
      </c>
      <c r="W3" s="72" t="s">
        <v>90</v>
      </c>
      <c r="X3" s="72" t="s">
        <v>0</v>
      </c>
      <c r="Y3" s="72" t="s">
        <v>92</v>
      </c>
      <c r="AA3" s="72" t="s">
        <v>116</v>
      </c>
      <c r="AB3" s="115">
        <v>47.098654000000003</v>
      </c>
      <c r="AC3" s="115">
        <v>-84.712383000000003</v>
      </c>
      <c r="AH3" s="72"/>
    </row>
    <row r="4" spans="1:34">
      <c r="A4" s="72" t="s">
        <v>125</v>
      </c>
      <c r="B4" s="72" t="s">
        <v>0</v>
      </c>
      <c r="C4" s="49" t="s">
        <v>108</v>
      </c>
      <c r="D4" s="72" t="s">
        <v>0</v>
      </c>
      <c r="E4" s="71">
        <f>E2+17</f>
        <v>85.126200000000011</v>
      </c>
      <c r="F4" s="72" t="s">
        <v>0</v>
      </c>
      <c r="G4" s="72">
        <v>5</v>
      </c>
      <c r="H4" s="72" t="s">
        <v>0</v>
      </c>
      <c r="I4" s="73">
        <v>226.7</v>
      </c>
      <c r="J4" s="72" t="s">
        <v>0</v>
      </c>
      <c r="K4" s="73">
        <v>-52.8</v>
      </c>
      <c r="L4" s="72" t="s">
        <v>0</v>
      </c>
      <c r="M4" s="73">
        <v>120.3</v>
      </c>
      <c r="N4" s="72" t="s">
        <v>0</v>
      </c>
      <c r="O4" s="73">
        <v>-77.5</v>
      </c>
      <c r="P4" s="72" t="s">
        <v>0</v>
      </c>
      <c r="Q4" s="73">
        <v>7.4</v>
      </c>
      <c r="R4" s="72" t="s">
        <v>0</v>
      </c>
      <c r="S4" s="71">
        <v>87.5</v>
      </c>
      <c r="T4" s="72" t="s">
        <v>0</v>
      </c>
      <c r="U4" s="72" t="s">
        <v>2</v>
      </c>
      <c r="V4" s="72" t="s">
        <v>0</v>
      </c>
      <c r="W4" s="72" t="s">
        <v>100</v>
      </c>
      <c r="X4" s="72" t="s">
        <v>0</v>
      </c>
      <c r="Y4" s="72" t="s">
        <v>92</v>
      </c>
      <c r="AA4" s="72" t="s">
        <v>116</v>
      </c>
      <c r="AB4" s="115">
        <v>47.098618000000002</v>
      </c>
      <c r="AC4" s="115">
        <v>-84.712419999999995</v>
      </c>
      <c r="AH4" s="72"/>
    </row>
    <row r="5" spans="1:34">
      <c r="A5" s="72" t="s">
        <v>125</v>
      </c>
      <c r="B5" s="72" t="s">
        <v>0</v>
      </c>
      <c r="C5" s="49" t="s">
        <v>3</v>
      </c>
      <c r="D5" s="72" t="s">
        <v>0</v>
      </c>
      <c r="E5" s="71">
        <v>88.826200000000014</v>
      </c>
      <c r="F5" s="72" t="s">
        <v>0</v>
      </c>
      <c r="G5" s="72">
        <v>4</v>
      </c>
      <c r="H5" s="72" t="s">
        <v>0</v>
      </c>
      <c r="I5" s="73">
        <v>209.1</v>
      </c>
      <c r="J5" s="72" t="s">
        <v>0</v>
      </c>
      <c r="K5" s="73">
        <v>-46.8</v>
      </c>
      <c r="L5" s="72" t="s">
        <v>0</v>
      </c>
      <c r="M5" s="73">
        <v>141.5</v>
      </c>
      <c r="N5" s="72" t="s">
        <v>0</v>
      </c>
      <c r="O5" s="73">
        <v>-66.400000000000006</v>
      </c>
      <c r="P5" s="72" t="s">
        <v>0</v>
      </c>
      <c r="Q5" s="73">
        <v>8.4</v>
      </c>
      <c r="R5" s="72" t="s">
        <v>0</v>
      </c>
      <c r="S5" s="71">
        <v>120.7</v>
      </c>
      <c r="T5" s="72" t="s">
        <v>0</v>
      </c>
      <c r="U5" s="72" t="s">
        <v>2</v>
      </c>
      <c r="V5" s="72" t="s">
        <v>0</v>
      </c>
      <c r="W5" s="72" t="s">
        <v>90</v>
      </c>
      <c r="X5" s="72" t="s">
        <v>0</v>
      </c>
      <c r="Y5" s="72" t="s">
        <v>318</v>
      </c>
      <c r="AA5" s="72" t="s">
        <v>116</v>
      </c>
      <c r="AB5" s="115">
        <v>47.098592717409304</v>
      </c>
      <c r="AC5" s="115">
        <v>-84.712525542127906</v>
      </c>
      <c r="AH5" s="72"/>
    </row>
    <row r="6" spans="1:34">
      <c r="A6" s="72" t="s">
        <v>125</v>
      </c>
      <c r="B6" s="72" t="s">
        <v>0</v>
      </c>
      <c r="C6" s="49" t="s">
        <v>93</v>
      </c>
      <c r="D6" s="72" t="s">
        <v>0</v>
      </c>
      <c r="E6" s="71">
        <f>E2+21</f>
        <v>89.126200000000011</v>
      </c>
      <c r="F6" s="72" t="s">
        <v>0</v>
      </c>
      <c r="G6" s="72">
        <v>6</v>
      </c>
      <c r="H6" s="72" t="s">
        <v>0</v>
      </c>
      <c r="I6" s="73">
        <v>218.3</v>
      </c>
      <c r="J6" s="72" t="s">
        <v>0</v>
      </c>
      <c r="K6" s="73">
        <v>-52.3</v>
      </c>
      <c r="L6" s="72" t="s">
        <v>0</v>
      </c>
      <c r="M6" s="73">
        <v>126.6</v>
      </c>
      <c r="N6" s="72" t="s">
        <v>0</v>
      </c>
      <c r="O6" s="73">
        <v>-72.7</v>
      </c>
      <c r="P6" s="72" t="s">
        <v>0</v>
      </c>
      <c r="Q6" s="73">
        <v>4.5</v>
      </c>
      <c r="R6" s="72" t="s">
        <v>0</v>
      </c>
      <c r="S6" s="71">
        <v>189</v>
      </c>
      <c r="T6" s="72" t="s">
        <v>0</v>
      </c>
      <c r="U6" s="72" t="s">
        <v>2</v>
      </c>
      <c r="V6" s="72" t="s">
        <v>0</v>
      </c>
      <c r="W6" s="72" t="s">
        <v>90</v>
      </c>
      <c r="X6" s="72" t="s">
        <v>0</v>
      </c>
      <c r="Y6" s="72" t="s">
        <v>92</v>
      </c>
      <c r="AA6" s="72" t="s">
        <v>116</v>
      </c>
      <c r="AB6" s="115">
        <f>AVERAGE(AB5,AB7)</f>
        <v>47.098579757573702</v>
      </c>
      <c r="AC6" s="115">
        <f>AVERAGE(AC5,AC7)</f>
        <v>-84.712552454480857</v>
      </c>
      <c r="AH6" s="72"/>
    </row>
    <row r="7" spans="1:34">
      <c r="A7" s="72" t="s">
        <v>125</v>
      </c>
      <c r="B7" s="72" t="s">
        <v>0</v>
      </c>
      <c r="C7" s="49" t="s">
        <v>4</v>
      </c>
      <c r="D7" s="72" t="s">
        <v>0</v>
      </c>
      <c r="E7" s="71">
        <v>90.426200000000009</v>
      </c>
      <c r="F7" s="72" t="s">
        <v>0</v>
      </c>
      <c r="G7" s="72">
        <v>4</v>
      </c>
      <c r="H7" s="72" t="s">
        <v>0</v>
      </c>
      <c r="I7" s="73">
        <v>219.1</v>
      </c>
      <c r="J7" s="72" t="s">
        <v>0</v>
      </c>
      <c r="K7" s="73">
        <v>-53.5</v>
      </c>
      <c r="L7" s="72" t="s">
        <v>0</v>
      </c>
      <c r="M7" s="73">
        <v>122.6</v>
      </c>
      <c r="N7" s="72" t="s">
        <v>0</v>
      </c>
      <c r="O7" s="73">
        <v>-72.900000000000006</v>
      </c>
      <c r="P7" s="72" t="s">
        <v>0</v>
      </c>
      <c r="Q7" s="73">
        <v>9.6</v>
      </c>
      <c r="R7" s="72" t="s">
        <v>0</v>
      </c>
      <c r="S7" s="71">
        <v>92.7</v>
      </c>
      <c r="T7" s="72" t="s">
        <v>0</v>
      </c>
      <c r="U7" s="72" t="s">
        <v>2</v>
      </c>
      <c r="V7" s="72" t="s">
        <v>0</v>
      </c>
      <c r="W7" s="72" t="s">
        <v>90</v>
      </c>
      <c r="X7" s="72" t="s">
        <v>0</v>
      </c>
      <c r="Y7" s="72" t="s">
        <v>318</v>
      </c>
      <c r="AA7" s="72" t="s">
        <v>116</v>
      </c>
      <c r="AB7" s="115">
        <v>47.098566797738101</v>
      </c>
      <c r="AC7" s="115">
        <v>-84.712579366833793</v>
      </c>
      <c r="AH7" s="72"/>
    </row>
    <row r="8" spans="1:34">
      <c r="A8" s="72" t="s">
        <v>125</v>
      </c>
      <c r="B8" s="72" t="s">
        <v>0</v>
      </c>
      <c r="C8" s="49" t="s">
        <v>94</v>
      </c>
      <c r="D8" s="72" t="s">
        <v>0</v>
      </c>
      <c r="E8" s="71">
        <f>E2+26</f>
        <v>94.126200000000011</v>
      </c>
      <c r="F8" s="72" t="s">
        <v>0</v>
      </c>
      <c r="G8" s="72">
        <v>5</v>
      </c>
      <c r="H8" s="72" t="s">
        <v>0</v>
      </c>
      <c r="I8" s="73">
        <v>211</v>
      </c>
      <c r="J8" s="72" t="s">
        <v>0</v>
      </c>
      <c r="K8" s="73">
        <v>-59.4</v>
      </c>
      <c r="L8" s="72" t="s">
        <v>0</v>
      </c>
      <c r="M8" s="73">
        <v>108.9</v>
      </c>
      <c r="N8" s="72" t="s">
        <v>0</v>
      </c>
      <c r="O8" s="73">
        <v>-67.099999999999994</v>
      </c>
      <c r="P8" s="72" t="s">
        <v>0</v>
      </c>
      <c r="Q8" s="73">
        <v>7.4</v>
      </c>
      <c r="R8" s="72" t="s">
        <v>0</v>
      </c>
      <c r="S8" s="71">
        <v>87</v>
      </c>
      <c r="T8" s="72" t="s">
        <v>0</v>
      </c>
      <c r="U8" s="72" t="s">
        <v>2</v>
      </c>
      <c r="V8" s="72" t="s">
        <v>0</v>
      </c>
      <c r="W8" s="72" t="s">
        <v>90</v>
      </c>
      <c r="X8" s="72" t="s">
        <v>0</v>
      </c>
      <c r="Y8" s="72" t="s">
        <v>92</v>
      </c>
      <c r="AA8" s="72" t="s">
        <v>116</v>
      </c>
      <c r="AB8" s="115">
        <v>47.098498999999997</v>
      </c>
      <c r="AC8" s="115">
        <v>-84.712599999999995</v>
      </c>
      <c r="AH8" s="72"/>
    </row>
    <row r="9" spans="1:34">
      <c r="A9" s="72" t="s">
        <v>125</v>
      </c>
      <c r="B9" s="72" t="s">
        <v>0</v>
      </c>
      <c r="C9" s="49" t="s">
        <v>95</v>
      </c>
      <c r="D9" s="72" t="s">
        <v>0</v>
      </c>
      <c r="E9" s="71">
        <f>E2+31</f>
        <v>99.126200000000011</v>
      </c>
      <c r="F9" s="72" t="s">
        <v>0</v>
      </c>
      <c r="G9" s="72">
        <v>3</v>
      </c>
      <c r="H9" s="72" t="s">
        <v>0</v>
      </c>
      <c r="I9" s="73">
        <v>217.6</v>
      </c>
      <c r="J9" s="72" t="s">
        <v>0</v>
      </c>
      <c r="K9" s="73">
        <v>-51.6</v>
      </c>
      <c r="L9" s="72" t="s">
        <v>0</v>
      </c>
      <c r="M9" s="73">
        <v>128.9</v>
      </c>
      <c r="N9" s="72" t="s">
        <v>0</v>
      </c>
      <c r="O9" s="73">
        <v>-72.400000000000006</v>
      </c>
      <c r="P9" s="72" t="s">
        <v>0</v>
      </c>
      <c r="Q9" s="73">
        <v>2.2999999999999998</v>
      </c>
      <c r="R9" s="72" t="s">
        <v>0</v>
      </c>
      <c r="S9" s="71">
        <v>1895</v>
      </c>
      <c r="T9" s="72" t="s">
        <v>0</v>
      </c>
      <c r="U9" s="72" t="s">
        <v>2</v>
      </c>
      <c r="V9" s="72" t="s">
        <v>0</v>
      </c>
      <c r="W9" s="72" t="s">
        <v>90</v>
      </c>
      <c r="X9" s="72" t="s">
        <v>0</v>
      </c>
      <c r="Y9" s="72" t="s">
        <v>92</v>
      </c>
      <c r="AA9" s="72" t="s">
        <v>116</v>
      </c>
      <c r="AB9" s="115">
        <v>47.098453999999997</v>
      </c>
      <c r="AC9" s="115">
        <v>-84.712644999999995</v>
      </c>
      <c r="AH9" s="72"/>
    </row>
    <row r="10" spans="1:34">
      <c r="A10" s="72" t="s">
        <v>125</v>
      </c>
      <c r="B10" s="72" t="s">
        <v>0</v>
      </c>
      <c r="C10" s="49" t="s">
        <v>96</v>
      </c>
      <c r="D10" s="72" t="s">
        <v>0</v>
      </c>
      <c r="E10" s="71">
        <f>E2+32</f>
        <v>100.12620000000001</v>
      </c>
      <c r="F10" s="72" t="s">
        <v>0</v>
      </c>
      <c r="G10" s="72">
        <v>3</v>
      </c>
      <c r="H10" s="72" t="s">
        <v>0</v>
      </c>
      <c r="I10" s="73">
        <v>215.1</v>
      </c>
      <c r="J10" s="72" t="s">
        <v>0</v>
      </c>
      <c r="K10" s="73">
        <v>-48.5</v>
      </c>
      <c r="L10" s="72" t="s">
        <v>0</v>
      </c>
      <c r="M10" s="73">
        <v>138.69999999999999</v>
      </c>
      <c r="N10" s="72" t="s">
        <v>0</v>
      </c>
      <c r="O10" s="73">
        <v>-70.7</v>
      </c>
      <c r="P10" s="72" t="s">
        <v>0</v>
      </c>
      <c r="Q10" s="73">
        <v>5.5</v>
      </c>
      <c r="R10" s="72" t="s">
        <v>0</v>
      </c>
      <c r="S10" s="71">
        <v>337</v>
      </c>
      <c r="T10" s="72" t="s">
        <v>0</v>
      </c>
      <c r="U10" s="72" t="s">
        <v>2</v>
      </c>
      <c r="V10" s="72" t="s">
        <v>0</v>
      </c>
      <c r="W10" s="72" t="s">
        <v>90</v>
      </c>
      <c r="X10" s="72" t="s">
        <v>0</v>
      </c>
      <c r="Y10" s="72" t="s">
        <v>92</v>
      </c>
      <c r="AA10" s="72" t="s">
        <v>116</v>
      </c>
      <c r="AB10" s="115">
        <v>47.098443000000003</v>
      </c>
      <c r="AC10" s="115">
        <v>-84.712665000000001</v>
      </c>
      <c r="AH10" s="72"/>
    </row>
    <row r="11" spans="1:34">
      <c r="A11" s="72" t="s">
        <v>125</v>
      </c>
      <c r="B11" s="72" t="s">
        <v>0</v>
      </c>
      <c r="C11" s="49" t="s">
        <v>5</v>
      </c>
      <c r="D11" s="72" t="s">
        <v>0</v>
      </c>
      <c r="E11" s="71">
        <v>104.82620000000001</v>
      </c>
      <c r="F11" s="72" t="s">
        <v>0</v>
      </c>
      <c r="G11" s="72">
        <v>6</v>
      </c>
      <c r="H11" s="72" t="s">
        <v>0</v>
      </c>
      <c r="I11" s="73">
        <v>209.4</v>
      </c>
      <c r="J11" s="72" t="s">
        <v>0</v>
      </c>
      <c r="K11" s="73">
        <v>-53.1</v>
      </c>
      <c r="L11" s="72" t="s">
        <v>0</v>
      </c>
      <c r="M11" s="73">
        <v>125.8</v>
      </c>
      <c r="N11" s="72" t="s">
        <v>0</v>
      </c>
      <c r="O11" s="73">
        <v>-67.2</v>
      </c>
      <c r="P11" s="72" t="s">
        <v>0</v>
      </c>
      <c r="Q11" s="73">
        <v>6.6</v>
      </c>
      <c r="R11" s="72" t="s">
        <v>0</v>
      </c>
      <c r="S11" s="71">
        <v>105.1</v>
      </c>
      <c r="T11" s="72" t="s">
        <v>0</v>
      </c>
      <c r="U11" s="72" t="s">
        <v>2</v>
      </c>
      <c r="V11" s="72" t="s">
        <v>0</v>
      </c>
      <c r="W11" s="72" t="s">
        <v>90</v>
      </c>
      <c r="X11" s="72" t="s">
        <v>0</v>
      </c>
      <c r="Y11" s="72" t="s">
        <v>318</v>
      </c>
      <c r="AA11" s="72" t="s">
        <v>116</v>
      </c>
      <c r="AB11" s="115">
        <v>47.098407588585196</v>
      </c>
      <c r="AC11" s="115">
        <v>-84.712717973514799</v>
      </c>
      <c r="AH11" s="72"/>
    </row>
    <row r="12" spans="1:34">
      <c r="A12" s="72" t="s">
        <v>125</v>
      </c>
      <c r="B12" s="72" t="s">
        <v>0</v>
      </c>
      <c r="C12" s="49" t="s">
        <v>97</v>
      </c>
      <c r="D12" s="72" t="s">
        <v>0</v>
      </c>
      <c r="E12" s="71">
        <f>E2+37</f>
        <v>105.12620000000001</v>
      </c>
      <c r="F12" s="72" t="s">
        <v>0</v>
      </c>
      <c r="G12" s="72">
        <v>5</v>
      </c>
      <c r="H12" s="72" t="s">
        <v>0</v>
      </c>
      <c r="I12" s="73">
        <v>203.4</v>
      </c>
      <c r="J12" s="72" t="s">
        <v>0</v>
      </c>
      <c r="K12" s="73">
        <v>-56.8</v>
      </c>
      <c r="L12" s="72" t="s">
        <v>0</v>
      </c>
      <c r="M12" s="73">
        <v>117</v>
      </c>
      <c r="N12" s="72" t="s">
        <v>0</v>
      </c>
      <c r="O12" s="73">
        <v>-63.7</v>
      </c>
      <c r="P12" s="72" t="s">
        <v>0</v>
      </c>
      <c r="Q12" s="73">
        <v>5</v>
      </c>
      <c r="R12" s="72" t="s">
        <v>0</v>
      </c>
      <c r="S12" s="71">
        <v>189</v>
      </c>
      <c r="T12" s="72" t="s">
        <v>0</v>
      </c>
      <c r="U12" s="72" t="s">
        <v>7</v>
      </c>
      <c r="V12" s="72" t="s">
        <v>0</v>
      </c>
      <c r="W12" s="72" t="s">
        <v>90</v>
      </c>
      <c r="X12" s="72" t="s">
        <v>0</v>
      </c>
      <c r="Y12" s="72" t="s">
        <v>92</v>
      </c>
      <c r="AA12" s="72" t="s">
        <v>116</v>
      </c>
      <c r="AB12" s="115">
        <f>AVERAGE(AB11,AB13)</f>
        <v>47.098359058458797</v>
      </c>
      <c r="AC12" s="115">
        <f>AVERAGE(AC11,AC13)</f>
        <v>-84.712766177417308</v>
      </c>
      <c r="AH12" s="72"/>
    </row>
    <row r="13" spans="1:34">
      <c r="A13" s="72" t="s">
        <v>125</v>
      </c>
      <c r="B13" s="72" t="s">
        <v>0</v>
      </c>
      <c r="C13" s="49" t="s">
        <v>6</v>
      </c>
      <c r="D13" s="72" t="s">
        <v>0</v>
      </c>
      <c r="E13" s="71">
        <v>108.82620000000001</v>
      </c>
      <c r="F13" s="72" t="s">
        <v>0</v>
      </c>
      <c r="G13" s="72">
        <v>4</v>
      </c>
      <c r="H13" s="72" t="s">
        <v>0</v>
      </c>
      <c r="I13" s="73">
        <v>205.1</v>
      </c>
      <c r="J13" s="72" t="s">
        <v>0</v>
      </c>
      <c r="K13" s="73">
        <v>-54.7</v>
      </c>
      <c r="L13" s="72" t="s">
        <v>0</v>
      </c>
      <c r="M13" s="73">
        <v>122</v>
      </c>
      <c r="N13" s="72" t="s">
        <v>0</v>
      </c>
      <c r="O13" s="73">
        <v>-64.599999999999994</v>
      </c>
      <c r="P13" s="72" t="s">
        <v>0</v>
      </c>
      <c r="Q13" s="73">
        <v>2.6</v>
      </c>
      <c r="R13" s="72" t="s">
        <v>0</v>
      </c>
      <c r="S13" s="71">
        <v>1205</v>
      </c>
      <c r="T13" s="72" t="s">
        <v>0</v>
      </c>
      <c r="U13" s="72" t="s">
        <v>7</v>
      </c>
      <c r="V13" s="72" t="s">
        <v>0</v>
      </c>
      <c r="W13" s="72" t="s">
        <v>90</v>
      </c>
      <c r="X13" s="72" t="s">
        <v>0</v>
      </c>
      <c r="Y13" s="72" t="s">
        <v>318</v>
      </c>
      <c r="AA13" s="72" t="s">
        <v>116</v>
      </c>
      <c r="AB13" s="115">
        <v>47.098310528332398</v>
      </c>
      <c r="AC13" s="115">
        <v>-84.712814381319802</v>
      </c>
      <c r="AH13" s="72"/>
    </row>
    <row r="14" spans="1:34">
      <c r="A14" s="72" t="s">
        <v>8</v>
      </c>
      <c r="B14" s="72" t="s">
        <v>0</v>
      </c>
      <c r="C14" s="49" t="s">
        <v>9</v>
      </c>
      <c r="D14" s="72" t="s">
        <v>0</v>
      </c>
      <c r="E14" s="71">
        <v>221.73150000000001</v>
      </c>
      <c r="F14" s="72" t="s">
        <v>0</v>
      </c>
      <c r="G14" s="72">
        <v>6</v>
      </c>
      <c r="H14" s="72" t="s">
        <v>0</v>
      </c>
      <c r="I14" s="73">
        <v>249.8</v>
      </c>
      <c r="J14" s="72" t="s">
        <v>0</v>
      </c>
      <c r="K14" s="73">
        <v>-62.9</v>
      </c>
      <c r="L14" s="72" t="s">
        <v>0</v>
      </c>
      <c r="M14" s="73">
        <v>78.599999999999994</v>
      </c>
      <c r="N14" s="72" t="s">
        <v>0</v>
      </c>
      <c r="O14" s="73">
        <v>-75</v>
      </c>
      <c r="P14" s="72" t="s">
        <v>0</v>
      </c>
      <c r="Q14" s="73">
        <v>3.3</v>
      </c>
      <c r="R14" s="72" t="s">
        <v>0</v>
      </c>
      <c r="S14" s="71">
        <v>419</v>
      </c>
      <c r="T14" s="72" t="s">
        <v>0</v>
      </c>
      <c r="U14" s="72" t="s">
        <v>2</v>
      </c>
      <c r="V14" s="72" t="s">
        <v>0</v>
      </c>
      <c r="W14" s="72" t="s">
        <v>90</v>
      </c>
      <c r="X14" s="72" t="s">
        <v>0</v>
      </c>
      <c r="Y14" s="72" t="s">
        <v>318</v>
      </c>
      <c r="AA14" s="72" t="s">
        <v>116</v>
      </c>
      <c r="AB14" s="115">
        <v>47.096718916783502</v>
      </c>
      <c r="AC14" s="115">
        <v>-84.714674785375294</v>
      </c>
      <c r="AH14" s="72"/>
    </row>
    <row r="15" spans="1:34">
      <c r="A15" s="72" t="s">
        <v>126</v>
      </c>
      <c r="B15" s="72" t="s">
        <v>0</v>
      </c>
      <c r="C15" s="49" t="s">
        <v>10</v>
      </c>
      <c r="D15" s="72" t="s">
        <v>0</v>
      </c>
      <c r="E15" s="71">
        <v>369.55250000000001</v>
      </c>
      <c r="F15" s="72" t="s">
        <v>0</v>
      </c>
      <c r="G15" s="72">
        <v>4</v>
      </c>
      <c r="H15" s="72" t="s">
        <v>0</v>
      </c>
      <c r="I15" s="73">
        <v>212.4</v>
      </c>
      <c r="J15" s="72" t="s">
        <v>0</v>
      </c>
      <c r="K15" s="73">
        <v>-51.8</v>
      </c>
      <c r="L15" s="72" t="s">
        <v>0</v>
      </c>
      <c r="M15" s="73">
        <v>120.3</v>
      </c>
      <c r="N15" s="72" t="s">
        <v>0</v>
      </c>
      <c r="O15" s="73">
        <v>-67.099999999999994</v>
      </c>
      <c r="P15" s="72" t="s">
        <v>0</v>
      </c>
      <c r="Q15" s="73">
        <v>6.9</v>
      </c>
      <c r="R15" s="72" t="s">
        <v>0</v>
      </c>
      <c r="S15" s="71">
        <v>178.6</v>
      </c>
      <c r="T15" s="72" t="s">
        <v>0</v>
      </c>
      <c r="U15" s="72" t="s">
        <v>2</v>
      </c>
      <c r="V15" s="72" t="s">
        <v>0</v>
      </c>
      <c r="W15" s="72" t="s">
        <v>90</v>
      </c>
      <c r="X15" s="72" t="s">
        <v>0</v>
      </c>
      <c r="Y15" s="72" t="s">
        <v>318</v>
      </c>
      <c r="AA15" s="72" t="s">
        <v>116</v>
      </c>
      <c r="AB15" s="115">
        <v>47.0946179616164</v>
      </c>
      <c r="AC15" s="115">
        <v>-84.716266955079007</v>
      </c>
      <c r="AH15" s="72"/>
    </row>
    <row r="16" spans="1:34">
      <c r="A16" s="72" t="s">
        <v>126</v>
      </c>
      <c r="B16" s="72" t="s">
        <v>0</v>
      </c>
      <c r="C16" s="49" t="s">
        <v>169</v>
      </c>
      <c r="D16" s="72" t="s">
        <v>0</v>
      </c>
      <c r="E16" s="71">
        <v>376.9</v>
      </c>
      <c r="F16" s="72" t="s">
        <v>0</v>
      </c>
      <c r="G16" s="72">
        <v>6</v>
      </c>
      <c r="H16" s="72" t="s">
        <v>0</v>
      </c>
      <c r="I16" s="73">
        <v>222.3</v>
      </c>
      <c r="J16" s="72" t="s">
        <v>0</v>
      </c>
      <c r="K16" s="73">
        <v>-50.7</v>
      </c>
      <c r="L16" s="72" t="s">
        <v>0</v>
      </c>
      <c r="M16" s="73">
        <v>118.5</v>
      </c>
      <c r="N16" s="72" t="s">
        <v>0</v>
      </c>
      <c r="O16" s="73">
        <v>-73.5</v>
      </c>
      <c r="P16" s="72" t="s">
        <v>0</v>
      </c>
      <c r="Q16" s="73">
        <v>5.9</v>
      </c>
      <c r="R16" s="72" t="s">
        <v>0</v>
      </c>
      <c r="S16" s="71">
        <v>108</v>
      </c>
      <c r="T16" s="72" t="s">
        <v>0</v>
      </c>
      <c r="U16" s="72" t="s">
        <v>2</v>
      </c>
      <c r="V16" s="72" t="s">
        <v>0</v>
      </c>
      <c r="W16" s="72" t="s">
        <v>90</v>
      </c>
      <c r="X16" s="72" t="s">
        <v>0</v>
      </c>
      <c r="Y16" s="72" t="s">
        <v>92</v>
      </c>
      <c r="AA16" s="72" t="s">
        <v>116</v>
      </c>
      <c r="AB16" s="115">
        <f>AVERAGE(AB15,AB17)</f>
        <v>47.094546688044701</v>
      </c>
      <c r="AC16" s="115">
        <f>AVERAGE(AC15,AC17)</f>
        <v>-84.716302947481907</v>
      </c>
      <c r="AH16" s="72"/>
    </row>
    <row r="17" spans="1:34">
      <c r="A17" s="72" t="s">
        <v>126</v>
      </c>
      <c r="B17" s="72" t="s">
        <v>0</v>
      </c>
      <c r="C17" s="49" t="s">
        <v>11</v>
      </c>
      <c r="D17" s="72" t="s">
        <v>0</v>
      </c>
      <c r="E17" s="71">
        <v>389.7525</v>
      </c>
      <c r="F17" s="72" t="s">
        <v>0</v>
      </c>
      <c r="G17" s="72">
        <v>6</v>
      </c>
      <c r="H17" s="72" t="s">
        <v>0</v>
      </c>
      <c r="I17" s="73">
        <v>240</v>
      </c>
      <c r="J17" s="72" t="s">
        <v>0</v>
      </c>
      <c r="K17" s="73">
        <v>-47.5</v>
      </c>
      <c r="L17" s="72" t="s">
        <v>0</v>
      </c>
      <c r="M17" s="73">
        <v>94.7</v>
      </c>
      <c r="N17" s="72" t="s">
        <v>0</v>
      </c>
      <c r="O17" s="73">
        <v>-84.7</v>
      </c>
      <c r="P17" s="72" t="s">
        <v>0</v>
      </c>
      <c r="Q17" s="73">
        <v>1.8</v>
      </c>
      <c r="R17" s="72" t="s">
        <v>0</v>
      </c>
      <c r="S17" s="71">
        <v>1343</v>
      </c>
      <c r="T17" s="72" t="s">
        <v>0</v>
      </c>
      <c r="U17" s="72" t="s">
        <v>12</v>
      </c>
      <c r="V17" s="72" t="s">
        <v>0</v>
      </c>
      <c r="W17" s="72" t="s">
        <v>90</v>
      </c>
      <c r="X17" s="72" t="s">
        <v>0</v>
      </c>
      <c r="Y17" s="72" t="s">
        <v>318</v>
      </c>
      <c r="AA17" s="72" t="s">
        <v>116</v>
      </c>
      <c r="AB17" s="115">
        <v>47.094475414473003</v>
      </c>
      <c r="AC17" s="115">
        <v>-84.716338939884807</v>
      </c>
      <c r="AH17" s="72"/>
    </row>
    <row r="18" spans="1:34">
      <c r="A18" s="72" t="s">
        <v>126</v>
      </c>
      <c r="B18" s="72" t="s">
        <v>0</v>
      </c>
      <c r="C18" s="49" t="s">
        <v>13</v>
      </c>
      <c r="D18" s="72" t="s">
        <v>0</v>
      </c>
      <c r="E18" s="71">
        <v>396.85250000000002</v>
      </c>
      <c r="F18" s="72" t="s">
        <v>0</v>
      </c>
      <c r="G18" s="72">
        <v>4</v>
      </c>
      <c r="H18" s="72" t="s">
        <v>0</v>
      </c>
      <c r="I18" s="73">
        <v>231.7</v>
      </c>
      <c r="J18" s="72" t="s">
        <v>0</v>
      </c>
      <c r="K18" s="73">
        <v>-48</v>
      </c>
      <c r="L18" s="72" t="s">
        <v>0</v>
      </c>
      <c r="M18" s="73">
        <v>119.6</v>
      </c>
      <c r="N18" s="72" t="s">
        <v>0</v>
      </c>
      <c r="O18" s="73">
        <v>-80.099999999999994</v>
      </c>
      <c r="P18" s="72" t="s">
        <v>0</v>
      </c>
      <c r="Q18" s="73">
        <v>4.7</v>
      </c>
      <c r="R18" s="72" t="s">
        <v>0</v>
      </c>
      <c r="S18" s="71">
        <v>384.3</v>
      </c>
      <c r="T18" s="72" t="s">
        <v>0</v>
      </c>
      <c r="U18" s="72" t="s">
        <v>7</v>
      </c>
      <c r="V18" s="72" t="s">
        <v>0</v>
      </c>
      <c r="W18" s="72" t="s">
        <v>90</v>
      </c>
      <c r="X18" s="72" t="s">
        <v>0</v>
      </c>
      <c r="Y18" s="72" t="s">
        <v>318</v>
      </c>
      <c r="AA18" s="72" t="s">
        <v>116</v>
      </c>
      <c r="AB18" s="115">
        <v>47.094317779253103</v>
      </c>
      <c r="AC18" s="115">
        <v>-84.716556521651995</v>
      </c>
      <c r="AH18" s="72"/>
    </row>
    <row r="19" spans="1:34">
      <c r="A19" s="72" t="s">
        <v>126</v>
      </c>
      <c r="B19" s="72" t="s">
        <v>0</v>
      </c>
      <c r="C19" s="49" t="s">
        <v>98</v>
      </c>
      <c r="D19" s="72" t="s">
        <v>0</v>
      </c>
      <c r="E19" s="71">
        <f>E15+30</f>
        <v>399.55250000000001</v>
      </c>
      <c r="F19" s="72" t="s">
        <v>0</v>
      </c>
      <c r="G19" s="72">
        <v>4</v>
      </c>
      <c r="H19" s="72" t="s">
        <v>0</v>
      </c>
      <c r="I19" s="73">
        <v>235.4</v>
      </c>
      <c r="J19" s="72" t="s">
        <v>0</v>
      </c>
      <c r="K19" s="73">
        <v>-54.2</v>
      </c>
      <c r="L19" s="72" t="s">
        <v>0</v>
      </c>
      <c r="M19" s="73">
        <v>86.9</v>
      </c>
      <c r="N19" s="72" t="s">
        <v>0</v>
      </c>
      <c r="O19" s="73">
        <v>-77.7</v>
      </c>
      <c r="P19" s="72" t="s">
        <v>0</v>
      </c>
      <c r="Q19" s="73">
        <v>3.3</v>
      </c>
      <c r="R19" s="72" t="s">
        <v>0</v>
      </c>
      <c r="S19" s="71">
        <v>594</v>
      </c>
      <c r="T19" s="72" t="s">
        <v>0</v>
      </c>
      <c r="U19" s="72" t="s">
        <v>7</v>
      </c>
      <c r="V19" s="72" t="s">
        <v>0</v>
      </c>
      <c r="W19" s="72" t="s">
        <v>90</v>
      </c>
      <c r="X19" s="72" t="s">
        <v>0</v>
      </c>
      <c r="Y19" s="72" t="s">
        <v>92</v>
      </c>
      <c r="AA19" s="72" t="s">
        <v>116</v>
      </c>
      <c r="AB19" s="115">
        <f>AVERAGE(AB18,AB20)</f>
        <v>47.094202074640506</v>
      </c>
      <c r="AC19" s="115">
        <f>AVERAGE(AC18,AC20)</f>
        <v>-84.716620768419006</v>
      </c>
      <c r="AH19" s="72"/>
    </row>
    <row r="20" spans="1:34">
      <c r="A20" s="72" t="s">
        <v>126</v>
      </c>
      <c r="B20" s="72" t="s">
        <v>0</v>
      </c>
      <c r="C20" s="49" t="s">
        <v>14</v>
      </c>
      <c r="D20" s="72" t="s">
        <v>0</v>
      </c>
      <c r="E20" s="71">
        <v>402.05250000000001</v>
      </c>
      <c r="F20" s="72" t="s">
        <v>0</v>
      </c>
      <c r="G20" s="72">
        <v>6</v>
      </c>
      <c r="H20" s="72" t="s">
        <v>0</v>
      </c>
      <c r="I20" s="73">
        <v>244.4</v>
      </c>
      <c r="J20" s="72" t="s">
        <v>0</v>
      </c>
      <c r="K20" s="73">
        <v>-56.5</v>
      </c>
      <c r="L20" s="72" t="s">
        <v>0</v>
      </c>
      <c r="M20" s="73">
        <v>63.2</v>
      </c>
      <c r="N20" s="72" t="s">
        <v>0</v>
      </c>
      <c r="O20" s="73">
        <v>-76.5</v>
      </c>
      <c r="P20" s="72" t="s">
        <v>0</v>
      </c>
      <c r="Q20" s="73">
        <v>5.8</v>
      </c>
      <c r="R20" s="72" t="s">
        <v>0</v>
      </c>
      <c r="S20" s="71">
        <v>133.5</v>
      </c>
      <c r="T20" s="72" t="s">
        <v>0</v>
      </c>
      <c r="U20" s="72" t="s">
        <v>12</v>
      </c>
      <c r="V20" s="72" t="s">
        <v>0</v>
      </c>
      <c r="W20" s="72" t="s">
        <v>90</v>
      </c>
      <c r="X20" s="72" t="s">
        <v>0</v>
      </c>
      <c r="Y20" s="72" t="s">
        <v>318</v>
      </c>
      <c r="AA20" s="72" t="s">
        <v>116</v>
      </c>
      <c r="AB20" s="115">
        <v>47.094086370027902</v>
      </c>
      <c r="AC20" s="115">
        <v>-84.716685015186002</v>
      </c>
      <c r="AH20" s="72"/>
    </row>
    <row r="21" spans="1:34">
      <c r="A21" s="72" t="s">
        <v>127</v>
      </c>
      <c r="B21" s="72" t="s">
        <v>0</v>
      </c>
      <c r="C21" s="49" t="s">
        <v>15</v>
      </c>
      <c r="D21" s="72" t="s">
        <v>0</v>
      </c>
      <c r="E21" s="71">
        <v>583.57159999999999</v>
      </c>
      <c r="F21" s="72" t="s">
        <v>0</v>
      </c>
      <c r="G21" s="72">
        <v>6</v>
      </c>
      <c r="H21" s="72" t="s">
        <v>0</v>
      </c>
      <c r="I21" s="73">
        <v>231.9</v>
      </c>
      <c r="J21" s="72" t="s">
        <v>0</v>
      </c>
      <c r="K21" s="73">
        <v>-55.4</v>
      </c>
      <c r="L21" s="72" t="s">
        <v>0</v>
      </c>
      <c r="M21" s="73">
        <v>99.6</v>
      </c>
      <c r="N21" s="72" t="s">
        <v>0</v>
      </c>
      <c r="O21" s="73">
        <v>-70.900000000000006</v>
      </c>
      <c r="P21" s="72" t="s">
        <v>0</v>
      </c>
      <c r="Q21" s="73">
        <v>6.5</v>
      </c>
      <c r="R21" s="72" t="s">
        <v>0</v>
      </c>
      <c r="S21" s="71">
        <v>108.6</v>
      </c>
      <c r="T21" s="72" t="s">
        <v>0</v>
      </c>
      <c r="U21" s="72" t="s">
        <v>2</v>
      </c>
      <c r="V21" s="72" t="s">
        <v>0</v>
      </c>
      <c r="W21" s="72" t="s">
        <v>90</v>
      </c>
      <c r="X21" s="72" t="s">
        <v>0</v>
      </c>
      <c r="Y21" s="72" t="s">
        <v>318</v>
      </c>
      <c r="AA21" s="72" t="s">
        <v>116</v>
      </c>
      <c r="AB21" s="115">
        <v>47.091228470801603</v>
      </c>
      <c r="AC21" s="115">
        <v>-84.718678316026001</v>
      </c>
      <c r="AH21" s="72"/>
    </row>
    <row r="22" spans="1:34">
      <c r="A22" s="72" t="s">
        <v>127</v>
      </c>
      <c r="B22" s="72" t="s">
        <v>0</v>
      </c>
      <c r="C22" s="49" t="s">
        <v>16</v>
      </c>
      <c r="D22" s="72" t="s">
        <v>0</v>
      </c>
      <c r="E22" s="71">
        <v>587.37159999999994</v>
      </c>
      <c r="F22" s="72" t="s">
        <v>0</v>
      </c>
      <c r="G22" s="72">
        <v>5</v>
      </c>
      <c r="H22" s="72" t="s">
        <v>0</v>
      </c>
      <c r="I22" s="73">
        <v>233.9</v>
      </c>
      <c r="J22" s="72" t="s">
        <v>0</v>
      </c>
      <c r="K22" s="73">
        <v>-57.6</v>
      </c>
      <c r="L22" s="72" t="s">
        <v>0</v>
      </c>
      <c r="M22" s="73">
        <v>92.9</v>
      </c>
      <c r="N22" s="72" t="s">
        <v>0</v>
      </c>
      <c r="O22" s="73">
        <v>-69.900000000000006</v>
      </c>
      <c r="P22" s="72" t="s">
        <v>0</v>
      </c>
      <c r="Q22" s="73">
        <v>2.7</v>
      </c>
      <c r="R22" s="72" t="s">
        <v>0</v>
      </c>
      <c r="S22" s="71">
        <v>813.9</v>
      </c>
      <c r="T22" s="72" t="s">
        <v>0</v>
      </c>
      <c r="U22" s="72" t="s">
        <v>12</v>
      </c>
      <c r="V22" s="72" t="s">
        <v>0</v>
      </c>
      <c r="W22" s="72" t="s">
        <v>90</v>
      </c>
      <c r="X22" s="72" t="s">
        <v>0</v>
      </c>
      <c r="Y22" s="72" t="s">
        <v>318</v>
      </c>
      <c r="AA22" s="72" t="s">
        <v>116</v>
      </c>
      <c r="AB22" s="115">
        <v>47.091139870652299</v>
      </c>
      <c r="AC22" s="115">
        <v>-84.718747984718306</v>
      </c>
      <c r="AH22" s="72"/>
    </row>
    <row r="23" spans="1:34">
      <c r="A23" s="72" t="s">
        <v>127</v>
      </c>
      <c r="B23" s="72" t="s">
        <v>0</v>
      </c>
      <c r="C23" s="49" t="s">
        <v>107</v>
      </c>
      <c r="D23" s="72" t="s">
        <v>0</v>
      </c>
      <c r="E23" s="71">
        <f>E22+6</f>
        <v>593.37159999999994</v>
      </c>
      <c r="F23" s="72" t="s">
        <v>0</v>
      </c>
      <c r="G23" s="72">
        <v>5</v>
      </c>
      <c r="H23" s="72" t="s">
        <v>0</v>
      </c>
      <c r="I23" s="73">
        <v>239.3</v>
      </c>
      <c r="J23" s="72" t="s">
        <v>0</v>
      </c>
      <c r="K23" s="73">
        <v>-58</v>
      </c>
      <c r="L23" s="72" t="s">
        <v>0</v>
      </c>
      <c r="M23" s="73">
        <v>85.2</v>
      </c>
      <c r="N23" s="72" t="s">
        <v>0</v>
      </c>
      <c r="O23" s="73">
        <v>-71</v>
      </c>
      <c r="P23" s="72" t="s">
        <v>0</v>
      </c>
      <c r="Q23" s="73">
        <v>6.3</v>
      </c>
      <c r="R23" s="72" t="s">
        <v>0</v>
      </c>
      <c r="S23" s="71">
        <v>120</v>
      </c>
      <c r="T23" s="72" t="s">
        <v>0</v>
      </c>
      <c r="U23" s="72" t="s">
        <v>2</v>
      </c>
      <c r="V23" s="72" t="s">
        <v>0</v>
      </c>
      <c r="W23" s="72" t="s">
        <v>100</v>
      </c>
      <c r="X23" s="72" t="s">
        <v>0</v>
      </c>
      <c r="Y23" s="72" t="s">
        <v>92</v>
      </c>
      <c r="AA23" s="72" t="s">
        <v>116</v>
      </c>
      <c r="AB23" s="115">
        <f>AVERAGE(AB22,AB24)</f>
        <v>47.091077587623204</v>
      </c>
      <c r="AC23" s="115">
        <f>AVERAGE(AC22,AC24)</f>
        <v>-84.718783587196555</v>
      </c>
      <c r="AH23" s="72"/>
    </row>
    <row r="24" spans="1:34">
      <c r="A24" s="72" t="s">
        <v>127</v>
      </c>
      <c r="B24" s="72" t="s">
        <v>0</v>
      </c>
      <c r="C24" s="49" t="s">
        <v>17</v>
      </c>
      <c r="D24" s="72" t="s">
        <v>0</v>
      </c>
      <c r="E24" s="71">
        <v>594.87159999999994</v>
      </c>
      <c r="F24" s="72" t="s">
        <v>0</v>
      </c>
      <c r="G24" s="72">
        <v>6</v>
      </c>
      <c r="H24" s="72" t="s">
        <v>0</v>
      </c>
      <c r="I24" s="73">
        <v>226.9</v>
      </c>
      <c r="J24" s="72" t="s">
        <v>0</v>
      </c>
      <c r="K24" s="73">
        <v>-63</v>
      </c>
      <c r="L24" s="72" t="s">
        <v>0</v>
      </c>
      <c r="M24" s="73">
        <v>91.6</v>
      </c>
      <c r="N24" s="72" t="s">
        <v>0</v>
      </c>
      <c r="O24" s="73">
        <v>-63.5</v>
      </c>
      <c r="P24" s="72" t="s">
        <v>0</v>
      </c>
      <c r="Q24" s="73">
        <v>5.8</v>
      </c>
      <c r="R24" s="72" t="s">
        <v>0</v>
      </c>
      <c r="S24" s="71">
        <v>134.6</v>
      </c>
      <c r="T24" s="72" t="s">
        <v>0</v>
      </c>
      <c r="U24" s="72" t="s">
        <v>7</v>
      </c>
      <c r="V24" s="72" t="s">
        <v>0</v>
      </c>
      <c r="W24" s="72" t="s">
        <v>90</v>
      </c>
      <c r="X24" s="72" t="s">
        <v>0</v>
      </c>
      <c r="Y24" s="72" t="s">
        <v>318</v>
      </c>
      <c r="AA24" s="72" t="s">
        <v>116</v>
      </c>
      <c r="AB24" s="115">
        <v>47.091015304594102</v>
      </c>
      <c r="AC24" s="115">
        <v>-84.718819189674804</v>
      </c>
      <c r="AH24" s="72"/>
    </row>
    <row r="25" spans="1:34">
      <c r="A25" s="72" t="s">
        <v>127</v>
      </c>
      <c r="B25" s="72" t="s">
        <v>0</v>
      </c>
      <c r="C25" s="49" t="s">
        <v>18</v>
      </c>
      <c r="D25" s="72" t="s">
        <v>0</v>
      </c>
      <c r="E25" s="71">
        <v>598.17160000000001</v>
      </c>
      <c r="F25" s="72" t="s">
        <v>0</v>
      </c>
      <c r="G25" s="72">
        <v>5</v>
      </c>
      <c r="H25" s="72" t="s">
        <v>0</v>
      </c>
      <c r="I25" s="73">
        <v>235.5</v>
      </c>
      <c r="J25" s="72" t="s">
        <v>0</v>
      </c>
      <c r="K25" s="73">
        <v>-59.6</v>
      </c>
      <c r="L25" s="72" t="s">
        <v>0</v>
      </c>
      <c r="M25" s="73">
        <v>88</v>
      </c>
      <c r="N25" s="72" t="s">
        <v>0</v>
      </c>
      <c r="O25" s="73">
        <v>-68.7</v>
      </c>
      <c r="P25" s="72" t="s">
        <v>0</v>
      </c>
      <c r="Q25" s="73">
        <v>8.6</v>
      </c>
      <c r="R25" s="72" t="s">
        <v>0</v>
      </c>
      <c r="S25" s="71">
        <v>79.8</v>
      </c>
      <c r="T25" s="72" t="s">
        <v>0</v>
      </c>
      <c r="U25" s="72" t="s">
        <v>2</v>
      </c>
      <c r="V25" s="72" t="s">
        <v>0</v>
      </c>
      <c r="W25" s="72" t="s">
        <v>90</v>
      </c>
      <c r="X25" s="72" t="s">
        <v>0</v>
      </c>
      <c r="Y25" s="72" t="s">
        <v>318</v>
      </c>
      <c r="AA25" s="72" t="s">
        <v>116</v>
      </c>
      <c r="AB25" s="115">
        <v>47.0909267043467</v>
      </c>
      <c r="AC25" s="115">
        <v>-84.718888857845201</v>
      </c>
      <c r="AH25" s="72"/>
    </row>
    <row r="26" spans="1:34">
      <c r="A26" s="72" t="s">
        <v>128</v>
      </c>
      <c r="B26" s="72" t="s">
        <v>0</v>
      </c>
      <c r="C26" s="72" t="s">
        <v>19</v>
      </c>
      <c r="D26" s="72" t="s">
        <v>0</v>
      </c>
      <c r="E26" s="71">
        <v>1079.7360000000001</v>
      </c>
      <c r="F26" s="72" t="s">
        <v>0</v>
      </c>
      <c r="G26" s="72">
        <v>3</v>
      </c>
      <c r="H26" s="72" t="s">
        <v>0</v>
      </c>
      <c r="I26" s="73">
        <v>224</v>
      </c>
      <c r="J26" s="72" t="s">
        <v>0</v>
      </c>
      <c r="K26" s="73">
        <v>-72.400000000000006</v>
      </c>
      <c r="L26" s="72" t="s">
        <v>0</v>
      </c>
      <c r="M26" s="73">
        <v>105.8</v>
      </c>
      <c r="N26" s="72" t="s">
        <v>0</v>
      </c>
      <c r="O26" s="73">
        <v>-46.5</v>
      </c>
      <c r="P26" s="72" t="s">
        <v>0</v>
      </c>
      <c r="Q26" s="73">
        <v>8.4</v>
      </c>
      <c r="R26" s="72" t="s">
        <v>0</v>
      </c>
      <c r="S26" s="71">
        <v>216.4</v>
      </c>
      <c r="T26" s="72" t="s">
        <v>0</v>
      </c>
      <c r="U26" s="72" t="s">
        <v>7</v>
      </c>
      <c r="V26" s="72" t="s">
        <v>0</v>
      </c>
      <c r="W26" s="72" t="s">
        <v>90</v>
      </c>
      <c r="X26" s="72" t="s">
        <v>0</v>
      </c>
      <c r="Y26" s="72" t="s">
        <v>318</v>
      </c>
      <c r="AA26" s="72" t="s">
        <v>116</v>
      </c>
      <c r="AB26" s="115">
        <v>47.0854057795339</v>
      </c>
      <c r="AC26" s="115">
        <v>-84.725435619853599</v>
      </c>
      <c r="AH26" s="72"/>
    </row>
    <row r="27" spans="1:34">
      <c r="A27" s="72" t="s">
        <v>128</v>
      </c>
      <c r="B27" s="72" t="s">
        <v>0</v>
      </c>
      <c r="C27" s="72" t="s">
        <v>20</v>
      </c>
      <c r="D27" s="72" t="s">
        <v>0</v>
      </c>
      <c r="E27" s="71">
        <v>1082.5360000000001</v>
      </c>
      <c r="F27" s="72" t="s">
        <v>0</v>
      </c>
      <c r="G27" s="72">
        <v>4</v>
      </c>
      <c r="H27" s="72" t="s">
        <v>0</v>
      </c>
      <c r="I27" s="73">
        <v>238.4</v>
      </c>
      <c r="J27" s="72" t="s">
        <v>0</v>
      </c>
      <c r="K27" s="73">
        <v>-67.3</v>
      </c>
      <c r="L27" s="72" t="s">
        <v>0</v>
      </c>
      <c r="M27" s="73">
        <v>106.7</v>
      </c>
      <c r="N27" s="72" t="s">
        <v>0</v>
      </c>
      <c r="O27" s="73">
        <v>-53.5</v>
      </c>
      <c r="P27" s="72" t="s">
        <v>0</v>
      </c>
      <c r="Q27" s="73">
        <v>8.9</v>
      </c>
      <c r="R27" s="72" t="s">
        <v>0</v>
      </c>
      <c r="S27" s="71">
        <v>107.6</v>
      </c>
      <c r="T27" s="72" t="s">
        <v>0</v>
      </c>
      <c r="U27" s="72" t="s">
        <v>7</v>
      </c>
      <c r="V27" s="72" t="s">
        <v>0</v>
      </c>
      <c r="W27" s="72" t="s">
        <v>90</v>
      </c>
      <c r="X27" s="72" t="s">
        <v>0</v>
      </c>
      <c r="Y27" s="72" t="s">
        <v>318</v>
      </c>
      <c r="AA27" s="72" t="s">
        <v>116</v>
      </c>
      <c r="AB27" s="115">
        <v>47.085297800214498</v>
      </c>
      <c r="AC27" s="115">
        <v>-84.725888176095097</v>
      </c>
      <c r="AH27" s="72"/>
    </row>
    <row r="28" spans="1:34">
      <c r="A28" s="72" t="s">
        <v>128</v>
      </c>
      <c r="B28" s="72" t="s">
        <v>0</v>
      </c>
      <c r="C28" s="72" t="s">
        <v>21</v>
      </c>
      <c r="D28" s="72" t="s">
        <v>0</v>
      </c>
      <c r="E28" s="71">
        <v>1096.4360000000001</v>
      </c>
      <c r="F28" s="72" t="s">
        <v>0</v>
      </c>
      <c r="G28" s="72">
        <v>4</v>
      </c>
      <c r="H28" s="72" t="s">
        <v>0</v>
      </c>
      <c r="I28" s="73">
        <v>241.2</v>
      </c>
      <c r="J28" s="72" t="s">
        <v>0</v>
      </c>
      <c r="K28" s="73">
        <v>-59</v>
      </c>
      <c r="L28" s="72" t="s">
        <v>0</v>
      </c>
      <c r="M28" s="73">
        <v>115.9</v>
      </c>
      <c r="N28" s="72" t="s">
        <v>0</v>
      </c>
      <c r="O28" s="73">
        <v>-60.2</v>
      </c>
      <c r="P28" s="72" t="s">
        <v>0</v>
      </c>
      <c r="Q28" s="73">
        <v>12.7</v>
      </c>
      <c r="R28" s="72" t="s">
        <v>0</v>
      </c>
      <c r="S28" s="71">
        <v>53.3</v>
      </c>
      <c r="T28" s="72" t="s">
        <v>0</v>
      </c>
      <c r="U28" s="72" t="s">
        <v>7</v>
      </c>
      <c r="V28" s="72" t="s">
        <v>0</v>
      </c>
      <c r="W28" s="72" t="s">
        <v>90</v>
      </c>
      <c r="X28" s="72" t="s">
        <v>0</v>
      </c>
      <c r="Y28" s="72" t="s">
        <v>318</v>
      </c>
      <c r="AA28" s="72" t="s">
        <v>116</v>
      </c>
      <c r="AB28" s="115">
        <v>47.085189999999997</v>
      </c>
      <c r="AC28" s="115">
        <v>-84.725949999999997</v>
      </c>
      <c r="AH28" s="72"/>
    </row>
    <row r="29" spans="1:34">
      <c r="A29" s="72" t="s">
        <v>128</v>
      </c>
      <c r="B29" s="72" t="s">
        <v>0</v>
      </c>
      <c r="C29" s="72" t="s">
        <v>22</v>
      </c>
      <c r="D29" s="72" t="s">
        <v>0</v>
      </c>
      <c r="E29" s="71">
        <v>1105.1360000000002</v>
      </c>
      <c r="F29" s="72" t="s">
        <v>0</v>
      </c>
      <c r="G29" s="72">
        <v>3</v>
      </c>
      <c r="H29" s="72" t="s">
        <v>0</v>
      </c>
      <c r="I29" s="73">
        <v>235.6</v>
      </c>
      <c r="J29" s="72" t="s">
        <v>0</v>
      </c>
      <c r="K29" s="73">
        <v>-66.400000000000006</v>
      </c>
      <c r="L29" s="72" t="s">
        <v>0</v>
      </c>
      <c r="M29" s="73">
        <v>109.1</v>
      </c>
      <c r="N29" s="72" t="s">
        <v>0</v>
      </c>
      <c r="O29" s="73">
        <v>-53.4</v>
      </c>
      <c r="P29" s="72" t="s">
        <v>0</v>
      </c>
      <c r="Q29" s="73">
        <v>8.6999999999999993</v>
      </c>
      <c r="R29" s="72" t="s">
        <v>0</v>
      </c>
      <c r="S29" s="71">
        <v>203.1</v>
      </c>
      <c r="T29" s="72" t="s">
        <v>0</v>
      </c>
      <c r="U29" s="72" t="s">
        <v>7</v>
      </c>
      <c r="V29" s="72" t="s">
        <v>0</v>
      </c>
      <c r="W29" s="72" t="s">
        <v>90</v>
      </c>
      <c r="X29" s="72" t="s">
        <v>0</v>
      </c>
      <c r="Y29" s="72" t="s">
        <v>318</v>
      </c>
      <c r="AA29" s="72" t="s">
        <v>116</v>
      </c>
      <c r="AB29" s="115">
        <v>47.085190950150498</v>
      </c>
      <c r="AC29" s="115">
        <v>-84.725945426534295</v>
      </c>
    </row>
    <row r="30" spans="1:34">
      <c r="A30" s="72" t="s">
        <v>128</v>
      </c>
      <c r="B30" s="72" t="s">
        <v>0</v>
      </c>
      <c r="C30" s="72" t="s">
        <v>23</v>
      </c>
      <c r="D30" s="72" t="s">
        <v>0</v>
      </c>
      <c r="E30" s="71">
        <v>1113.1360000000002</v>
      </c>
      <c r="F30" s="72" t="s">
        <v>0</v>
      </c>
      <c r="G30" s="72">
        <v>5</v>
      </c>
      <c r="H30" s="72" t="s">
        <v>0</v>
      </c>
      <c r="I30" s="73">
        <v>237.4</v>
      </c>
      <c r="J30" s="72" t="s">
        <v>0</v>
      </c>
      <c r="K30" s="73">
        <v>-77.7</v>
      </c>
      <c r="L30" s="72" t="s">
        <v>0</v>
      </c>
      <c r="M30" s="73">
        <v>104.5</v>
      </c>
      <c r="N30" s="72" t="s">
        <v>0</v>
      </c>
      <c r="O30" s="73">
        <v>-59.6</v>
      </c>
      <c r="P30" s="72" t="s">
        <v>0</v>
      </c>
      <c r="Q30" s="73">
        <v>8.3000000000000007</v>
      </c>
      <c r="R30" s="72" t="s">
        <v>0</v>
      </c>
      <c r="S30" s="71">
        <v>86.6</v>
      </c>
      <c r="T30" s="72" t="s">
        <v>0</v>
      </c>
      <c r="U30" s="72" t="s">
        <v>2</v>
      </c>
      <c r="V30" s="72" t="s">
        <v>0</v>
      </c>
      <c r="W30" s="72" t="s">
        <v>90</v>
      </c>
      <c r="X30" s="72" t="s">
        <v>0</v>
      </c>
      <c r="Y30" s="72" t="s">
        <v>318</v>
      </c>
      <c r="AA30" s="72" t="s">
        <v>116</v>
      </c>
      <c r="AB30" s="115">
        <v>47.085065592949398</v>
      </c>
      <c r="AC30" s="115">
        <v>-84.725977114392407</v>
      </c>
    </row>
    <row r="31" spans="1:34">
      <c r="A31" s="72" t="s">
        <v>129</v>
      </c>
      <c r="B31" s="72" t="s">
        <v>0</v>
      </c>
      <c r="C31" s="72" t="s">
        <v>24</v>
      </c>
      <c r="D31" s="72" t="s">
        <v>0</v>
      </c>
      <c r="E31" s="71">
        <v>1181.5999999999999</v>
      </c>
      <c r="F31" s="72" t="s">
        <v>0</v>
      </c>
      <c r="G31" s="72">
        <v>4</v>
      </c>
      <c r="H31" s="72" t="s">
        <v>0</v>
      </c>
      <c r="I31" s="73">
        <v>267.7</v>
      </c>
      <c r="J31" s="72" t="s">
        <v>0</v>
      </c>
      <c r="K31" s="73">
        <v>-68.8</v>
      </c>
      <c r="L31" s="72" t="s">
        <v>0</v>
      </c>
      <c r="M31" s="73">
        <v>107.1</v>
      </c>
      <c r="N31" s="72" t="s">
        <v>0</v>
      </c>
      <c r="O31" s="73">
        <v>-70.599999999999994</v>
      </c>
      <c r="P31" s="72" t="s">
        <v>0</v>
      </c>
      <c r="Q31" s="73">
        <v>6.8</v>
      </c>
      <c r="R31" s="72" t="s">
        <v>0</v>
      </c>
      <c r="S31" s="71">
        <v>181.5</v>
      </c>
      <c r="T31" s="72" t="s">
        <v>0</v>
      </c>
      <c r="U31" s="72" t="s">
        <v>7</v>
      </c>
      <c r="V31" s="72" t="s">
        <v>0</v>
      </c>
      <c r="W31" s="72" t="s">
        <v>90</v>
      </c>
      <c r="X31" s="72" t="s">
        <v>0</v>
      </c>
      <c r="Y31" s="72" t="s">
        <v>318</v>
      </c>
      <c r="AA31" s="72" t="s">
        <v>116</v>
      </c>
      <c r="AB31" s="115">
        <v>47.0842881381231</v>
      </c>
      <c r="AC31" s="115">
        <v>-84.727156438727803</v>
      </c>
      <c r="AH31" s="72"/>
    </row>
    <row r="32" spans="1:34">
      <c r="A32" s="72" t="s">
        <v>129</v>
      </c>
      <c r="B32" s="72" t="s">
        <v>0</v>
      </c>
      <c r="C32" s="72" t="s">
        <v>25</v>
      </c>
      <c r="D32" s="72" t="s">
        <v>0</v>
      </c>
      <c r="E32" s="71">
        <v>1194.3</v>
      </c>
      <c r="F32" s="72" t="s">
        <v>0</v>
      </c>
      <c r="G32" s="72">
        <v>4</v>
      </c>
      <c r="H32" s="72" t="s">
        <v>0</v>
      </c>
      <c r="I32" s="73">
        <v>267.8</v>
      </c>
      <c r="J32" s="72" t="s">
        <v>0</v>
      </c>
      <c r="K32" s="73">
        <v>-77.900000000000006</v>
      </c>
      <c r="L32" s="72" t="s">
        <v>0</v>
      </c>
      <c r="M32" s="73">
        <v>101.1</v>
      </c>
      <c r="N32" s="72" t="s">
        <v>0</v>
      </c>
      <c r="O32" s="73">
        <v>-61.9</v>
      </c>
      <c r="P32" s="72" t="s">
        <v>0</v>
      </c>
      <c r="Q32" s="73">
        <v>4.5</v>
      </c>
      <c r="R32" s="72" t="s">
        <v>0</v>
      </c>
      <c r="S32" s="71">
        <v>421.6</v>
      </c>
      <c r="T32" s="72" t="s">
        <v>0</v>
      </c>
      <c r="U32" s="72" t="s">
        <v>12</v>
      </c>
      <c r="V32" s="72" t="s">
        <v>0</v>
      </c>
      <c r="W32" s="72" t="s">
        <v>90</v>
      </c>
      <c r="X32" s="72" t="s">
        <v>0</v>
      </c>
      <c r="Y32" s="72" t="s">
        <v>318</v>
      </c>
      <c r="AA32" s="72" t="s">
        <v>116</v>
      </c>
      <c r="AB32" s="115">
        <v>47.083840829993598</v>
      </c>
      <c r="AC32" s="115">
        <v>-84.727741992587994</v>
      </c>
      <c r="AH32" s="72"/>
    </row>
    <row r="33" spans="1:34">
      <c r="A33" s="72" t="s">
        <v>129</v>
      </c>
      <c r="B33" s="72" t="s">
        <v>0</v>
      </c>
      <c r="C33" s="72" t="s">
        <v>26</v>
      </c>
      <c r="D33" s="72" t="s">
        <v>0</v>
      </c>
      <c r="E33" s="71">
        <v>1198.5999999999999</v>
      </c>
      <c r="F33" s="72" t="s">
        <v>0</v>
      </c>
      <c r="G33" s="72">
        <v>4</v>
      </c>
      <c r="H33" s="72" t="s">
        <v>0</v>
      </c>
      <c r="I33" s="73">
        <v>252</v>
      </c>
      <c r="J33" s="72" t="s">
        <v>0</v>
      </c>
      <c r="K33" s="73">
        <v>-75.5</v>
      </c>
      <c r="L33" s="72" t="s">
        <v>0</v>
      </c>
      <c r="M33" s="73">
        <v>110.3</v>
      </c>
      <c r="N33" s="72" t="s">
        <v>0</v>
      </c>
      <c r="O33" s="73">
        <v>-62.6</v>
      </c>
      <c r="P33" s="72" t="s">
        <v>0</v>
      </c>
      <c r="Q33" s="73">
        <v>9.1999999999999993</v>
      </c>
      <c r="R33" s="72" t="s">
        <v>0</v>
      </c>
      <c r="S33" s="71">
        <v>101.2</v>
      </c>
      <c r="T33" s="72" t="s">
        <v>0</v>
      </c>
      <c r="U33" s="72" t="s">
        <v>12</v>
      </c>
      <c r="V33" s="72" t="s">
        <v>0</v>
      </c>
      <c r="W33" s="72" t="s">
        <v>90</v>
      </c>
      <c r="X33" s="72" t="s">
        <v>0</v>
      </c>
      <c r="Y33" s="72" t="s">
        <v>318</v>
      </c>
      <c r="AA33" s="72" t="s">
        <v>116</v>
      </c>
      <c r="AB33" s="115">
        <v>47.083635333830799</v>
      </c>
      <c r="AC33" s="115">
        <v>-84.727816609016898</v>
      </c>
      <c r="AH33" s="72"/>
    </row>
    <row r="34" spans="1:34">
      <c r="A34" s="72" t="s">
        <v>129</v>
      </c>
      <c r="B34" s="72" t="s">
        <v>0</v>
      </c>
      <c r="C34" s="72" t="s">
        <v>27</v>
      </c>
      <c r="D34" s="72" t="s">
        <v>0</v>
      </c>
      <c r="E34" s="71">
        <v>1205.0999999999999</v>
      </c>
      <c r="F34" s="72" t="s">
        <v>0</v>
      </c>
      <c r="G34" s="72">
        <v>4</v>
      </c>
      <c r="H34" s="72" t="s">
        <v>0</v>
      </c>
      <c r="I34" s="73">
        <v>262</v>
      </c>
      <c r="J34" s="72" t="s">
        <v>0</v>
      </c>
      <c r="K34" s="73">
        <v>-68.900000000000006</v>
      </c>
      <c r="L34" s="72" t="s">
        <v>0</v>
      </c>
      <c r="M34" s="73">
        <v>112.6</v>
      </c>
      <c r="N34" s="72" t="s">
        <v>0</v>
      </c>
      <c r="O34" s="73">
        <v>-69.8</v>
      </c>
      <c r="P34" s="72" t="s">
        <v>0</v>
      </c>
      <c r="Q34" s="73">
        <v>2.4</v>
      </c>
      <c r="R34" s="72" t="s">
        <v>0</v>
      </c>
      <c r="S34" s="71">
        <v>1512</v>
      </c>
      <c r="T34" s="72" t="s">
        <v>0</v>
      </c>
      <c r="U34" s="72" t="s">
        <v>7</v>
      </c>
      <c r="V34" s="72" t="s">
        <v>0</v>
      </c>
      <c r="W34" s="72" t="s">
        <v>90</v>
      </c>
      <c r="X34" s="72" t="s">
        <v>0</v>
      </c>
      <c r="Y34" s="72" t="s">
        <v>318</v>
      </c>
      <c r="AA34" s="72" t="s">
        <v>116</v>
      </c>
      <c r="AB34" s="115">
        <v>47.083521323749402</v>
      </c>
      <c r="AC34" s="115">
        <v>-84.727966381745702</v>
      </c>
      <c r="AH34" s="72"/>
    </row>
    <row r="35" spans="1:34">
      <c r="A35" s="72" t="s">
        <v>130</v>
      </c>
      <c r="B35" s="72" t="s">
        <v>0</v>
      </c>
      <c r="C35" s="77" t="s">
        <v>102</v>
      </c>
      <c r="D35" s="72" t="s">
        <v>0</v>
      </c>
      <c r="E35" s="71">
        <f>E36-1.6</f>
        <v>1288.8000000000002</v>
      </c>
      <c r="F35" s="72" t="s">
        <v>0</v>
      </c>
      <c r="G35" s="72">
        <v>6</v>
      </c>
      <c r="H35" s="72" t="s">
        <v>0</v>
      </c>
      <c r="I35" s="73">
        <v>207.3</v>
      </c>
      <c r="J35" s="72" t="s">
        <v>0</v>
      </c>
      <c r="K35" s="73">
        <v>-72.400000000000006</v>
      </c>
      <c r="L35" s="72" t="s">
        <v>0</v>
      </c>
      <c r="M35" s="73">
        <v>105.4</v>
      </c>
      <c r="N35" s="72" t="s">
        <v>0</v>
      </c>
      <c r="O35" s="73">
        <v>-58.6</v>
      </c>
      <c r="P35" s="72" t="s">
        <v>0</v>
      </c>
      <c r="Q35" s="73">
        <v>3.3</v>
      </c>
      <c r="R35" s="72" t="s">
        <v>0</v>
      </c>
      <c r="S35" s="71">
        <v>336</v>
      </c>
      <c r="T35" s="72" t="s">
        <v>0</v>
      </c>
      <c r="U35" s="72" t="s">
        <v>12</v>
      </c>
      <c r="V35" s="72" t="s">
        <v>0</v>
      </c>
      <c r="W35" s="72" t="s">
        <v>100</v>
      </c>
      <c r="X35" s="72" t="s">
        <v>0</v>
      </c>
      <c r="Y35" s="72" t="s">
        <v>92</v>
      </c>
      <c r="AA35" s="72" t="s">
        <v>116</v>
      </c>
      <c r="AB35" s="115">
        <v>47.083849000000001</v>
      </c>
      <c r="AC35" s="115">
        <v>-84.730072000000007</v>
      </c>
      <c r="AH35" s="72"/>
    </row>
    <row r="36" spans="1:34">
      <c r="A36" s="72" t="s">
        <v>130</v>
      </c>
      <c r="B36" s="72" t="s">
        <v>0</v>
      </c>
      <c r="C36" s="72" t="s">
        <v>103</v>
      </c>
      <c r="D36" s="72" t="s">
        <v>0</v>
      </c>
      <c r="E36" s="71">
        <v>1290.4000000000001</v>
      </c>
      <c r="F36" s="72" t="s">
        <v>0</v>
      </c>
      <c r="G36" s="72">
        <v>3</v>
      </c>
      <c r="H36" s="72" t="s">
        <v>0</v>
      </c>
      <c r="I36" s="73">
        <v>175.2</v>
      </c>
      <c r="J36" s="72" t="s">
        <v>0</v>
      </c>
      <c r="K36" s="73">
        <v>-73.599999999999994</v>
      </c>
      <c r="L36" s="72" t="s">
        <v>0</v>
      </c>
      <c r="M36" s="73">
        <v>104</v>
      </c>
      <c r="N36" s="72" t="s">
        <v>0</v>
      </c>
      <c r="O36" s="73">
        <v>-49.3</v>
      </c>
      <c r="P36" s="72" t="s">
        <v>0</v>
      </c>
      <c r="Q36" s="73">
        <v>5.4</v>
      </c>
      <c r="R36" s="72" t="s">
        <v>0</v>
      </c>
      <c r="S36" s="71">
        <v>513</v>
      </c>
      <c r="T36" s="72" t="s">
        <v>0</v>
      </c>
      <c r="U36" s="72" t="s">
        <v>2</v>
      </c>
      <c r="V36" s="72" t="s">
        <v>0</v>
      </c>
      <c r="W36" s="72" t="s">
        <v>90</v>
      </c>
      <c r="X36" s="72" t="s">
        <v>0</v>
      </c>
      <c r="Y36" s="72" t="s">
        <v>318</v>
      </c>
      <c r="AA36" s="72" t="s">
        <v>116</v>
      </c>
      <c r="AB36" s="115">
        <v>47.083626394106602</v>
      </c>
      <c r="AC36" s="115">
        <v>-84.730083056236893</v>
      </c>
      <c r="AD36" s="72" t="s">
        <v>165</v>
      </c>
      <c r="AH36" s="72"/>
    </row>
    <row r="37" spans="1:34">
      <c r="A37" s="72" t="s">
        <v>130</v>
      </c>
      <c r="B37" s="72" t="s">
        <v>0</v>
      </c>
      <c r="C37" s="72" t="s">
        <v>101</v>
      </c>
      <c r="D37" s="72" t="s">
        <v>0</v>
      </c>
      <c r="E37" s="71">
        <f>E36+(5.4-1.5)</f>
        <v>1294.3000000000002</v>
      </c>
      <c r="F37" s="72" t="s">
        <v>0</v>
      </c>
      <c r="G37" s="72">
        <v>5</v>
      </c>
      <c r="H37" s="72" t="s">
        <v>0</v>
      </c>
      <c r="I37" s="73">
        <v>204.3</v>
      </c>
      <c r="J37" s="72" t="s">
        <v>0</v>
      </c>
      <c r="K37" s="73">
        <v>-69.3</v>
      </c>
      <c r="L37" s="72" t="s">
        <v>0</v>
      </c>
      <c r="M37" s="73">
        <v>111.4</v>
      </c>
      <c r="N37" s="72" t="s">
        <v>0</v>
      </c>
      <c r="O37" s="73">
        <v>-58.3</v>
      </c>
      <c r="P37" s="72" t="s">
        <v>0</v>
      </c>
      <c r="Q37" s="73">
        <v>7.6</v>
      </c>
      <c r="R37" s="72" t="s">
        <v>0</v>
      </c>
      <c r="S37" s="71">
        <v>82</v>
      </c>
      <c r="T37" s="72" t="s">
        <v>0</v>
      </c>
      <c r="U37" s="72" t="s">
        <v>12</v>
      </c>
      <c r="V37" s="72" t="s">
        <v>0</v>
      </c>
      <c r="W37" s="72" t="s">
        <v>100</v>
      </c>
      <c r="X37" s="72" t="s">
        <v>0</v>
      </c>
      <c r="Y37" s="72" t="s">
        <v>92</v>
      </c>
      <c r="AA37" s="72" t="s">
        <v>116</v>
      </c>
      <c r="AB37" s="115">
        <f>AVERAGE(AB36,AB38)</f>
        <v>47.083685362265356</v>
      </c>
      <c r="AC37" s="115">
        <f>AVERAGE(AC36,AC38)</f>
        <v>-84.730106899824506</v>
      </c>
    </row>
    <row r="38" spans="1:34">
      <c r="A38" s="72" t="s">
        <v>130</v>
      </c>
      <c r="B38" s="72" t="s">
        <v>0</v>
      </c>
      <c r="C38" s="72" t="s">
        <v>28</v>
      </c>
      <c r="D38" s="72" t="s">
        <v>0</v>
      </c>
      <c r="E38" s="71">
        <v>1297</v>
      </c>
      <c r="F38" s="72" t="s">
        <v>0</v>
      </c>
      <c r="G38" s="72">
        <v>4</v>
      </c>
      <c r="H38" s="72" t="s">
        <v>0</v>
      </c>
      <c r="I38" s="73">
        <v>192.6</v>
      </c>
      <c r="J38" s="72" t="s">
        <v>0</v>
      </c>
      <c r="K38" s="73">
        <v>-76.5</v>
      </c>
      <c r="L38" s="72" t="s">
        <v>0</v>
      </c>
      <c r="M38" s="73">
        <v>99.7</v>
      </c>
      <c r="N38" s="72" t="s">
        <v>0</v>
      </c>
      <c r="O38" s="73">
        <v>-53.9</v>
      </c>
      <c r="P38" s="72" t="s">
        <v>0</v>
      </c>
      <c r="Q38" s="73">
        <v>8.5</v>
      </c>
      <c r="R38" s="72" t="s">
        <v>0</v>
      </c>
      <c r="S38" s="71">
        <v>118</v>
      </c>
      <c r="T38" s="72" t="s">
        <v>0</v>
      </c>
      <c r="U38" s="72" t="s">
        <v>2</v>
      </c>
      <c r="V38" s="72" t="s">
        <v>0</v>
      </c>
      <c r="W38" s="72" t="s">
        <v>90</v>
      </c>
      <c r="X38" s="72" t="s">
        <v>0</v>
      </c>
      <c r="Y38" s="72" t="s">
        <v>318</v>
      </c>
      <c r="AA38" s="72" t="s">
        <v>116</v>
      </c>
      <c r="AB38" s="115">
        <v>47.083744330424103</v>
      </c>
      <c r="AC38" s="115">
        <v>-84.730130743412104</v>
      </c>
      <c r="AD38" s="72" t="s">
        <v>165</v>
      </c>
    </row>
    <row r="39" spans="1:34">
      <c r="A39" s="72" t="s">
        <v>130</v>
      </c>
      <c r="B39" s="72" t="s">
        <v>0</v>
      </c>
      <c r="C39" s="72" t="s">
        <v>29</v>
      </c>
      <c r="D39" s="72" t="s">
        <v>0</v>
      </c>
      <c r="E39" s="71">
        <v>1301.4000000000001</v>
      </c>
      <c r="F39" s="72" t="s">
        <v>0</v>
      </c>
      <c r="G39" s="72">
        <v>4</v>
      </c>
      <c r="H39" s="72" t="s">
        <v>0</v>
      </c>
      <c r="I39" s="73">
        <v>167.1</v>
      </c>
      <c r="J39" s="72" t="s">
        <v>0</v>
      </c>
      <c r="K39" s="73">
        <v>-77.599999999999994</v>
      </c>
      <c r="L39" s="72" t="s">
        <v>0</v>
      </c>
      <c r="M39" s="73">
        <v>97.3</v>
      </c>
      <c r="N39" s="72" t="s">
        <v>0</v>
      </c>
      <c r="O39" s="73">
        <v>-48.3</v>
      </c>
      <c r="P39" s="72" t="s">
        <v>0</v>
      </c>
      <c r="Q39" s="73">
        <v>16.399999999999999</v>
      </c>
      <c r="R39" s="72" t="s">
        <v>0</v>
      </c>
      <c r="S39" s="71">
        <v>32</v>
      </c>
      <c r="T39" s="72" t="s">
        <v>0</v>
      </c>
      <c r="U39" s="72" t="s">
        <v>12</v>
      </c>
      <c r="V39" s="72" t="s">
        <v>0</v>
      </c>
      <c r="W39" s="72" t="s">
        <v>90</v>
      </c>
      <c r="X39" s="72" t="s">
        <v>0</v>
      </c>
      <c r="Y39" s="72" t="s">
        <v>318</v>
      </c>
      <c r="AA39" s="72" t="s">
        <v>116</v>
      </c>
      <c r="AB39" s="115">
        <v>47.083628748014597</v>
      </c>
      <c r="AC39" s="115">
        <v>-84.730201529464907</v>
      </c>
      <c r="AD39" s="72" t="s">
        <v>165</v>
      </c>
    </row>
    <row r="40" spans="1:34">
      <c r="A40" s="72" t="s">
        <v>130</v>
      </c>
      <c r="B40" s="72" t="s">
        <v>0</v>
      </c>
      <c r="C40" s="72" t="s">
        <v>30</v>
      </c>
      <c r="D40" s="72" t="s">
        <v>0</v>
      </c>
      <c r="E40" s="71">
        <v>1350.7</v>
      </c>
      <c r="F40" s="72" t="s">
        <v>0</v>
      </c>
      <c r="G40" s="72">
        <v>5</v>
      </c>
      <c r="H40" s="72" t="s">
        <v>0</v>
      </c>
      <c r="I40" s="73">
        <v>10.6</v>
      </c>
      <c r="J40" s="72" t="s">
        <v>0</v>
      </c>
      <c r="K40" s="73">
        <v>71.8</v>
      </c>
      <c r="L40" s="72" t="s">
        <v>0</v>
      </c>
      <c r="M40" s="73">
        <v>287.7</v>
      </c>
      <c r="N40" s="72" t="s">
        <v>0</v>
      </c>
      <c r="O40" s="73">
        <v>53.6</v>
      </c>
      <c r="P40" s="72" t="s">
        <v>0</v>
      </c>
      <c r="Q40" s="73">
        <v>5.2</v>
      </c>
      <c r="R40" s="72" t="s">
        <v>0</v>
      </c>
      <c r="S40" s="71">
        <v>218</v>
      </c>
      <c r="T40" s="72" t="s">
        <v>0</v>
      </c>
      <c r="U40" s="72" t="s">
        <v>2</v>
      </c>
      <c r="V40" s="72" t="s">
        <v>0</v>
      </c>
      <c r="W40" s="72" t="s">
        <v>90</v>
      </c>
      <c r="X40" s="72" t="s">
        <v>0</v>
      </c>
      <c r="Y40" s="72" t="s">
        <v>318</v>
      </c>
      <c r="AA40" s="72" t="s">
        <v>116</v>
      </c>
      <c r="AB40" s="115">
        <v>47.083481282378202</v>
      </c>
      <c r="AC40" s="115">
        <v>-84.730932408612802</v>
      </c>
      <c r="AD40" s="72" t="s">
        <v>165</v>
      </c>
    </row>
    <row r="41" spans="1:34">
      <c r="A41" s="72" t="s">
        <v>130</v>
      </c>
      <c r="B41" s="72" t="s">
        <v>0</v>
      </c>
      <c r="C41" s="72" t="s">
        <v>31</v>
      </c>
      <c r="D41" s="72" t="s">
        <v>0</v>
      </c>
      <c r="E41" s="71">
        <v>1363.8</v>
      </c>
      <c r="F41" s="72" t="s">
        <v>0</v>
      </c>
      <c r="G41" s="72">
        <v>5</v>
      </c>
      <c r="H41" s="72" t="s">
        <v>0</v>
      </c>
      <c r="I41" s="73">
        <v>339.8</v>
      </c>
      <c r="J41" s="72" t="s">
        <v>0</v>
      </c>
      <c r="K41" s="73">
        <v>72.099999999999994</v>
      </c>
      <c r="L41" s="72" t="s">
        <v>0</v>
      </c>
      <c r="M41" s="73">
        <v>283.7</v>
      </c>
      <c r="N41" s="72" t="s">
        <v>0</v>
      </c>
      <c r="O41" s="73">
        <v>44.5</v>
      </c>
      <c r="P41" s="72" t="s">
        <v>0</v>
      </c>
      <c r="Q41" s="73">
        <v>6.1</v>
      </c>
      <c r="R41" s="72" t="s">
        <v>0</v>
      </c>
      <c r="S41" s="72">
        <v>129</v>
      </c>
      <c r="T41" s="72" t="s">
        <v>0</v>
      </c>
      <c r="U41" s="72" t="s">
        <v>2</v>
      </c>
      <c r="V41" s="72" t="s">
        <v>0</v>
      </c>
      <c r="W41" s="72" t="s">
        <v>90</v>
      </c>
      <c r="X41" s="72" t="s">
        <v>0</v>
      </c>
      <c r="Y41" s="72" t="s">
        <v>319</v>
      </c>
      <c r="AA41" s="72" t="s">
        <v>116</v>
      </c>
      <c r="AB41" s="115">
        <v>47.083361936463398</v>
      </c>
      <c r="AC41" s="115">
        <v>-84.731266847249998</v>
      </c>
      <c r="AD41" s="72" t="s">
        <v>166</v>
      </c>
    </row>
    <row r="42" spans="1:34">
      <c r="A42" s="72" t="s">
        <v>130</v>
      </c>
      <c r="B42" s="72" t="s">
        <v>0</v>
      </c>
      <c r="C42" s="72" t="s">
        <v>32</v>
      </c>
      <c r="D42" s="72" t="s">
        <v>0</v>
      </c>
      <c r="E42" s="71">
        <v>1369.5</v>
      </c>
      <c r="F42" s="72" t="s">
        <v>0</v>
      </c>
      <c r="G42" s="72">
        <v>5</v>
      </c>
      <c r="H42" s="72" t="s">
        <v>0</v>
      </c>
      <c r="I42" s="73">
        <v>314.2</v>
      </c>
      <c r="J42" s="72" t="s">
        <v>0</v>
      </c>
      <c r="K42" s="73">
        <v>78.2</v>
      </c>
      <c r="L42" s="72" t="s">
        <v>0</v>
      </c>
      <c r="M42" s="73">
        <v>271.8</v>
      </c>
      <c r="N42" s="72" t="s">
        <v>0</v>
      </c>
      <c r="O42" s="73">
        <v>42.7</v>
      </c>
      <c r="P42" s="72" t="s">
        <v>0</v>
      </c>
      <c r="Q42" s="73">
        <v>6.7</v>
      </c>
      <c r="R42" s="72" t="s">
        <v>0</v>
      </c>
      <c r="S42" s="72">
        <v>131</v>
      </c>
      <c r="T42" s="72" t="s">
        <v>0</v>
      </c>
      <c r="U42" s="72" t="s">
        <v>2</v>
      </c>
      <c r="V42" s="72" t="s">
        <v>0</v>
      </c>
      <c r="W42" s="72" t="s">
        <v>90</v>
      </c>
      <c r="X42" s="72" t="s">
        <v>0</v>
      </c>
      <c r="Y42" s="72" t="s">
        <v>318</v>
      </c>
      <c r="AA42" s="72" t="s">
        <v>116</v>
      </c>
      <c r="AB42" s="115">
        <v>47.083657769416497</v>
      </c>
      <c r="AC42" s="115">
        <v>-84.731662700504899</v>
      </c>
      <c r="AD42" s="72" t="s">
        <v>165</v>
      </c>
    </row>
    <row r="43" spans="1:34">
      <c r="A43" s="72" t="s">
        <v>130</v>
      </c>
      <c r="B43" s="72" t="s">
        <v>0</v>
      </c>
      <c r="C43" s="72" t="s">
        <v>105</v>
      </c>
      <c r="D43" s="72" t="s">
        <v>0</v>
      </c>
      <c r="E43" s="71">
        <f>E36+129</f>
        <v>1419.4</v>
      </c>
      <c r="F43" s="72" t="s">
        <v>0</v>
      </c>
      <c r="G43" s="72">
        <v>6</v>
      </c>
      <c r="H43" s="72" t="s">
        <v>0</v>
      </c>
      <c r="I43" s="73">
        <v>345.3</v>
      </c>
      <c r="J43" s="72" t="s">
        <v>0</v>
      </c>
      <c r="K43" s="73">
        <v>64.3</v>
      </c>
      <c r="L43" s="72" t="s">
        <v>0</v>
      </c>
      <c r="M43" s="73">
        <v>294.5</v>
      </c>
      <c r="N43" s="72" t="s">
        <v>0</v>
      </c>
      <c r="O43" s="73">
        <v>42.6</v>
      </c>
      <c r="P43" s="72" t="s">
        <v>0</v>
      </c>
      <c r="Q43" s="73">
        <v>7.7</v>
      </c>
      <c r="R43" s="72" t="s">
        <v>0</v>
      </c>
      <c r="S43" s="71">
        <v>64</v>
      </c>
      <c r="T43" s="72" t="s">
        <v>0</v>
      </c>
      <c r="U43" s="72" t="s">
        <v>2</v>
      </c>
      <c r="V43" s="72" t="s">
        <v>0</v>
      </c>
      <c r="W43" s="72" t="s">
        <v>100</v>
      </c>
      <c r="X43" s="72" t="s">
        <v>0</v>
      </c>
      <c r="Y43" s="72" t="s">
        <v>92</v>
      </c>
      <c r="AA43" s="72" t="s">
        <v>116</v>
      </c>
      <c r="AB43" s="116">
        <v>47.083120152142499</v>
      </c>
      <c r="AC43" s="115">
        <v>-84.732686808081695</v>
      </c>
    </row>
    <row r="44" spans="1:34">
      <c r="A44" s="72" t="s">
        <v>130</v>
      </c>
      <c r="B44" s="72" t="s">
        <v>0</v>
      </c>
      <c r="C44" s="72" t="s">
        <v>104</v>
      </c>
      <c r="D44" s="72" t="s">
        <v>0</v>
      </c>
      <c r="E44" s="71">
        <f>E36+156.5</f>
        <v>1446.9</v>
      </c>
      <c r="F44" s="72" t="s">
        <v>0</v>
      </c>
      <c r="G44" s="72">
        <v>8</v>
      </c>
      <c r="H44" s="72" t="s">
        <v>0</v>
      </c>
      <c r="I44" s="73">
        <v>344.9</v>
      </c>
      <c r="J44" s="72" t="s">
        <v>0</v>
      </c>
      <c r="K44" s="73">
        <v>58.9</v>
      </c>
      <c r="L44" s="72" t="s">
        <v>0</v>
      </c>
      <c r="M44" s="73">
        <v>300.5</v>
      </c>
      <c r="N44" s="72" t="s">
        <v>0</v>
      </c>
      <c r="O44" s="73">
        <v>39.6</v>
      </c>
      <c r="P44" s="72" t="s">
        <v>0</v>
      </c>
      <c r="Q44" s="73">
        <v>2.4</v>
      </c>
      <c r="R44" s="72" t="s">
        <v>0</v>
      </c>
      <c r="S44" s="72">
        <v>478</v>
      </c>
      <c r="T44" s="72" t="s">
        <v>0</v>
      </c>
      <c r="U44" s="72" t="s">
        <v>2</v>
      </c>
      <c r="V44" s="72" t="s">
        <v>0</v>
      </c>
      <c r="W44" s="72" t="s">
        <v>100</v>
      </c>
      <c r="X44" s="72" t="s">
        <v>0</v>
      </c>
      <c r="Y44" s="72" t="s">
        <v>92</v>
      </c>
      <c r="AA44" s="72" t="s">
        <v>116</v>
      </c>
      <c r="AB44" s="116">
        <v>47.083013971686903</v>
      </c>
      <c r="AC44" s="116">
        <v>-84.733231476146997</v>
      </c>
    </row>
    <row r="45" spans="1:34">
      <c r="A45" s="72" t="s">
        <v>131</v>
      </c>
      <c r="B45" s="72" t="s">
        <v>0</v>
      </c>
      <c r="C45" s="72" t="s">
        <v>33</v>
      </c>
      <c r="D45" s="72" t="s">
        <v>0</v>
      </c>
      <c r="E45" s="71">
        <v>1384</v>
      </c>
      <c r="F45" s="72" t="s">
        <v>0</v>
      </c>
      <c r="G45" s="72">
        <v>8</v>
      </c>
      <c r="H45" s="72" t="s">
        <v>0</v>
      </c>
      <c r="I45" s="73">
        <v>324.60000000000002</v>
      </c>
      <c r="J45" s="72" t="s">
        <v>0</v>
      </c>
      <c r="K45" s="73">
        <v>72.099999999999994</v>
      </c>
      <c r="L45" s="72" t="s">
        <v>0</v>
      </c>
      <c r="M45" s="73">
        <v>283.5</v>
      </c>
      <c r="N45" s="72" t="s">
        <v>0</v>
      </c>
      <c r="O45" s="73">
        <v>39.4</v>
      </c>
      <c r="P45" s="72" t="s">
        <v>0</v>
      </c>
      <c r="Q45" s="73">
        <v>5.5</v>
      </c>
      <c r="R45" s="72" t="s">
        <v>0</v>
      </c>
      <c r="S45" s="72">
        <v>103</v>
      </c>
      <c r="T45" s="72" t="s">
        <v>0</v>
      </c>
      <c r="U45" s="72" t="s">
        <v>2</v>
      </c>
      <c r="V45" s="72" t="s">
        <v>0</v>
      </c>
      <c r="W45" s="72" t="s">
        <v>90</v>
      </c>
      <c r="X45" s="72" t="s">
        <v>0</v>
      </c>
      <c r="Y45" s="72" t="s">
        <v>318</v>
      </c>
      <c r="AA45" s="72" t="s">
        <v>116</v>
      </c>
      <c r="AB45" s="115">
        <v>47.078209599262202</v>
      </c>
      <c r="AC45" s="115">
        <v>-84.733290433833702</v>
      </c>
      <c r="AD45" s="72" t="s">
        <v>165</v>
      </c>
    </row>
    <row r="46" spans="1:34">
      <c r="A46" s="72" t="s">
        <v>131</v>
      </c>
      <c r="B46" s="72" t="s">
        <v>0</v>
      </c>
      <c r="C46" s="72" t="s">
        <v>34</v>
      </c>
      <c r="D46" s="72" t="s">
        <v>0</v>
      </c>
      <c r="E46" s="71">
        <v>1387</v>
      </c>
      <c r="F46" s="72" t="s">
        <v>0</v>
      </c>
      <c r="G46" s="72">
        <v>3</v>
      </c>
      <c r="H46" s="72" t="s">
        <v>0</v>
      </c>
      <c r="I46" s="73">
        <v>316.60000000000002</v>
      </c>
      <c r="J46" s="72" t="s">
        <v>0</v>
      </c>
      <c r="K46" s="73">
        <v>70.2</v>
      </c>
      <c r="L46" s="72" t="s">
        <v>0</v>
      </c>
      <c r="M46" s="73">
        <v>282.8</v>
      </c>
      <c r="N46" s="72" t="s">
        <v>0</v>
      </c>
      <c r="O46" s="73">
        <v>36.299999999999997</v>
      </c>
      <c r="P46" s="72" t="s">
        <v>0</v>
      </c>
      <c r="Q46" s="73">
        <v>16.2</v>
      </c>
      <c r="R46" s="72" t="s">
        <v>0</v>
      </c>
      <c r="S46" s="72">
        <v>59</v>
      </c>
      <c r="T46" s="72" t="s">
        <v>0</v>
      </c>
      <c r="U46" s="72" t="s">
        <v>7</v>
      </c>
      <c r="V46" s="72" t="s">
        <v>0</v>
      </c>
      <c r="W46" s="72" t="s">
        <v>90</v>
      </c>
      <c r="X46" s="72" t="s">
        <v>0</v>
      </c>
      <c r="Y46" s="72" t="s">
        <v>318</v>
      </c>
      <c r="AA46" s="72" t="s">
        <v>116</v>
      </c>
      <c r="AB46" s="115">
        <v>47.0780405873749</v>
      </c>
      <c r="AC46" s="115">
        <v>-84.733389819059596</v>
      </c>
      <c r="AD46" s="72" t="s">
        <v>165</v>
      </c>
    </row>
    <row r="47" spans="1:34">
      <c r="A47" s="72" t="s">
        <v>132</v>
      </c>
      <c r="B47" s="72" t="s">
        <v>0</v>
      </c>
      <c r="C47" s="72" t="s">
        <v>35</v>
      </c>
      <c r="D47" s="72" t="s">
        <v>0</v>
      </c>
      <c r="E47" s="71">
        <v>1776.047</v>
      </c>
      <c r="F47" s="72" t="s">
        <v>0</v>
      </c>
      <c r="G47" s="72">
        <v>3</v>
      </c>
      <c r="H47" s="72" t="s">
        <v>0</v>
      </c>
      <c r="I47" s="73">
        <v>345.5</v>
      </c>
      <c r="J47" s="72" t="s">
        <v>0</v>
      </c>
      <c r="K47" s="73">
        <v>57.4</v>
      </c>
      <c r="L47" s="72" t="s">
        <v>0</v>
      </c>
      <c r="M47" s="73">
        <v>310.89999999999998</v>
      </c>
      <c r="N47" s="72" t="s">
        <v>0</v>
      </c>
      <c r="O47" s="73">
        <v>34.799999999999997</v>
      </c>
      <c r="P47" s="72" t="s">
        <v>0</v>
      </c>
      <c r="Q47" s="73">
        <v>11.7</v>
      </c>
      <c r="R47" s="72" t="s">
        <v>0</v>
      </c>
      <c r="S47" s="72">
        <v>113</v>
      </c>
      <c r="T47" s="72" t="s">
        <v>0</v>
      </c>
      <c r="U47" s="72" t="s">
        <v>2</v>
      </c>
      <c r="V47" s="72" t="s">
        <v>0</v>
      </c>
      <c r="W47" s="72" t="s">
        <v>90</v>
      </c>
      <c r="X47" s="72" t="s">
        <v>0</v>
      </c>
      <c r="Y47" s="72" t="s">
        <v>318</v>
      </c>
      <c r="AA47" s="72" t="s">
        <v>116</v>
      </c>
      <c r="AB47" s="115">
        <v>47.074545402592001</v>
      </c>
      <c r="AC47" s="115">
        <v>-84.739571133393994</v>
      </c>
    </row>
    <row r="48" spans="1:34">
      <c r="A48" s="72" t="s">
        <v>132</v>
      </c>
      <c r="B48" s="72" t="s">
        <v>0</v>
      </c>
      <c r="C48" s="72" t="s">
        <v>36</v>
      </c>
      <c r="D48" s="72" t="s">
        <v>0</v>
      </c>
      <c r="E48" s="71">
        <v>1778.047</v>
      </c>
      <c r="F48" s="72" t="s">
        <v>0</v>
      </c>
      <c r="G48" s="72">
        <v>5</v>
      </c>
      <c r="H48" s="72" t="s">
        <v>0</v>
      </c>
      <c r="I48" s="73">
        <v>344</v>
      </c>
      <c r="J48" s="72" t="s">
        <v>0</v>
      </c>
      <c r="K48" s="73">
        <v>60.4</v>
      </c>
      <c r="L48" s="72" t="s">
        <v>0</v>
      </c>
      <c r="M48" s="73">
        <v>307.7</v>
      </c>
      <c r="N48" s="72" t="s">
        <v>0</v>
      </c>
      <c r="O48" s="73">
        <v>36.200000000000003</v>
      </c>
      <c r="P48" s="72" t="s">
        <v>0</v>
      </c>
      <c r="Q48" s="73">
        <v>3.1</v>
      </c>
      <c r="R48" s="72" t="s">
        <v>0</v>
      </c>
      <c r="S48" s="72">
        <v>599</v>
      </c>
      <c r="T48" s="72" t="s">
        <v>0</v>
      </c>
      <c r="U48" s="72" t="s">
        <v>2</v>
      </c>
      <c r="V48" s="72" t="s">
        <v>0</v>
      </c>
      <c r="W48" s="72" t="s">
        <v>90</v>
      </c>
      <c r="X48" s="72" t="s">
        <v>0</v>
      </c>
      <c r="Y48" s="72" t="s">
        <v>318</v>
      </c>
      <c r="AA48" s="72" t="s">
        <v>116</v>
      </c>
      <c r="AB48" s="115">
        <v>47.074501746550801</v>
      </c>
      <c r="AC48" s="115">
        <v>-84.739638843108295</v>
      </c>
    </row>
    <row r="49" spans="1:29">
      <c r="A49" s="72" t="s">
        <v>133</v>
      </c>
      <c r="B49" s="72" t="s">
        <v>0</v>
      </c>
      <c r="C49" s="72" t="s">
        <v>37</v>
      </c>
      <c r="D49" s="72" t="s">
        <v>0</v>
      </c>
      <c r="E49" s="71">
        <v>1764.193</v>
      </c>
      <c r="F49" s="72" t="s">
        <v>0</v>
      </c>
      <c r="G49" s="72">
        <v>4</v>
      </c>
      <c r="H49" s="72" t="s">
        <v>0</v>
      </c>
      <c r="I49" s="73">
        <v>357.8</v>
      </c>
      <c r="J49" s="72" t="s">
        <v>0</v>
      </c>
      <c r="K49" s="73">
        <v>64.2</v>
      </c>
      <c r="L49" s="72" t="s">
        <v>0</v>
      </c>
      <c r="M49" s="73">
        <v>301.3</v>
      </c>
      <c r="N49" s="72" t="s">
        <v>0</v>
      </c>
      <c r="O49" s="73">
        <v>51.2</v>
      </c>
      <c r="P49" s="72" t="s">
        <v>0</v>
      </c>
      <c r="Q49" s="73">
        <v>6.4</v>
      </c>
      <c r="R49" s="72" t="s">
        <v>0</v>
      </c>
      <c r="S49" s="72">
        <v>89</v>
      </c>
      <c r="T49" s="72" t="s">
        <v>0</v>
      </c>
      <c r="U49" s="72" t="s">
        <v>2</v>
      </c>
      <c r="V49" s="72" t="s">
        <v>0</v>
      </c>
      <c r="W49" s="72" t="s">
        <v>90</v>
      </c>
      <c r="X49" s="72" t="s">
        <v>0</v>
      </c>
      <c r="Y49" s="72" t="s">
        <v>318</v>
      </c>
      <c r="AA49" s="72" t="s">
        <v>116</v>
      </c>
      <c r="AB49" s="115">
        <v>47.072726751131498</v>
      </c>
      <c r="AC49" s="115">
        <v>-84.739529523204197</v>
      </c>
    </row>
    <row r="50" spans="1:29">
      <c r="A50" s="72" t="s">
        <v>133</v>
      </c>
      <c r="B50" s="72" t="s">
        <v>0</v>
      </c>
      <c r="C50" s="72" t="s">
        <v>38</v>
      </c>
      <c r="D50" s="72" t="s">
        <v>0</v>
      </c>
      <c r="E50" s="71">
        <v>1775.2929999999999</v>
      </c>
      <c r="F50" s="72" t="s">
        <v>0</v>
      </c>
      <c r="G50" s="72">
        <v>5</v>
      </c>
      <c r="H50" s="72" t="s">
        <v>0</v>
      </c>
      <c r="I50" s="73">
        <v>6.4</v>
      </c>
      <c r="J50" s="72" t="s">
        <v>0</v>
      </c>
      <c r="K50" s="73">
        <v>74.3</v>
      </c>
      <c r="L50" s="72" t="s">
        <v>0</v>
      </c>
      <c r="M50" s="73">
        <v>286.10000000000002</v>
      </c>
      <c r="N50" s="72" t="s">
        <v>0</v>
      </c>
      <c r="O50" s="73">
        <v>56.9</v>
      </c>
      <c r="P50" s="72" t="s">
        <v>0</v>
      </c>
      <c r="Q50" s="73">
        <v>8.3000000000000007</v>
      </c>
      <c r="R50" s="72" t="s">
        <v>0</v>
      </c>
      <c r="S50" s="72">
        <v>86</v>
      </c>
      <c r="T50" s="72" t="s">
        <v>0</v>
      </c>
      <c r="U50" s="72" t="s">
        <v>2</v>
      </c>
      <c r="V50" s="72" t="s">
        <v>0</v>
      </c>
      <c r="W50" s="72" t="s">
        <v>90</v>
      </c>
      <c r="X50" s="72" t="s">
        <v>0</v>
      </c>
      <c r="Y50" s="72" t="s">
        <v>318</v>
      </c>
      <c r="AA50" s="72" t="s">
        <v>116</v>
      </c>
      <c r="AB50" s="115">
        <v>47.072719321965899</v>
      </c>
      <c r="AC50" s="115">
        <v>-84.739608870147293</v>
      </c>
    </row>
    <row r="51" spans="1:29">
      <c r="A51" s="72" t="s">
        <v>171</v>
      </c>
      <c r="B51" s="72" t="s">
        <v>0</v>
      </c>
      <c r="C51" s="49" t="s">
        <v>39</v>
      </c>
      <c r="D51" s="72" t="s">
        <v>0</v>
      </c>
      <c r="E51" s="71">
        <v>1782.4740000000002</v>
      </c>
      <c r="F51" s="72" t="s">
        <v>0</v>
      </c>
      <c r="G51" s="49">
        <v>6</v>
      </c>
      <c r="H51" s="72" t="s">
        <v>0</v>
      </c>
      <c r="I51" s="73">
        <v>30</v>
      </c>
      <c r="J51" s="72" t="s">
        <v>0</v>
      </c>
      <c r="K51" s="73">
        <v>60.3</v>
      </c>
      <c r="L51" s="72" t="s">
        <v>0</v>
      </c>
      <c r="M51" s="73">
        <v>321.39999999999998</v>
      </c>
      <c r="N51" s="72" t="s">
        <v>0</v>
      </c>
      <c r="O51" s="73">
        <v>58.4</v>
      </c>
      <c r="P51" s="72" t="s">
        <v>0</v>
      </c>
      <c r="Q51" s="73">
        <v>11.6</v>
      </c>
      <c r="R51" s="72" t="s">
        <v>0</v>
      </c>
      <c r="S51" s="72">
        <v>45</v>
      </c>
      <c r="T51" s="72" t="s">
        <v>0</v>
      </c>
      <c r="U51" s="72" t="s">
        <v>7</v>
      </c>
      <c r="V51" s="72" t="s">
        <v>0</v>
      </c>
      <c r="W51" s="72" t="s">
        <v>90</v>
      </c>
      <c r="X51" s="72" t="s">
        <v>0</v>
      </c>
      <c r="Y51" s="72" t="s">
        <v>318</v>
      </c>
      <c r="AA51" s="72" t="s">
        <v>116</v>
      </c>
      <c r="AB51" s="115">
        <v>47.071982666822301</v>
      </c>
      <c r="AC51" s="115">
        <v>-84.7392185313917</v>
      </c>
    </row>
    <row r="52" spans="1:29">
      <c r="A52" s="72" t="s">
        <v>171</v>
      </c>
      <c r="B52" s="72" t="s">
        <v>0</v>
      </c>
      <c r="C52" s="49" t="s">
        <v>40</v>
      </c>
      <c r="D52" s="72" t="s">
        <v>0</v>
      </c>
      <c r="E52" s="71">
        <v>1787.7740000000001</v>
      </c>
      <c r="F52" s="72" t="s">
        <v>0</v>
      </c>
      <c r="G52" s="49">
        <v>6</v>
      </c>
      <c r="H52" s="72" t="s">
        <v>0</v>
      </c>
      <c r="I52" s="73">
        <v>16.8</v>
      </c>
      <c r="J52" s="72" t="s">
        <v>0</v>
      </c>
      <c r="K52" s="73">
        <v>70.5</v>
      </c>
      <c r="L52" s="72" t="s">
        <v>0</v>
      </c>
      <c r="M52" s="73">
        <v>301.3</v>
      </c>
      <c r="N52" s="72" t="s">
        <v>0</v>
      </c>
      <c r="O52" s="73">
        <v>54.8</v>
      </c>
      <c r="P52" s="72" t="s">
        <v>0</v>
      </c>
      <c r="Q52" s="73">
        <v>11.9</v>
      </c>
      <c r="R52" s="72" t="s">
        <v>0</v>
      </c>
      <c r="S52" s="72">
        <v>33</v>
      </c>
      <c r="T52" s="72" t="s">
        <v>0</v>
      </c>
      <c r="U52" s="72" t="s">
        <v>12</v>
      </c>
      <c r="V52" s="72" t="s">
        <v>0</v>
      </c>
      <c r="W52" s="72" t="s">
        <v>90</v>
      </c>
      <c r="X52" s="72" t="s">
        <v>0</v>
      </c>
      <c r="Y52" s="72" t="s">
        <v>318</v>
      </c>
      <c r="AA52" s="72" t="s">
        <v>116</v>
      </c>
      <c r="AB52" s="115">
        <v>47.072014329497897</v>
      </c>
      <c r="AC52" s="115">
        <v>-84.739454286550099</v>
      </c>
    </row>
    <row r="53" spans="1:29">
      <c r="A53" s="72" t="s">
        <v>171</v>
      </c>
      <c r="B53" s="72" t="s">
        <v>0</v>
      </c>
      <c r="C53" s="49" t="s">
        <v>41</v>
      </c>
      <c r="D53" s="72" t="s">
        <v>0</v>
      </c>
      <c r="E53" s="71">
        <v>1800.6740000000002</v>
      </c>
      <c r="F53" s="72" t="s">
        <v>0</v>
      </c>
      <c r="G53" s="49">
        <v>4</v>
      </c>
      <c r="H53" s="72" t="s">
        <v>0</v>
      </c>
      <c r="I53" s="73">
        <v>45.6</v>
      </c>
      <c r="J53" s="72" t="s">
        <v>0</v>
      </c>
      <c r="K53" s="73">
        <v>69.8</v>
      </c>
      <c r="L53" s="72" t="s">
        <v>0</v>
      </c>
      <c r="M53" s="73">
        <v>300.8</v>
      </c>
      <c r="N53" s="72" t="s">
        <v>0</v>
      </c>
      <c r="O53" s="73">
        <v>64.5</v>
      </c>
      <c r="P53" s="72" t="s">
        <v>0</v>
      </c>
      <c r="Q53" s="73">
        <v>6.4</v>
      </c>
      <c r="R53" s="72" t="s">
        <v>0</v>
      </c>
      <c r="S53" s="72">
        <v>145</v>
      </c>
      <c r="T53" s="72" t="s">
        <v>0</v>
      </c>
      <c r="U53" s="72" t="s">
        <v>12</v>
      </c>
      <c r="V53" s="72" t="s">
        <v>0</v>
      </c>
      <c r="W53" s="72" t="s">
        <v>90</v>
      </c>
      <c r="X53" s="72" t="s">
        <v>0</v>
      </c>
      <c r="Y53" s="72" t="s">
        <v>318</v>
      </c>
      <c r="AA53" s="72" t="s">
        <v>116</v>
      </c>
      <c r="AB53" s="115">
        <v>47.072108933069302</v>
      </c>
      <c r="AC53" s="115">
        <v>-84.739687379483001</v>
      </c>
    </row>
    <row r="54" spans="1:29">
      <c r="A54" s="49" t="s">
        <v>172</v>
      </c>
      <c r="B54" s="72" t="s">
        <v>0</v>
      </c>
      <c r="C54" s="49" t="s">
        <v>42</v>
      </c>
      <c r="D54" s="72" t="s">
        <v>0</v>
      </c>
      <c r="E54" s="71">
        <v>1820.0740000000001</v>
      </c>
      <c r="F54" s="72" t="s">
        <v>0</v>
      </c>
      <c r="G54" s="49">
        <v>6</v>
      </c>
      <c r="H54" s="72" t="s">
        <v>0</v>
      </c>
      <c r="I54" s="73">
        <v>350.2</v>
      </c>
      <c r="J54" s="72" t="s">
        <v>0</v>
      </c>
      <c r="K54" s="73">
        <v>36.700000000000003</v>
      </c>
      <c r="L54" s="72" t="s">
        <v>0</v>
      </c>
      <c r="M54" s="73">
        <v>328.7</v>
      </c>
      <c r="N54" s="72" t="s">
        <v>0</v>
      </c>
      <c r="O54" s="73">
        <v>24.4</v>
      </c>
      <c r="P54" s="72" t="s">
        <v>0</v>
      </c>
      <c r="Q54" s="73">
        <v>3.6</v>
      </c>
      <c r="R54" s="72" t="s">
        <v>0</v>
      </c>
      <c r="S54" s="72">
        <v>341.4</v>
      </c>
      <c r="T54" s="72" t="s">
        <v>0</v>
      </c>
      <c r="U54" s="72" t="s">
        <v>7</v>
      </c>
      <c r="V54" s="72" t="s">
        <v>0</v>
      </c>
      <c r="W54" s="72" t="s">
        <v>90</v>
      </c>
      <c r="X54" s="72" t="s">
        <v>0</v>
      </c>
      <c r="Y54" s="72" t="s">
        <v>318</v>
      </c>
      <c r="AA54" s="72" t="s">
        <v>116</v>
      </c>
      <c r="AB54" s="115">
        <v>47.070864999999998</v>
      </c>
      <c r="AC54" s="115">
        <v>-84.740131000000005</v>
      </c>
    </row>
    <row r="55" spans="1:29">
      <c r="A55" s="49" t="s">
        <v>172</v>
      </c>
      <c r="B55" s="72" t="s">
        <v>0</v>
      </c>
      <c r="C55" s="49" t="s">
        <v>43</v>
      </c>
      <c r="D55" s="72" t="s">
        <v>0</v>
      </c>
      <c r="E55" s="71">
        <v>1832.8740000000003</v>
      </c>
      <c r="F55" s="72" t="s">
        <v>0</v>
      </c>
      <c r="G55" s="49">
        <v>6</v>
      </c>
      <c r="H55" s="72" t="s">
        <v>0</v>
      </c>
      <c r="I55" s="73">
        <v>350.3</v>
      </c>
      <c r="J55" s="72" t="s">
        <v>0</v>
      </c>
      <c r="K55" s="73">
        <v>41</v>
      </c>
      <c r="L55" s="72" t="s">
        <v>0</v>
      </c>
      <c r="M55" s="73">
        <v>325.5</v>
      </c>
      <c r="N55" s="72" t="s">
        <v>0</v>
      </c>
      <c r="O55" s="73">
        <v>27.6</v>
      </c>
      <c r="P55" s="72" t="s">
        <v>0</v>
      </c>
      <c r="Q55" s="73">
        <v>23.1</v>
      </c>
      <c r="R55" s="72" t="s">
        <v>0</v>
      </c>
      <c r="S55" s="72">
        <v>17</v>
      </c>
      <c r="T55" s="72" t="s">
        <v>0</v>
      </c>
      <c r="U55" s="72" t="s">
        <v>12</v>
      </c>
      <c r="V55" s="72" t="s">
        <v>0</v>
      </c>
      <c r="W55" s="72" t="s">
        <v>90</v>
      </c>
      <c r="X55" s="72" t="s">
        <v>0</v>
      </c>
      <c r="Y55" s="72" t="s">
        <v>318</v>
      </c>
      <c r="AA55" s="72" t="s">
        <v>116</v>
      </c>
      <c r="AB55" s="115">
        <v>47.070430999999999</v>
      </c>
      <c r="AC55" s="115">
        <v>-84.740133</v>
      </c>
    </row>
    <row r="56" spans="1:29">
      <c r="A56" s="49" t="s">
        <v>172</v>
      </c>
      <c r="B56" s="72" t="s">
        <v>0</v>
      </c>
      <c r="C56" s="49" t="s">
        <v>44</v>
      </c>
      <c r="D56" s="72" t="s">
        <v>0</v>
      </c>
      <c r="E56" s="71">
        <v>1857.9740000000002</v>
      </c>
      <c r="F56" s="72" t="s">
        <v>0</v>
      </c>
      <c r="G56" s="49">
        <v>5</v>
      </c>
      <c r="H56" s="72" t="s">
        <v>0</v>
      </c>
      <c r="I56" s="73">
        <v>336.3</v>
      </c>
      <c r="J56" s="72" t="s">
        <v>0</v>
      </c>
      <c r="K56" s="73">
        <v>40.9</v>
      </c>
      <c r="L56" s="72" t="s">
        <v>0</v>
      </c>
      <c r="M56" s="73">
        <v>316.7</v>
      </c>
      <c r="N56" s="72" t="s">
        <v>0</v>
      </c>
      <c r="O56" s="73">
        <v>20.8</v>
      </c>
      <c r="P56" s="72" t="s">
        <v>0</v>
      </c>
      <c r="Q56" s="73">
        <v>13</v>
      </c>
      <c r="R56" s="72" t="s">
        <v>0</v>
      </c>
      <c r="S56" s="72">
        <v>36</v>
      </c>
      <c r="T56" s="72" t="s">
        <v>0</v>
      </c>
      <c r="U56" s="72" t="s">
        <v>12</v>
      </c>
      <c r="V56" s="72" t="s">
        <v>0</v>
      </c>
      <c r="W56" s="72" t="s">
        <v>90</v>
      </c>
      <c r="X56" s="72" t="s">
        <v>0</v>
      </c>
      <c r="Y56" s="72" t="s">
        <v>318</v>
      </c>
      <c r="AA56" s="72" t="s">
        <v>116</v>
      </c>
      <c r="AB56" s="115">
        <v>47.070039276057798</v>
      </c>
      <c r="AC56" s="115">
        <v>-84.740604725704799</v>
      </c>
    </row>
    <row r="57" spans="1:29">
      <c r="A57" s="72" t="s">
        <v>45</v>
      </c>
      <c r="B57" s="72" t="s">
        <v>0</v>
      </c>
      <c r="C57" s="72" t="s">
        <v>46</v>
      </c>
      <c r="D57" s="72" t="s">
        <v>0</v>
      </c>
      <c r="E57" s="71">
        <v>1865.2740000000001</v>
      </c>
      <c r="F57" s="72" t="s">
        <v>0</v>
      </c>
      <c r="G57" s="72">
        <v>9</v>
      </c>
      <c r="H57" s="72" t="s">
        <v>0</v>
      </c>
      <c r="I57" s="73">
        <v>146.30000000000001</v>
      </c>
      <c r="J57" s="72" t="s">
        <v>0</v>
      </c>
      <c r="K57" s="73">
        <v>-72.2</v>
      </c>
      <c r="L57" s="72" t="s">
        <v>0</v>
      </c>
      <c r="M57" s="73">
        <v>106.7</v>
      </c>
      <c r="N57" s="72" t="s">
        <v>0</v>
      </c>
      <c r="O57" s="73">
        <v>-39</v>
      </c>
      <c r="P57" s="72" t="s">
        <v>0</v>
      </c>
      <c r="Q57" s="73">
        <v>3.4</v>
      </c>
      <c r="R57" s="72" t="s">
        <v>0</v>
      </c>
      <c r="S57" s="72">
        <v>226</v>
      </c>
      <c r="T57" s="72" t="s">
        <v>0</v>
      </c>
      <c r="U57" s="72" t="s">
        <v>2</v>
      </c>
      <c r="V57" s="72" t="s">
        <v>0</v>
      </c>
      <c r="W57" s="72" t="s">
        <v>90</v>
      </c>
      <c r="X57" s="72" t="s">
        <v>0</v>
      </c>
      <c r="Y57" s="72" t="s">
        <v>318</v>
      </c>
      <c r="AA57" s="72" t="s">
        <v>116</v>
      </c>
      <c r="AB57" s="115">
        <v>47.068898639652502</v>
      </c>
      <c r="AC57" s="115">
        <v>-84.740718807781406</v>
      </c>
    </row>
    <row r="58" spans="1:29">
      <c r="A58" s="72" t="s">
        <v>47</v>
      </c>
      <c r="B58" s="72" t="s">
        <v>0</v>
      </c>
      <c r="C58" s="72" t="s">
        <v>48</v>
      </c>
      <c r="D58" s="72" t="s">
        <v>0</v>
      </c>
      <c r="E58" s="71">
        <v>1871.874</v>
      </c>
      <c r="F58" s="72" t="s">
        <v>0</v>
      </c>
      <c r="G58" s="72">
        <v>4</v>
      </c>
      <c r="H58" s="72" t="s">
        <v>0</v>
      </c>
      <c r="I58" s="73">
        <v>152.6</v>
      </c>
      <c r="J58" s="72" t="s">
        <v>0</v>
      </c>
      <c r="K58" s="73">
        <v>-74.8</v>
      </c>
      <c r="L58" s="72" t="s">
        <v>0</v>
      </c>
      <c r="M58" s="73">
        <v>105.7</v>
      </c>
      <c r="N58" s="72" t="s">
        <v>0</v>
      </c>
      <c r="O58" s="73">
        <v>-42.1</v>
      </c>
      <c r="P58" s="72" t="s">
        <v>0</v>
      </c>
      <c r="Q58" s="73">
        <v>7.8</v>
      </c>
      <c r="R58" s="72" t="s">
        <v>0</v>
      </c>
      <c r="S58" s="72">
        <v>140</v>
      </c>
      <c r="T58" s="72" t="s">
        <v>0</v>
      </c>
      <c r="U58" s="72" t="s">
        <v>2</v>
      </c>
      <c r="V58" s="72" t="s">
        <v>0</v>
      </c>
      <c r="W58" s="72" t="s">
        <v>90</v>
      </c>
      <c r="X58" s="72" t="s">
        <v>0</v>
      </c>
      <c r="Y58" s="72" t="s">
        <v>318</v>
      </c>
      <c r="AA58" s="72" t="s">
        <v>116</v>
      </c>
      <c r="AB58" s="115">
        <v>47.068662774963599</v>
      </c>
      <c r="AC58" s="115">
        <v>-84.740623410658998</v>
      </c>
    </row>
    <row r="59" spans="1:29">
      <c r="A59" s="72" t="s">
        <v>171</v>
      </c>
      <c r="B59" s="72" t="s">
        <v>0</v>
      </c>
      <c r="C59" s="49" t="s">
        <v>49</v>
      </c>
      <c r="D59" s="72" t="s">
        <v>0</v>
      </c>
      <c r="E59" s="71">
        <v>1910.4740000000002</v>
      </c>
      <c r="F59" s="72" t="s">
        <v>0</v>
      </c>
      <c r="G59" s="49">
        <v>5</v>
      </c>
      <c r="H59" s="72" t="s">
        <v>0</v>
      </c>
      <c r="I59" s="73">
        <v>136</v>
      </c>
      <c r="J59" s="72" t="s">
        <v>0</v>
      </c>
      <c r="K59" s="73">
        <v>-68.3</v>
      </c>
      <c r="L59" s="72" t="s">
        <v>0</v>
      </c>
      <c r="M59" s="73">
        <v>112.7</v>
      </c>
      <c r="N59" s="72" t="s">
        <v>0</v>
      </c>
      <c r="O59" s="73">
        <v>-33.9</v>
      </c>
      <c r="P59" s="72" t="s">
        <v>0</v>
      </c>
      <c r="Q59" s="73">
        <v>7.8</v>
      </c>
      <c r="R59" s="72" t="s">
        <v>0</v>
      </c>
      <c r="S59" s="72">
        <v>97</v>
      </c>
      <c r="T59" s="72" t="s">
        <v>0</v>
      </c>
      <c r="U59" s="72" t="s">
        <v>12</v>
      </c>
      <c r="V59" s="72" t="s">
        <v>0</v>
      </c>
      <c r="W59" s="72" t="s">
        <v>90</v>
      </c>
      <c r="X59" s="72" t="s">
        <v>0</v>
      </c>
      <c r="Y59" s="72" t="s">
        <v>318</v>
      </c>
      <c r="AA59" s="72" t="s">
        <v>116</v>
      </c>
      <c r="AB59" s="115">
        <v>47.0688261572896</v>
      </c>
      <c r="AC59" s="115">
        <v>-84.741604338962603</v>
      </c>
    </row>
    <row r="60" spans="1:29">
      <c r="A60" s="72" t="s">
        <v>171</v>
      </c>
      <c r="B60" s="72" t="s">
        <v>0</v>
      </c>
      <c r="C60" s="49" t="s">
        <v>50</v>
      </c>
      <c r="D60" s="72" t="s">
        <v>0</v>
      </c>
      <c r="E60" s="71">
        <v>1913.1740000000002</v>
      </c>
      <c r="F60" s="72" t="s">
        <v>0</v>
      </c>
      <c r="G60" s="49">
        <v>6</v>
      </c>
      <c r="H60" s="72" t="s">
        <v>0</v>
      </c>
      <c r="I60" s="73">
        <v>164.7</v>
      </c>
      <c r="J60" s="72" t="s">
        <v>0</v>
      </c>
      <c r="K60" s="73">
        <v>-77.099999999999994</v>
      </c>
      <c r="L60" s="72" t="s">
        <v>0</v>
      </c>
      <c r="M60" s="73">
        <v>113.3</v>
      </c>
      <c r="N60" s="72" t="s">
        <v>0</v>
      </c>
      <c r="O60" s="73">
        <v>-45.9</v>
      </c>
      <c r="P60" s="72" t="s">
        <v>0</v>
      </c>
      <c r="Q60" s="73">
        <v>3.8</v>
      </c>
      <c r="R60" s="72" t="s">
        <v>0</v>
      </c>
      <c r="S60" s="72">
        <v>416</v>
      </c>
      <c r="T60" s="72" t="s">
        <v>0</v>
      </c>
      <c r="U60" s="72" t="s">
        <v>7</v>
      </c>
      <c r="V60" s="72" t="s">
        <v>0</v>
      </c>
      <c r="W60" s="72" t="s">
        <v>90</v>
      </c>
      <c r="X60" s="72" t="s">
        <v>0</v>
      </c>
      <c r="Y60" s="72" t="s">
        <v>318</v>
      </c>
      <c r="AA60" s="72" t="s">
        <v>116</v>
      </c>
      <c r="AB60" s="115">
        <v>47.068809734924699</v>
      </c>
      <c r="AC60" s="115">
        <v>-84.741684059838093</v>
      </c>
    </row>
    <row r="61" spans="1:29">
      <c r="A61" s="72" t="s">
        <v>171</v>
      </c>
      <c r="B61" s="72" t="s">
        <v>0</v>
      </c>
      <c r="C61" s="49" t="s">
        <v>51</v>
      </c>
      <c r="D61" s="72" t="s">
        <v>0</v>
      </c>
      <c r="E61" s="71">
        <v>1924.3740000000003</v>
      </c>
      <c r="F61" s="72" t="s">
        <v>0</v>
      </c>
      <c r="G61" s="49">
        <v>5</v>
      </c>
      <c r="H61" s="72" t="s">
        <v>0</v>
      </c>
      <c r="I61" s="73">
        <v>166</v>
      </c>
      <c r="J61" s="72" t="s">
        <v>0</v>
      </c>
      <c r="K61" s="73">
        <v>-74.3</v>
      </c>
      <c r="L61" s="72" t="s">
        <v>0</v>
      </c>
      <c r="M61" s="73">
        <v>116.9</v>
      </c>
      <c r="N61" s="72" t="s">
        <v>0</v>
      </c>
      <c r="O61" s="73">
        <v>-44.5</v>
      </c>
      <c r="P61" s="72" t="s">
        <v>0</v>
      </c>
      <c r="Q61" s="73">
        <v>4.7</v>
      </c>
      <c r="R61" s="72" t="s">
        <v>0</v>
      </c>
      <c r="S61" s="72">
        <v>268</v>
      </c>
      <c r="T61" s="72" t="s">
        <v>0</v>
      </c>
      <c r="U61" s="72" t="s">
        <v>7</v>
      </c>
      <c r="V61" s="72" t="s">
        <v>0</v>
      </c>
      <c r="W61" s="72" t="s">
        <v>90</v>
      </c>
      <c r="X61" s="72" t="s">
        <v>0</v>
      </c>
      <c r="Y61" s="72" t="s">
        <v>318</v>
      </c>
      <c r="AA61" s="72" t="s">
        <v>116</v>
      </c>
      <c r="AB61" s="115">
        <v>47.068865245652702</v>
      </c>
      <c r="AC61" s="115">
        <v>-84.741760740919304</v>
      </c>
    </row>
    <row r="62" spans="1:29">
      <c r="A62" s="72" t="s">
        <v>171</v>
      </c>
      <c r="B62" s="72" t="s">
        <v>0</v>
      </c>
      <c r="C62" s="49" t="s">
        <v>52</v>
      </c>
      <c r="D62" s="72" t="s">
        <v>0</v>
      </c>
      <c r="E62" s="71">
        <v>1927.9740000000002</v>
      </c>
      <c r="F62" s="72" t="s">
        <v>0</v>
      </c>
      <c r="G62" s="49">
        <v>6</v>
      </c>
      <c r="H62" s="72" t="s">
        <v>0</v>
      </c>
      <c r="I62" s="73">
        <v>183</v>
      </c>
      <c r="J62" s="72" t="s">
        <v>0</v>
      </c>
      <c r="K62" s="73">
        <v>-67</v>
      </c>
      <c r="L62" s="72" t="s">
        <v>0</v>
      </c>
      <c r="M62" s="73">
        <v>129.80000000000001</v>
      </c>
      <c r="N62" s="72" t="s">
        <v>0</v>
      </c>
      <c r="O62" s="73">
        <v>-45.4</v>
      </c>
      <c r="P62" s="72" t="s">
        <v>0</v>
      </c>
      <c r="Q62" s="73">
        <v>4.9000000000000004</v>
      </c>
      <c r="R62" s="72" t="s">
        <v>0</v>
      </c>
      <c r="S62" s="72">
        <v>250</v>
      </c>
      <c r="T62" s="72" t="s">
        <v>0</v>
      </c>
      <c r="U62" s="72" t="s">
        <v>7</v>
      </c>
      <c r="V62" s="72" t="s">
        <v>0</v>
      </c>
      <c r="W62" s="72" t="s">
        <v>90</v>
      </c>
      <c r="X62" s="72" t="s">
        <v>0</v>
      </c>
      <c r="Y62" s="72" t="s">
        <v>318</v>
      </c>
      <c r="AA62" s="72" t="s">
        <v>116</v>
      </c>
      <c r="AB62" s="115">
        <v>47.068902252777299</v>
      </c>
      <c r="AC62" s="115">
        <v>-84.741811861728394</v>
      </c>
    </row>
    <row r="63" spans="1:29">
      <c r="A63" s="72" t="s">
        <v>171</v>
      </c>
      <c r="B63" s="72" t="s">
        <v>0</v>
      </c>
      <c r="C63" s="49" t="s">
        <v>53</v>
      </c>
      <c r="D63" s="72" t="s">
        <v>0</v>
      </c>
      <c r="E63" s="71">
        <v>1929.5740000000001</v>
      </c>
      <c r="F63" s="72" t="s">
        <v>0</v>
      </c>
      <c r="G63" s="49">
        <v>3</v>
      </c>
      <c r="H63" s="72" t="s">
        <v>0</v>
      </c>
      <c r="I63" s="73">
        <v>182.4</v>
      </c>
      <c r="J63" s="72" t="s">
        <v>0</v>
      </c>
      <c r="K63" s="73">
        <v>-70.900000000000006</v>
      </c>
      <c r="L63" s="72" t="s">
        <v>0</v>
      </c>
      <c r="M63" s="73">
        <v>124.7</v>
      </c>
      <c r="N63" s="72" t="s">
        <v>0</v>
      </c>
      <c r="O63" s="73">
        <v>-47.1</v>
      </c>
      <c r="P63" s="72" t="s">
        <v>0</v>
      </c>
      <c r="Q63" s="73">
        <v>5.4</v>
      </c>
      <c r="R63" s="72" t="s">
        <v>0</v>
      </c>
      <c r="S63" s="72">
        <v>155</v>
      </c>
      <c r="T63" s="72" t="s">
        <v>0</v>
      </c>
      <c r="U63" s="72" t="s">
        <v>12</v>
      </c>
      <c r="V63" s="72" t="s">
        <v>0</v>
      </c>
      <c r="W63" s="72" t="s">
        <v>90</v>
      </c>
      <c r="X63" s="72" t="s">
        <v>0</v>
      </c>
      <c r="Y63" s="72" t="s">
        <v>318</v>
      </c>
      <c r="AA63" s="72" t="s">
        <v>116</v>
      </c>
      <c r="AB63" s="115">
        <v>47.069003241893697</v>
      </c>
      <c r="AC63" s="115">
        <v>-84.741912963723607</v>
      </c>
    </row>
    <row r="64" spans="1:29">
      <c r="A64" s="72" t="s">
        <v>171</v>
      </c>
      <c r="B64" s="72" t="s">
        <v>0</v>
      </c>
      <c r="C64" s="49" t="s">
        <v>54</v>
      </c>
      <c r="D64" s="72" t="s">
        <v>0</v>
      </c>
      <c r="E64" s="71">
        <v>1937</v>
      </c>
      <c r="F64" s="72" t="s">
        <v>0</v>
      </c>
      <c r="G64" s="49">
        <v>6</v>
      </c>
      <c r="H64" s="72" t="s">
        <v>0</v>
      </c>
      <c r="I64" s="73">
        <v>166.1</v>
      </c>
      <c r="J64" s="72" t="s">
        <v>0</v>
      </c>
      <c r="K64" s="73">
        <v>-68.3</v>
      </c>
      <c r="L64" s="72" t="s">
        <v>0</v>
      </c>
      <c r="M64" s="73">
        <v>123.3</v>
      </c>
      <c r="N64" s="72" t="s">
        <v>0</v>
      </c>
      <c r="O64" s="73">
        <v>-40.9</v>
      </c>
      <c r="P64" s="72" t="s">
        <v>0</v>
      </c>
      <c r="Q64" s="73">
        <v>8.6999999999999993</v>
      </c>
      <c r="R64" s="72" t="s">
        <v>0</v>
      </c>
      <c r="S64" s="72">
        <v>113</v>
      </c>
      <c r="T64" s="72" t="s">
        <v>0</v>
      </c>
      <c r="U64" s="72" t="s">
        <v>2</v>
      </c>
      <c r="V64" s="72" t="s">
        <v>0</v>
      </c>
      <c r="W64" s="72" t="s">
        <v>90</v>
      </c>
      <c r="X64" s="72" t="s">
        <v>0</v>
      </c>
      <c r="Y64" s="72" t="s">
        <v>318</v>
      </c>
      <c r="AA64" s="72" t="s">
        <v>116</v>
      </c>
      <c r="AB64" s="115">
        <v>47.069152570481499</v>
      </c>
      <c r="AC64" s="115">
        <v>-84.742183249513701</v>
      </c>
    </row>
    <row r="65" spans="1:29">
      <c r="A65" s="72" t="s">
        <v>171</v>
      </c>
      <c r="B65" s="72" t="s">
        <v>0</v>
      </c>
      <c r="C65" s="72" t="s">
        <v>55</v>
      </c>
      <c r="D65" s="72" t="s">
        <v>0</v>
      </c>
      <c r="E65" s="71">
        <v>2056.2740000000003</v>
      </c>
      <c r="F65" s="72" t="s">
        <v>0</v>
      </c>
      <c r="G65" s="49">
        <v>5</v>
      </c>
      <c r="H65" s="72" t="s">
        <v>0</v>
      </c>
      <c r="I65" s="73">
        <v>6.3</v>
      </c>
      <c r="J65" s="72" t="s">
        <v>0</v>
      </c>
      <c r="K65" s="73">
        <v>-84.4</v>
      </c>
      <c r="L65" s="72" t="s">
        <v>0</v>
      </c>
      <c r="M65" s="73">
        <v>86.9</v>
      </c>
      <c r="N65" s="72" t="s">
        <v>0</v>
      </c>
      <c r="O65" s="73">
        <v>-51.6</v>
      </c>
      <c r="P65" s="72" t="s">
        <v>0</v>
      </c>
      <c r="Q65" s="73">
        <v>13.6</v>
      </c>
      <c r="R65" s="72" t="s">
        <v>0</v>
      </c>
      <c r="S65" s="72">
        <v>32</v>
      </c>
      <c r="T65" s="72" t="s">
        <v>0</v>
      </c>
      <c r="U65" s="72" t="s">
        <v>12</v>
      </c>
      <c r="V65" s="72" t="s">
        <v>0</v>
      </c>
      <c r="W65" s="72" t="s">
        <v>90</v>
      </c>
      <c r="X65" s="72" t="s">
        <v>0</v>
      </c>
      <c r="Y65" s="72" t="s">
        <v>318</v>
      </c>
      <c r="AA65" s="72" t="s">
        <v>116</v>
      </c>
      <c r="AB65" s="115">
        <v>47.068885953454902</v>
      </c>
      <c r="AC65" s="115">
        <v>-84.744631178664307</v>
      </c>
    </row>
    <row r="66" spans="1:29">
      <c r="A66" s="72" t="s">
        <v>171</v>
      </c>
      <c r="B66" s="72" t="s">
        <v>0</v>
      </c>
      <c r="C66" s="72" t="s">
        <v>56</v>
      </c>
      <c r="D66" s="72" t="s">
        <v>0</v>
      </c>
      <c r="E66" s="71">
        <v>2084.7740000000003</v>
      </c>
      <c r="F66" s="72" t="s">
        <v>0</v>
      </c>
      <c r="G66" s="72">
        <v>3</v>
      </c>
      <c r="H66" s="72" t="s">
        <v>0</v>
      </c>
      <c r="I66" s="73">
        <v>184.7</v>
      </c>
      <c r="J66" s="72" t="s">
        <v>0</v>
      </c>
      <c r="K66" s="73">
        <v>-80.900000000000006</v>
      </c>
      <c r="L66" s="72" t="s">
        <v>0</v>
      </c>
      <c r="M66" s="73">
        <v>100.5</v>
      </c>
      <c r="N66" s="72" t="s">
        <v>0</v>
      </c>
      <c r="O66" s="73">
        <v>-50.9</v>
      </c>
      <c r="P66" s="72" t="s">
        <v>0</v>
      </c>
      <c r="Q66" s="73">
        <v>6</v>
      </c>
      <c r="R66" s="72" t="s">
        <v>0</v>
      </c>
      <c r="S66" s="72">
        <v>235</v>
      </c>
      <c r="T66" s="72" t="s">
        <v>0</v>
      </c>
      <c r="U66" s="72" t="s">
        <v>2</v>
      </c>
      <c r="V66" s="72" t="s">
        <v>0</v>
      </c>
      <c r="W66" s="72" t="s">
        <v>90</v>
      </c>
      <c r="X66" s="72" t="s">
        <v>0</v>
      </c>
      <c r="Y66" s="72" t="s">
        <v>318</v>
      </c>
      <c r="AA66" s="72" t="s">
        <v>116</v>
      </c>
      <c r="AB66" s="115">
        <v>47.068366355814199</v>
      </c>
      <c r="AC66" s="115">
        <v>-84.745206290880006</v>
      </c>
    </row>
    <row r="67" spans="1:29">
      <c r="A67" s="72" t="s">
        <v>138</v>
      </c>
      <c r="B67" s="72" t="s">
        <v>0</v>
      </c>
      <c r="C67" s="72" t="s">
        <v>57</v>
      </c>
      <c r="D67" s="72" t="s">
        <v>0</v>
      </c>
      <c r="E67" s="71">
        <v>2412.8740000000007</v>
      </c>
      <c r="F67" s="72" t="s">
        <v>0</v>
      </c>
      <c r="G67" s="49">
        <v>5</v>
      </c>
      <c r="H67" s="72" t="s">
        <v>0</v>
      </c>
      <c r="I67" s="73">
        <v>320.10000000000002</v>
      </c>
      <c r="J67" s="72" t="s">
        <v>0</v>
      </c>
      <c r="K67" s="73">
        <v>68.2</v>
      </c>
      <c r="L67" s="72" t="s">
        <v>0</v>
      </c>
      <c r="M67" s="73">
        <v>297.39999999999998</v>
      </c>
      <c r="N67" s="72" t="s">
        <v>0</v>
      </c>
      <c r="O67" s="73">
        <v>36.700000000000003</v>
      </c>
      <c r="P67" s="72" t="s">
        <v>0</v>
      </c>
      <c r="Q67" s="73">
        <v>4.2</v>
      </c>
      <c r="R67" s="72" t="s">
        <v>0</v>
      </c>
      <c r="S67" s="72">
        <v>336</v>
      </c>
      <c r="T67" s="72" t="s">
        <v>0</v>
      </c>
      <c r="U67" s="72" t="s">
        <v>2</v>
      </c>
      <c r="V67" s="72" t="s">
        <v>0</v>
      </c>
      <c r="W67" s="72" t="s">
        <v>90</v>
      </c>
      <c r="X67" s="72" t="s">
        <v>0</v>
      </c>
      <c r="Y67" s="72" t="s">
        <v>318</v>
      </c>
      <c r="AA67" s="72" t="s">
        <v>116</v>
      </c>
      <c r="AB67" s="115">
        <v>47.064554699466498</v>
      </c>
      <c r="AC67" s="115">
        <v>-84.752716007316707</v>
      </c>
    </row>
    <row r="68" spans="1:29">
      <c r="A68" s="72" t="s">
        <v>138</v>
      </c>
      <c r="B68" s="72" t="s">
        <v>0</v>
      </c>
      <c r="C68" s="72" t="s">
        <v>58</v>
      </c>
      <c r="D68" s="72" t="s">
        <v>0</v>
      </c>
      <c r="E68" s="71">
        <v>2425.9740000000006</v>
      </c>
      <c r="F68" s="72" t="s">
        <v>0</v>
      </c>
      <c r="G68" s="49">
        <v>5</v>
      </c>
      <c r="H68" s="72" t="s">
        <v>0</v>
      </c>
      <c r="I68" s="73">
        <v>322.60000000000002</v>
      </c>
      <c r="J68" s="72" t="s">
        <v>0</v>
      </c>
      <c r="K68" s="73">
        <v>68.900000000000006</v>
      </c>
      <c r="L68" s="72" t="s">
        <v>0</v>
      </c>
      <c r="M68" s="73">
        <v>297.89999999999998</v>
      </c>
      <c r="N68" s="72" t="s">
        <v>0</v>
      </c>
      <c r="O68" s="73">
        <v>37.799999999999997</v>
      </c>
      <c r="P68" s="72" t="s">
        <v>0</v>
      </c>
      <c r="Q68" s="73">
        <v>4.9000000000000004</v>
      </c>
      <c r="R68" s="72" t="s">
        <v>0</v>
      </c>
      <c r="S68" s="72">
        <v>248</v>
      </c>
      <c r="T68" s="72" t="s">
        <v>0</v>
      </c>
      <c r="U68" s="72" t="s">
        <v>2</v>
      </c>
      <c r="V68" s="72" t="s">
        <v>0</v>
      </c>
      <c r="W68" s="72" t="s">
        <v>90</v>
      </c>
      <c r="X68" s="72" t="s">
        <v>0</v>
      </c>
      <c r="Y68" s="72" t="s">
        <v>318</v>
      </c>
      <c r="AA68" s="72" t="s">
        <v>116</v>
      </c>
      <c r="AB68" s="115">
        <v>47.064656263662698</v>
      </c>
      <c r="AC68" s="115">
        <v>-84.7533043918217</v>
      </c>
    </row>
    <row r="69" spans="1:29">
      <c r="A69" s="72" t="s">
        <v>138</v>
      </c>
      <c r="B69" s="72" t="s">
        <v>0</v>
      </c>
      <c r="C69" s="72" t="s">
        <v>59</v>
      </c>
      <c r="D69" s="72" t="s">
        <v>0</v>
      </c>
      <c r="E69" s="71">
        <v>2447.8740000000007</v>
      </c>
      <c r="F69" s="72" t="s">
        <v>0</v>
      </c>
      <c r="G69" s="49">
        <v>6</v>
      </c>
      <c r="H69" s="72" t="s">
        <v>0</v>
      </c>
      <c r="I69" s="73">
        <v>335.5</v>
      </c>
      <c r="J69" s="72" t="s">
        <v>0</v>
      </c>
      <c r="K69" s="73">
        <v>74</v>
      </c>
      <c r="L69" s="72" t="s">
        <v>0</v>
      </c>
      <c r="M69" s="73">
        <v>298.5</v>
      </c>
      <c r="N69" s="72" t="s">
        <v>0</v>
      </c>
      <c r="O69" s="73">
        <v>44.2</v>
      </c>
      <c r="P69" s="72" t="s">
        <v>0</v>
      </c>
      <c r="Q69" s="73">
        <v>3.1</v>
      </c>
      <c r="R69" s="72" t="s">
        <v>0</v>
      </c>
      <c r="S69" s="72">
        <v>478</v>
      </c>
      <c r="T69" s="72" t="s">
        <v>0</v>
      </c>
      <c r="U69" s="72" t="s">
        <v>2</v>
      </c>
      <c r="V69" s="72" t="s">
        <v>0</v>
      </c>
      <c r="W69" s="72" t="s">
        <v>90</v>
      </c>
      <c r="X69" s="72" t="s">
        <v>0</v>
      </c>
      <c r="Y69" s="72" t="s">
        <v>318</v>
      </c>
      <c r="AA69" s="72" t="s">
        <v>116</v>
      </c>
      <c r="AB69" s="115">
        <v>47.0644854858242</v>
      </c>
      <c r="AC69" s="115">
        <v>-84.753772522880993</v>
      </c>
    </row>
    <row r="70" spans="1:29">
      <c r="A70" s="72" t="s">
        <v>138</v>
      </c>
      <c r="B70" s="72" t="s">
        <v>0</v>
      </c>
      <c r="C70" s="72" t="s">
        <v>60</v>
      </c>
      <c r="D70" s="72" t="s">
        <v>0</v>
      </c>
      <c r="E70" s="71">
        <v>2450.5740000000005</v>
      </c>
      <c r="F70" s="72" t="s">
        <v>0</v>
      </c>
      <c r="G70" s="49">
        <v>6</v>
      </c>
      <c r="H70" s="72" t="s">
        <v>0</v>
      </c>
      <c r="I70" s="73">
        <v>317.89999999999998</v>
      </c>
      <c r="J70" s="72" t="s">
        <v>0</v>
      </c>
      <c r="K70" s="73">
        <v>72.7</v>
      </c>
      <c r="L70" s="72" t="s">
        <v>0</v>
      </c>
      <c r="M70" s="73">
        <v>293.8</v>
      </c>
      <c r="N70" s="72" t="s">
        <v>0</v>
      </c>
      <c r="O70" s="73">
        <v>40.4</v>
      </c>
      <c r="P70" s="72" t="s">
        <v>0</v>
      </c>
      <c r="Q70" s="73">
        <v>5.7</v>
      </c>
      <c r="R70" s="72" t="s">
        <v>0</v>
      </c>
      <c r="S70" s="72">
        <v>137</v>
      </c>
      <c r="T70" s="72" t="s">
        <v>0</v>
      </c>
      <c r="U70" s="72" t="s">
        <v>2</v>
      </c>
      <c r="V70" s="72" t="s">
        <v>0</v>
      </c>
      <c r="W70" s="72" t="s">
        <v>90</v>
      </c>
      <c r="X70" s="72" t="s">
        <v>0</v>
      </c>
      <c r="Y70" s="72" t="s">
        <v>318</v>
      </c>
      <c r="AA70" s="72" t="s">
        <v>116</v>
      </c>
      <c r="AB70" s="115">
        <v>47.064487296921399</v>
      </c>
      <c r="AC70" s="115">
        <v>-84.753864637238095</v>
      </c>
    </row>
    <row r="71" spans="1:29">
      <c r="A71" s="72" t="s">
        <v>138</v>
      </c>
      <c r="B71" s="72" t="s">
        <v>0</v>
      </c>
      <c r="C71" s="72" t="s">
        <v>61</v>
      </c>
      <c r="D71" s="72" t="s">
        <v>0</v>
      </c>
      <c r="E71" s="71">
        <v>2459.2740000000003</v>
      </c>
      <c r="F71" s="72" t="s">
        <v>0</v>
      </c>
      <c r="G71" s="49">
        <v>7</v>
      </c>
      <c r="H71" s="72" t="s">
        <v>0</v>
      </c>
      <c r="I71" s="73">
        <v>334.2</v>
      </c>
      <c r="J71" s="72" t="s">
        <v>0</v>
      </c>
      <c r="K71" s="73">
        <v>75.599999999999994</v>
      </c>
      <c r="L71" s="72" t="s">
        <v>0</v>
      </c>
      <c r="M71" s="73">
        <v>296.60000000000002</v>
      </c>
      <c r="N71" s="72" t="s">
        <v>0</v>
      </c>
      <c r="O71" s="73">
        <v>45.2</v>
      </c>
      <c r="P71" s="72" t="s">
        <v>0</v>
      </c>
      <c r="Q71" s="73">
        <v>4.9000000000000004</v>
      </c>
      <c r="R71" s="72" t="s">
        <v>0</v>
      </c>
      <c r="S71" s="72">
        <v>155</v>
      </c>
      <c r="T71" s="72" t="s">
        <v>0</v>
      </c>
      <c r="U71" s="72" t="s">
        <v>2</v>
      </c>
      <c r="V71" s="72" t="s">
        <v>0</v>
      </c>
      <c r="W71" s="72" t="s">
        <v>90</v>
      </c>
      <c r="X71" s="72" t="s">
        <v>0</v>
      </c>
      <c r="Y71" s="72" t="s">
        <v>318</v>
      </c>
      <c r="AA71" s="72" t="s">
        <v>116</v>
      </c>
      <c r="AB71" s="115">
        <v>47.064258168776199</v>
      </c>
      <c r="AC71" s="115">
        <v>-84.754111326443393</v>
      </c>
    </row>
    <row r="72" spans="1:29">
      <c r="A72" s="72" t="s">
        <v>138</v>
      </c>
      <c r="B72" s="72" t="s">
        <v>0</v>
      </c>
      <c r="C72" s="72" t="s">
        <v>62</v>
      </c>
      <c r="D72" s="72" t="s">
        <v>0</v>
      </c>
      <c r="E72" s="71">
        <v>2468.1740000000004</v>
      </c>
      <c r="F72" s="72" t="s">
        <v>0</v>
      </c>
      <c r="G72" s="49">
        <v>6</v>
      </c>
      <c r="H72" s="72" t="s">
        <v>0</v>
      </c>
      <c r="I72" s="73">
        <v>310.8</v>
      </c>
      <c r="J72" s="72" t="s">
        <v>0</v>
      </c>
      <c r="K72" s="73">
        <v>75.3</v>
      </c>
      <c r="L72" s="72" t="s">
        <v>0</v>
      </c>
      <c r="M72" s="73">
        <v>290.89999999999998</v>
      </c>
      <c r="N72" s="72" t="s">
        <v>0</v>
      </c>
      <c r="O72" s="73">
        <v>41.9</v>
      </c>
      <c r="P72" s="72" t="s">
        <v>0</v>
      </c>
      <c r="Q72" s="73">
        <v>9.1999999999999993</v>
      </c>
      <c r="R72" s="72" t="s">
        <v>0</v>
      </c>
      <c r="S72" s="72">
        <v>54</v>
      </c>
      <c r="T72" s="72" t="s">
        <v>0</v>
      </c>
      <c r="U72" s="72" t="s">
        <v>2</v>
      </c>
      <c r="V72" s="72" t="s">
        <v>0</v>
      </c>
      <c r="W72" s="72" t="s">
        <v>90</v>
      </c>
      <c r="X72" s="72" t="s">
        <v>0</v>
      </c>
      <c r="Y72" s="72" t="s">
        <v>318</v>
      </c>
      <c r="AA72" s="72" t="s">
        <v>116</v>
      </c>
      <c r="AB72" s="115">
        <v>47.064094310075802</v>
      </c>
      <c r="AC72" s="115">
        <v>-84.754473800927201</v>
      </c>
    </row>
    <row r="73" spans="1:29">
      <c r="A73" s="72" t="s">
        <v>138</v>
      </c>
      <c r="B73" s="72" t="s">
        <v>0</v>
      </c>
      <c r="C73" s="72" t="s">
        <v>63</v>
      </c>
      <c r="D73" s="72" t="s">
        <v>0</v>
      </c>
      <c r="E73" s="71">
        <v>2477.0740000000005</v>
      </c>
      <c r="F73" s="72" t="s">
        <v>0</v>
      </c>
      <c r="G73" s="49">
        <v>5</v>
      </c>
      <c r="H73" s="72" t="s">
        <v>0</v>
      </c>
      <c r="I73" s="73">
        <v>306.2</v>
      </c>
      <c r="J73" s="72" t="s">
        <v>0</v>
      </c>
      <c r="K73" s="73">
        <v>74.099999999999994</v>
      </c>
      <c r="L73" s="72" t="s">
        <v>0</v>
      </c>
      <c r="M73" s="73">
        <v>289.10000000000002</v>
      </c>
      <c r="N73" s="72" t="s">
        <v>0</v>
      </c>
      <c r="O73" s="73">
        <v>40.299999999999997</v>
      </c>
      <c r="P73" s="72" t="s">
        <v>0</v>
      </c>
      <c r="Q73" s="73">
        <v>3.1</v>
      </c>
      <c r="R73" s="72" t="s">
        <v>0</v>
      </c>
      <c r="S73" s="72">
        <v>612</v>
      </c>
      <c r="T73" s="72" t="s">
        <v>0</v>
      </c>
      <c r="U73" s="72" t="s">
        <v>2</v>
      </c>
      <c r="V73" s="72" t="s">
        <v>0</v>
      </c>
      <c r="W73" s="72" t="s">
        <v>90</v>
      </c>
      <c r="X73" s="72" t="s">
        <v>0</v>
      </c>
      <c r="Y73" s="72" t="s">
        <v>318</v>
      </c>
      <c r="AA73" s="72" t="s">
        <v>116</v>
      </c>
      <c r="AB73" s="115">
        <v>47.064029617843502</v>
      </c>
      <c r="AC73" s="115">
        <v>-84.754845277535395</v>
      </c>
    </row>
    <row r="74" spans="1:29">
      <c r="A74" s="72" t="s">
        <v>137</v>
      </c>
      <c r="B74" s="72" t="s">
        <v>0</v>
      </c>
      <c r="C74" s="72" t="s">
        <v>64</v>
      </c>
      <c r="D74" s="72" t="s">
        <v>0</v>
      </c>
      <c r="E74" s="71">
        <v>2481.7740000000003</v>
      </c>
      <c r="F74" s="72" t="s">
        <v>0</v>
      </c>
      <c r="G74" s="49">
        <v>5</v>
      </c>
      <c r="H74" s="72" t="s">
        <v>0</v>
      </c>
      <c r="I74" s="73">
        <v>325.89999999999998</v>
      </c>
      <c r="J74" s="72" t="s">
        <v>0</v>
      </c>
      <c r="K74" s="73">
        <v>70.599999999999994</v>
      </c>
      <c r="L74" s="72" t="s">
        <v>0</v>
      </c>
      <c r="M74" s="73">
        <v>293.7</v>
      </c>
      <c r="N74" s="72" t="s">
        <v>0</v>
      </c>
      <c r="O74" s="73">
        <v>45.3</v>
      </c>
      <c r="P74" s="72" t="s">
        <v>0</v>
      </c>
      <c r="Q74" s="73">
        <v>6.8</v>
      </c>
      <c r="R74" s="72" t="s">
        <v>0</v>
      </c>
      <c r="S74" s="72">
        <v>99</v>
      </c>
      <c r="T74" s="72" t="s">
        <v>0</v>
      </c>
      <c r="U74" s="72" t="s">
        <v>2</v>
      </c>
      <c r="V74" s="72" t="s">
        <v>0</v>
      </c>
      <c r="W74" s="72" t="s">
        <v>90</v>
      </c>
      <c r="X74" s="72" t="s">
        <v>0</v>
      </c>
      <c r="Y74" s="72" t="s">
        <v>318</v>
      </c>
      <c r="AA74" s="72" t="s">
        <v>116</v>
      </c>
      <c r="AB74" s="115">
        <v>47.060793427043599</v>
      </c>
      <c r="AC74" s="115">
        <v>-84.757773065227795</v>
      </c>
    </row>
    <row r="75" spans="1:29">
      <c r="A75" s="72" t="s">
        <v>137</v>
      </c>
      <c r="B75" s="72" t="s">
        <v>0</v>
      </c>
      <c r="C75" s="72" t="s">
        <v>65</v>
      </c>
      <c r="D75" s="72" t="s">
        <v>0</v>
      </c>
      <c r="E75" s="71">
        <v>2487.8740000000007</v>
      </c>
      <c r="F75" s="72" t="s">
        <v>0</v>
      </c>
      <c r="G75" s="49">
        <v>6</v>
      </c>
      <c r="H75" s="72" t="s">
        <v>0</v>
      </c>
      <c r="I75" s="73">
        <v>348</v>
      </c>
      <c r="J75" s="72" t="s">
        <v>0</v>
      </c>
      <c r="K75" s="73">
        <v>72.5</v>
      </c>
      <c r="L75" s="72" t="s">
        <v>0</v>
      </c>
      <c r="M75" s="73">
        <v>299</v>
      </c>
      <c r="N75" s="72" t="s">
        <v>0</v>
      </c>
      <c r="O75" s="73">
        <v>51.5</v>
      </c>
      <c r="P75" s="72" t="s">
        <v>0</v>
      </c>
      <c r="Q75" s="73">
        <v>5.5</v>
      </c>
      <c r="R75" s="72" t="s">
        <v>0</v>
      </c>
      <c r="S75" s="72">
        <v>148</v>
      </c>
      <c r="T75" s="72" t="s">
        <v>0</v>
      </c>
      <c r="U75" s="72" t="s">
        <v>2</v>
      </c>
      <c r="V75" s="72" t="s">
        <v>0</v>
      </c>
      <c r="W75" s="72" t="s">
        <v>90</v>
      </c>
      <c r="X75" s="72" t="s">
        <v>0</v>
      </c>
      <c r="Y75" s="72" t="s">
        <v>318</v>
      </c>
      <c r="AA75" s="72" t="s">
        <v>116</v>
      </c>
      <c r="AB75" s="115">
        <v>47.060552973856403</v>
      </c>
      <c r="AC75" s="115">
        <v>-84.757901673106602</v>
      </c>
    </row>
    <row r="76" spans="1:29">
      <c r="A76" s="72" t="s">
        <v>137</v>
      </c>
      <c r="B76" s="72" t="s">
        <v>0</v>
      </c>
      <c r="C76" s="72" t="s">
        <v>66</v>
      </c>
      <c r="D76" s="72" t="s">
        <v>0</v>
      </c>
      <c r="E76" s="71">
        <v>2500.8740000000007</v>
      </c>
      <c r="F76" s="72" t="s">
        <v>0</v>
      </c>
      <c r="G76" s="49">
        <v>7</v>
      </c>
      <c r="H76" s="72" t="s">
        <v>0</v>
      </c>
      <c r="I76" s="73">
        <v>315.5</v>
      </c>
      <c r="J76" s="72" t="s">
        <v>0</v>
      </c>
      <c r="K76" s="73">
        <v>70.2</v>
      </c>
      <c r="L76" s="72" t="s">
        <v>0</v>
      </c>
      <c r="M76" s="73">
        <v>289.89999999999998</v>
      </c>
      <c r="N76" s="72" t="s">
        <v>0</v>
      </c>
      <c r="O76" s="73">
        <v>43</v>
      </c>
      <c r="P76" s="72" t="s">
        <v>0</v>
      </c>
      <c r="Q76" s="73">
        <v>6.1</v>
      </c>
      <c r="R76" s="72" t="s">
        <v>0</v>
      </c>
      <c r="S76" s="72">
        <v>120</v>
      </c>
      <c r="T76" s="72" t="s">
        <v>0</v>
      </c>
      <c r="U76" s="72" t="s">
        <v>2</v>
      </c>
      <c r="V76" s="72" t="s">
        <v>0</v>
      </c>
      <c r="W76" s="72" t="s">
        <v>90</v>
      </c>
      <c r="X76" s="72" t="s">
        <v>0</v>
      </c>
      <c r="Y76" s="72" t="s">
        <v>318</v>
      </c>
      <c r="AA76" s="72" t="s">
        <v>116</v>
      </c>
      <c r="AB76" s="115">
        <v>47.060317684671702</v>
      </c>
      <c r="AC76" s="115">
        <v>-84.758293443926306</v>
      </c>
    </row>
    <row r="77" spans="1:29">
      <c r="A77" s="72" t="s">
        <v>137</v>
      </c>
      <c r="B77" s="72" t="s">
        <v>0</v>
      </c>
      <c r="C77" s="72" t="s">
        <v>67</v>
      </c>
      <c r="D77" s="72" t="s">
        <v>0</v>
      </c>
      <c r="E77" s="71">
        <v>2514.1740000000004</v>
      </c>
      <c r="F77" s="72" t="s">
        <v>0</v>
      </c>
      <c r="G77" s="49">
        <v>7</v>
      </c>
      <c r="H77" s="72" t="s">
        <v>0</v>
      </c>
      <c r="I77" s="73">
        <v>321.10000000000002</v>
      </c>
      <c r="J77" s="72" t="s">
        <v>0</v>
      </c>
      <c r="K77" s="73">
        <v>61.5</v>
      </c>
      <c r="L77" s="72" t="s">
        <v>0</v>
      </c>
      <c r="M77" s="73">
        <v>298.10000000000002</v>
      </c>
      <c r="N77" s="72" t="s">
        <v>0</v>
      </c>
      <c r="O77" s="73">
        <v>36.6</v>
      </c>
      <c r="P77" s="72" t="s">
        <v>0</v>
      </c>
      <c r="Q77" s="73">
        <v>6.2</v>
      </c>
      <c r="R77" s="72" t="s">
        <v>0</v>
      </c>
      <c r="S77" s="72">
        <v>97</v>
      </c>
      <c r="T77" s="72" t="s">
        <v>0</v>
      </c>
      <c r="U77" s="72" t="s">
        <v>2</v>
      </c>
      <c r="V77" s="72" t="s">
        <v>0</v>
      </c>
      <c r="W77" s="72" t="s">
        <v>90</v>
      </c>
      <c r="X77" s="72" t="s">
        <v>0</v>
      </c>
      <c r="Y77" s="72" t="s">
        <v>318</v>
      </c>
      <c r="AA77" s="72" t="s">
        <v>116</v>
      </c>
      <c r="AB77" s="115">
        <v>47.060102184590598</v>
      </c>
      <c r="AC77" s="115">
        <v>-84.758776564406503</v>
      </c>
    </row>
    <row r="78" spans="1:29">
      <c r="A78" s="72" t="s">
        <v>137</v>
      </c>
      <c r="B78" s="72" t="s">
        <v>0</v>
      </c>
      <c r="C78" s="72" t="s">
        <v>68</v>
      </c>
      <c r="D78" s="72" t="s">
        <v>0</v>
      </c>
      <c r="E78" s="71">
        <v>2522.5740000000005</v>
      </c>
      <c r="F78" s="72" t="s">
        <v>0</v>
      </c>
      <c r="G78" s="72">
        <v>6</v>
      </c>
      <c r="H78" s="72" t="s">
        <v>0</v>
      </c>
      <c r="I78" s="73">
        <v>333.9</v>
      </c>
      <c r="J78" s="72" t="s">
        <v>0</v>
      </c>
      <c r="K78" s="73">
        <v>63</v>
      </c>
      <c r="L78" s="72" t="s">
        <v>0</v>
      </c>
      <c r="M78" s="73">
        <v>303.5</v>
      </c>
      <c r="N78" s="72" t="s">
        <v>0</v>
      </c>
      <c r="O78" s="73">
        <v>41.1</v>
      </c>
      <c r="P78" s="72" t="s">
        <v>0</v>
      </c>
      <c r="Q78" s="73">
        <v>5</v>
      </c>
      <c r="R78" s="72" t="s">
        <v>0</v>
      </c>
      <c r="S78" s="72">
        <v>179</v>
      </c>
      <c r="T78" s="72" t="s">
        <v>0</v>
      </c>
      <c r="U78" s="72" t="s">
        <v>2</v>
      </c>
      <c r="V78" s="72" t="s">
        <v>0</v>
      </c>
      <c r="W78" s="72" t="s">
        <v>90</v>
      </c>
      <c r="X78" s="72" t="s">
        <v>0</v>
      </c>
      <c r="Y78" s="72" t="s">
        <v>318</v>
      </c>
      <c r="AA78" s="72" t="s">
        <v>116</v>
      </c>
      <c r="AB78" s="115">
        <v>47.059827569888498</v>
      </c>
      <c r="AC78" s="115">
        <v>-84.758998780557505</v>
      </c>
    </row>
    <row r="79" spans="1:29">
      <c r="A79" s="72" t="s">
        <v>137</v>
      </c>
      <c r="B79" s="72" t="s">
        <v>0</v>
      </c>
      <c r="C79" s="72" t="s">
        <v>69</v>
      </c>
      <c r="D79" s="72" t="s">
        <v>0</v>
      </c>
      <c r="E79" s="71">
        <v>2531.6740000000004</v>
      </c>
      <c r="F79" s="72" t="s">
        <v>0</v>
      </c>
      <c r="G79" s="72">
        <v>5</v>
      </c>
      <c r="H79" s="72" t="s">
        <v>0</v>
      </c>
      <c r="I79" s="73">
        <v>303.60000000000002</v>
      </c>
      <c r="J79" s="72" t="s">
        <v>0</v>
      </c>
      <c r="K79" s="73">
        <v>63.3</v>
      </c>
      <c r="L79" s="72" t="s">
        <v>0</v>
      </c>
      <c r="M79" s="73">
        <v>288.10000000000002</v>
      </c>
      <c r="N79" s="72" t="s">
        <v>0</v>
      </c>
      <c r="O79" s="73">
        <v>34.799999999999997</v>
      </c>
      <c r="P79" s="72" t="s">
        <v>0</v>
      </c>
      <c r="Q79" s="73">
        <v>3.4</v>
      </c>
      <c r="R79" s="72" t="s">
        <v>0</v>
      </c>
      <c r="S79" s="72">
        <v>378</v>
      </c>
      <c r="T79" s="72" t="s">
        <v>0</v>
      </c>
      <c r="U79" s="72" t="s">
        <v>2</v>
      </c>
      <c r="V79" s="72" t="s">
        <v>0</v>
      </c>
      <c r="W79" s="72" t="s">
        <v>90</v>
      </c>
      <c r="X79" s="72" t="s">
        <v>0</v>
      </c>
      <c r="Y79" s="72" t="s">
        <v>318</v>
      </c>
      <c r="AA79" s="72" t="s">
        <v>116</v>
      </c>
      <c r="AB79" s="115">
        <v>47.059457658273097</v>
      </c>
      <c r="AC79" s="115">
        <v>-84.759409352468097</v>
      </c>
    </row>
    <row r="80" spans="1:29">
      <c r="A80" s="72" t="s">
        <v>136</v>
      </c>
      <c r="B80" s="72" t="s">
        <v>0</v>
      </c>
      <c r="C80" s="72" t="s">
        <v>70</v>
      </c>
      <c r="D80" s="72" t="s">
        <v>0</v>
      </c>
      <c r="E80" s="71">
        <v>2610.2740000000008</v>
      </c>
      <c r="F80" s="72" t="s">
        <v>0</v>
      </c>
      <c r="G80" s="72">
        <v>3</v>
      </c>
      <c r="H80" s="72" t="s">
        <v>0</v>
      </c>
      <c r="I80" s="73">
        <v>313.89999999999998</v>
      </c>
      <c r="J80" s="72" t="s">
        <v>0</v>
      </c>
      <c r="K80" s="73">
        <v>53.5</v>
      </c>
      <c r="L80" s="72" t="s">
        <v>0</v>
      </c>
      <c r="M80" s="73">
        <v>296.60000000000002</v>
      </c>
      <c r="N80" s="72" t="s">
        <v>0</v>
      </c>
      <c r="O80" s="73">
        <v>27.4</v>
      </c>
      <c r="P80" s="72" t="s">
        <v>0</v>
      </c>
      <c r="Q80" s="73">
        <v>5.8</v>
      </c>
      <c r="R80" s="72" t="s">
        <v>0</v>
      </c>
      <c r="S80" s="72">
        <v>451</v>
      </c>
      <c r="T80" s="72" t="s">
        <v>0</v>
      </c>
      <c r="U80" s="72" t="s">
        <v>2</v>
      </c>
      <c r="V80" s="72" t="s">
        <v>0</v>
      </c>
      <c r="W80" s="72" t="s">
        <v>90</v>
      </c>
      <c r="X80" s="72" t="s">
        <v>0</v>
      </c>
      <c r="Y80" s="72" t="s">
        <v>318</v>
      </c>
      <c r="AA80" s="72" t="s">
        <v>116</v>
      </c>
      <c r="AB80" s="115">
        <v>47.058609000032597</v>
      </c>
      <c r="AC80" s="115">
        <v>-84.761565068679701</v>
      </c>
    </row>
    <row r="81" spans="1:29">
      <c r="A81" s="72" t="s">
        <v>136</v>
      </c>
      <c r="B81" s="72" t="s">
        <v>0</v>
      </c>
      <c r="C81" s="72" t="s">
        <v>71</v>
      </c>
      <c r="D81" s="72" t="s">
        <v>0</v>
      </c>
      <c r="E81" s="71">
        <v>2614.5740000000005</v>
      </c>
      <c r="F81" s="72" t="s">
        <v>0</v>
      </c>
      <c r="G81" s="72">
        <v>4</v>
      </c>
      <c r="H81" s="72" t="s">
        <v>0</v>
      </c>
      <c r="I81" s="73">
        <v>308.60000000000002</v>
      </c>
      <c r="J81" s="72" t="s">
        <v>0</v>
      </c>
      <c r="K81" s="73">
        <v>64.3</v>
      </c>
      <c r="L81" s="72" t="s">
        <v>0</v>
      </c>
      <c r="M81" s="73">
        <v>290.7</v>
      </c>
      <c r="N81" s="72" t="s">
        <v>0</v>
      </c>
      <c r="O81" s="73">
        <v>36.4</v>
      </c>
      <c r="P81" s="72" t="s">
        <v>0</v>
      </c>
      <c r="Q81" s="73">
        <v>4.9000000000000004</v>
      </c>
      <c r="R81" s="72" t="s">
        <v>0</v>
      </c>
      <c r="S81" s="72">
        <v>351</v>
      </c>
      <c r="T81" s="72" t="s">
        <v>0</v>
      </c>
      <c r="U81" s="72" t="s">
        <v>2</v>
      </c>
      <c r="V81" s="72" t="s">
        <v>0</v>
      </c>
      <c r="W81" s="72" t="s">
        <v>90</v>
      </c>
      <c r="X81" s="72" t="s">
        <v>0</v>
      </c>
      <c r="Y81" s="72" t="s">
        <v>318</v>
      </c>
      <c r="AA81" s="72" t="s">
        <v>116</v>
      </c>
      <c r="AB81" s="115">
        <v>47.058396806390803</v>
      </c>
      <c r="AC81" s="115">
        <v>-84.761758313434598</v>
      </c>
    </row>
    <row r="82" spans="1:29">
      <c r="A82" s="72" t="s">
        <v>136</v>
      </c>
      <c r="B82" s="72" t="s">
        <v>0</v>
      </c>
      <c r="C82" s="72" t="s">
        <v>72</v>
      </c>
      <c r="D82" s="72" t="s">
        <v>0</v>
      </c>
      <c r="E82" s="71">
        <v>2623.3740000000007</v>
      </c>
      <c r="F82" s="72" t="s">
        <v>0</v>
      </c>
      <c r="G82" s="72">
        <v>4</v>
      </c>
      <c r="H82" s="72" t="s">
        <v>0</v>
      </c>
      <c r="I82" s="73">
        <v>317.10000000000002</v>
      </c>
      <c r="J82" s="72" t="s">
        <v>0</v>
      </c>
      <c r="K82" s="73">
        <v>58.8</v>
      </c>
      <c r="L82" s="72" t="s">
        <v>0</v>
      </c>
      <c r="M82" s="73">
        <v>297.89999999999998</v>
      </c>
      <c r="N82" s="72" t="s">
        <v>0</v>
      </c>
      <c r="O82" s="73">
        <v>33.1</v>
      </c>
      <c r="P82" s="72" t="s">
        <v>0</v>
      </c>
      <c r="Q82" s="73">
        <v>5.2</v>
      </c>
      <c r="R82" s="72" t="s">
        <v>0</v>
      </c>
      <c r="S82" s="72">
        <v>311</v>
      </c>
      <c r="T82" s="72" t="s">
        <v>0</v>
      </c>
      <c r="U82" s="72" t="s">
        <v>2</v>
      </c>
      <c r="V82" s="72" t="s">
        <v>0</v>
      </c>
      <c r="W82" s="72" t="s">
        <v>90</v>
      </c>
      <c r="X82" s="72" t="s">
        <v>0</v>
      </c>
      <c r="Y82" s="72" t="s">
        <v>318</v>
      </c>
      <c r="AA82" s="72" t="s">
        <v>116</v>
      </c>
      <c r="AB82" s="115">
        <v>47.058400672998403</v>
      </c>
      <c r="AC82" s="115">
        <v>-84.761955679960195</v>
      </c>
    </row>
    <row r="83" spans="1:29">
      <c r="A83" s="72" t="s">
        <v>136</v>
      </c>
      <c r="B83" s="72" t="s">
        <v>0</v>
      </c>
      <c r="C83" s="72" t="s">
        <v>73</v>
      </c>
      <c r="D83" s="72" t="s">
        <v>0</v>
      </c>
      <c r="E83" s="71">
        <v>2645.2740000000008</v>
      </c>
      <c r="F83" s="72" t="s">
        <v>0</v>
      </c>
      <c r="G83" s="72">
        <v>5</v>
      </c>
      <c r="H83" s="72" t="s">
        <v>0</v>
      </c>
      <c r="I83" s="73">
        <v>305.89999999999998</v>
      </c>
      <c r="J83" s="72" t="s">
        <v>0</v>
      </c>
      <c r="K83" s="73">
        <v>55.8</v>
      </c>
      <c r="L83" s="72" t="s">
        <v>0</v>
      </c>
      <c r="M83" s="73">
        <v>292.8</v>
      </c>
      <c r="N83" s="72" t="s">
        <v>0</v>
      </c>
      <c r="O83" s="73">
        <v>27.9</v>
      </c>
      <c r="P83" s="72" t="s">
        <v>0</v>
      </c>
      <c r="Q83" s="73">
        <v>4.2</v>
      </c>
      <c r="R83" s="72" t="s">
        <v>0</v>
      </c>
      <c r="S83" s="72">
        <v>339</v>
      </c>
      <c r="T83" s="72" t="s">
        <v>0</v>
      </c>
      <c r="U83" s="72" t="s">
        <v>2</v>
      </c>
      <c r="V83" s="72" t="s">
        <v>0</v>
      </c>
      <c r="W83" s="72" t="s">
        <v>90</v>
      </c>
      <c r="X83" s="72" t="s">
        <v>0</v>
      </c>
      <c r="Y83" s="72" t="s">
        <v>318</v>
      </c>
      <c r="AA83" s="72" t="s">
        <v>116</v>
      </c>
      <c r="AB83" s="115">
        <v>47.058115541729201</v>
      </c>
      <c r="AC83" s="115">
        <v>-84.7625601987653</v>
      </c>
    </row>
    <row r="84" spans="1:29">
      <c r="A84" s="72" t="s">
        <v>134</v>
      </c>
      <c r="B84" s="72" t="s">
        <v>0</v>
      </c>
      <c r="C84" s="72" t="s">
        <v>110</v>
      </c>
      <c r="D84" s="72" t="s">
        <v>0</v>
      </c>
      <c r="E84" s="71">
        <v>3043</v>
      </c>
      <c r="F84" s="72" t="s">
        <v>0</v>
      </c>
      <c r="G84" s="72">
        <v>5</v>
      </c>
      <c r="H84" s="72" t="s">
        <v>0</v>
      </c>
      <c r="I84" s="73">
        <v>350.6</v>
      </c>
      <c r="J84" s="72" t="s">
        <v>0</v>
      </c>
      <c r="K84" s="73">
        <v>59</v>
      </c>
      <c r="L84" s="72" t="s">
        <v>0</v>
      </c>
      <c r="M84" s="73">
        <v>305.2</v>
      </c>
      <c r="N84" s="72" t="s">
        <v>0</v>
      </c>
      <c r="O84" s="73">
        <v>43.4</v>
      </c>
      <c r="P84" s="72" t="s">
        <v>0</v>
      </c>
      <c r="Q84" s="73">
        <v>2.9</v>
      </c>
      <c r="R84" s="72" t="s">
        <v>0</v>
      </c>
      <c r="S84" s="72">
        <v>566</v>
      </c>
      <c r="T84" s="72" t="s">
        <v>0</v>
      </c>
      <c r="U84" s="72" t="s">
        <v>2</v>
      </c>
      <c r="V84" s="72" t="s">
        <v>0</v>
      </c>
      <c r="W84" s="72" t="s">
        <v>100</v>
      </c>
      <c r="X84" s="72" t="s">
        <v>0</v>
      </c>
      <c r="Y84" s="72" t="s">
        <v>92</v>
      </c>
      <c r="AA84" s="72" t="s">
        <v>116</v>
      </c>
      <c r="AB84" s="115">
        <v>47.052439999999997</v>
      </c>
      <c r="AC84" s="115">
        <v>-84.769892999999996</v>
      </c>
    </row>
    <row r="85" spans="1:29">
      <c r="A85" s="72" t="s">
        <v>134</v>
      </c>
      <c r="B85" s="72" t="s">
        <v>0</v>
      </c>
      <c r="C85" s="72" t="s">
        <v>111</v>
      </c>
      <c r="D85" s="72" t="s">
        <v>0</v>
      </c>
      <c r="E85" s="71">
        <f>E84+72.3</f>
        <v>3115.3</v>
      </c>
      <c r="F85" s="72" t="s">
        <v>0</v>
      </c>
      <c r="G85" s="72">
        <v>6</v>
      </c>
      <c r="H85" s="72" t="s">
        <v>0</v>
      </c>
      <c r="I85" s="73">
        <v>334.7</v>
      </c>
      <c r="J85" s="72" t="s">
        <v>0</v>
      </c>
      <c r="K85" s="73">
        <v>61</v>
      </c>
      <c r="L85" s="72" t="s">
        <v>0</v>
      </c>
      <c r="M85" s="73">
        <v>296.7</v>
      </c>
      <c r="N85" s="72" t="s">
        <v>0</v>
      </c>
      <c r="O85" s="73">
        <v>38.4</v>
      </c>
      <c r="P85" s="72" t="s">
        <v>0</v>
      </c>
      <c r="Q85" s="73">
        <v>7.4</v>
      </c>
      <c r="R85" s="72" t="s">
        <v>0</v>
      </c>
      <c r="S85" s="72">
        <v>69</v>
      </c>
      <c r="T85" s="72" t="s">
        <v>0</v>
      </c>
      <c r="U85" s="72" t="s">
        <v>2</v>
      </c>
      <c r="V85" s="72" t="s">
        <v>0</v>
      </c>
      <c r="W85" s="72" t="s">
        <v>100</v>
      </c>
      <c r="X85" s="72" t="s">
        <v>0</v>
      </c>
      <c r="Y85" s="72" t="s">
        <v>92</v>
      </c>
      <c r="AA85" s="72" t="s">
        <v>116</v>
      </c>
      <c r="AB85" s="115">
        <v>47.052016999999999</v>
      </c>
      <c r="AC85" s="115">
        <v>-84.771167000000005</v>
      </c>
    </row>
    <row r="86" spans="1:29">
      <c r="A86" s="72" t="s">
        <v>134</v>
      </c>
      <c r="B86" s="72" t="s">
        <v>0</v>
      </c>
      <c r="C86" s="72" t="s">
        <v>112</v>
      </c>
      <c r="D86" s="72" t="s">
        <v>0</v>
      </c>
      <c r="E86" s="71">
        <f>E84+113.5</f>
        <v>3156.5</v>
      </c>
      <c r="F86" s="72" t="s">
        <v>0</v>
      </c>
      <c r="G86" s="72">
        <v>8</v>
      </c>
      <c r="H86" s="72" t="s">
        <v>0</v>
      </c>
      <c r="I86" s="73">
        <v>341.4</v>
      </c>
      <c r="J86" s="72" t="s">
        <v>0</v>
      </c>
      <c r="K86" s="73">
        <v>65.7</v>
      </c>
      <c r="L86" s="72" t="s">
        <v>0</v>
      </c>
      <c r="M86" s="73">
        <v>294.2</v>
      </c>
      <c r="N86" s="72" t="s">
        <v>0</v>
      </c>
      <c r="O86" s="73">
        <v>43.7</v>
      </c>
      <c r="P86" s="72" t="s">
        <v>0</v>
      </c>
      <c r="Q86" s="73">
        <v>5.6</v>
      </c>
      <c r="R86" s="72" t="s">
        <v>0</v>
      </c>
      <c r="S86" s="72">
        <v>87</v>
      </c>
      <c r="T86" s="72" t="s">
        <v>0</v>
      </c>
      <c r="U86" s="72" t="s">
        <v>2</v>
      </c>
      <c r="V86" s="72" t="s">
        <v>0</v>
      </c>
      <c r="W86" s="72" t="s">
        <v>100</v>
      </c>
      <c r="X86" s="72" t="s">
        <v>0</v>
      </c>
      <c r="Y86" s="72" t="s">
        <v>92</v>
      </c>
      <c r="AA86" s="72" t="s">
        <v>116</v>
      </c>
      <c r="AB86" s="115">
        <v>47.051191000000003</v>
      </c>
      <c r="AC86" s="115">
        <v>-84.771818999999994</v>
      </c>
    </row>
    <row r="87" spans="1:29">
      <c r="A87" s="72" t="s">
        <v>134</v>
      </c>
      <c r="B87" s="72" t="s">
        <v>0</v>
      </c>
      <c r="C87" s="72" t="s">
        <v>113</v>
      </c>
      <c r="D87" s="72" t="s">
        <v>0</v>
      </c>
      <c r="E87" s="71">
        <f>E84+125.9</f>
        <v>3168.9</v>
      </c>
      <c r="F87" s="72" t="s">
        <v>0</v>
      </c>
      <c r="G87" s="72">
        <v>6</v>
      </c>
      <c r="H87" s="72" t="s">
        <v>0</v>
      </c>
      <c r="I87" s="73">
        <v>333.9</v>
      </c>
      <c r="J87" s="72" t="s">
        <v>0</v>
      </c>
      <c r="K87" s="73">
        <v>56.2</v>
      </c>
      <c r="L87" s="72" t="s">
        <v>0</v>
      </c>
      <c r="M87" s="73">
        <v>300.60000000000002</v>
      </c>
      <c r="N87" s="72" t="s">
        <v>0</v>
      </c>
      <c r="O87" s="73">
        <v>34.799999999999997</v>
      </c>
      <c r="P87" s="72" t="s">
        <v>0</v>
      </c>
      <c r="Q87" s="73">
        <v>8.8000000000000007</v>
      </c>
      <c r="R87" s="72" t="s">
        <v>0</v>
      </c>
      <c r="S87" s="72">
        <v>49</v>
      </c>
      <c r="T87" s="72" t="s">
        <v>0</v>
      </c>
      <c r="U87" s="72" t="s">
        <v>2</v>
      </c>
      <c r="V87" s="72" t="s">
        <v>0</v>
      </c>
      <c r="W87" s="72" t="s">
        <v>100</v>
      </c>
      <c r="X87" s="72" t="s">
        <v>0</v>
      </c>
      <c r="Y87" s="72" t="s">
        <v>92</v>
      </c>
      <c r="AA87" s="72" t="s">
        <v>116</v>
      </c>
      <c r="AB87" s="115">
        <v>47.051502999999997</v>
      </c>
      <c r="AC87" s="115">
        <v>-84.772234999999995</v>
      </c>
    </row>
    <row r="88" spans="1:29">
      <c r="A88" s="72" t="s">
        <v>134</v>
      </c>
      <c r="B88" s="72" t="s">
        <v>0</v>
      </c>
      <c r="C88" s="72" t="s">
        <v>114</v>
      </c>
      <c r="D88" s="72" t="s">
        <v>0</v>
      </c>
      <c r="E88" s="71">
        <f>E84+131.4</f>
        <v>3174.4</v>
      </c>
      <c r="F88" s="72" t="s">
        <v>0</v>
      </c>
      <c r="G88" s="72">
        <v>5</v>
      </c>
      <c r="H88" s="72" t="s">
        <v>0</v>
      </c>
      <c r="I88" s="73">
        <v>351.3</v>
      </c>
      <c r="J88" s="72" t="s">
        <v>0</v>
      </c>
      <c r="K88" s="73">
        <v>61.7</v>
      </c>
      <c r="L88" s="72" t="s">
        <v>0</v>
      </c>
      <c r="M88" s="73">
        <v>302.2</v>
      </c>
      <c r="N88" s="72" t="s">
        <v>0</v>
      </c>
      <c r="O88" s="73">
        <v>45.2</v>
      </c>
      <c r="P88" s="72" t="s">
        <v>0</v>
      </c>
      <c r="Q88" s="73">
        <v>3</v>
      </c>
      <c r="R88" s="72" t="s">
        <v>0</v>
      </c>
      <c r="S88" s="72">
        <v>518</v>
      </c>
      <c r="T88" s="72" t="s">
        <v>0</v>
      </c>
      <c r="U88" s="72" t="s">
        <v>2</v>
      </c>
      <c r="V88" s="72" t="s">
        <v>0</v>
      </c>
      <c r="W88" s="72" t="s">
        <v>100</v>
      </c>
      <c r="X88" s="72" t="s">
        <v>0</v>
      </c>
      <c r="Y88" s="72" t="s">
        <v>92</v>
      </c>
      <c r="AA88" s="72" t="s">
        <v>116</v>
      </c>
      <c r="AB88" s="115">
        <v>47.051732999999999</v>
      </c>
      <c r="AC88" s="115">
        <v>-84.772470999999996</v>
      </c>
    </row>
    <row r="89" spans="1:29">
      <c r="A89" s="72" t="s">
        <v>134</v>
      </c>
      <c r="B89" s="72" t="s">
        <v>0</v>
      </c>
      <c r="C89" s="72" t="s">
        <v>115</v>
      </c>
      <c r="D89" s="72" t="s">
        <v>0</v>
      </c>
      <c r="E89" s="71">
        <f>E84+142.1</f>
        <v>3185.1</v>
      </c>
      <c r="F89" s="72" t="s">
        <v>0</v>
      </c>
      <c r="G89" s="72">
        <v>8</v>
      </c>
      <c r="H89" s="72" t="s">
        <v>0</v>
      </c>
      <c r="I89" s="73">
        <v>313.5</v>
      </c>
      <c r="J89" s="72" t="s">
        <v>0</v>
      </c>
      <c r="K89" s="73">
        <v>62.2</v>
      </c>
      <c r="L89" s="72" t="s">
        <v>0</v>
      </c>
      <c r="M89" s="73">
        <v>286.39999999999998</v>
      </c>
      <c r="N89" s="72" t="s">
        <v>0</v>
      </c>
      <c r="O89" s="73">
        <v>32.6</v>
      </c>
      <c r="P89" s="72" t="s">
        <v>0</v>
      </c>
      <c r="Q89" s="73">
        <v>5.3</v>
      </c>
      <c r="R89" s="72" t="s">
        <v>0</v>
      </c>
      <c r="S89" s="72">
        <v>95</v>
      </c>
      <c r="T89" s="72" t="s">
        <v>0</v>
      </c>
      <c r="U89" s="72" t="s">
        <v>2</v>
      </c>
      <c r="V89" s="72" t="s">
        <v>0</v>
      </c>
      <c r="W89" s="72" t="s">
        <v>100</v>
      </c>
      <c r="X89" s="72" t="s">
        <v>0</v>
      </c>
      <c r="Y89" s="72" t="s">
        <v>92</v>
      </c>
      <c r="AA89" s="72" t="s">
        <v>116</v>
      </c>
      <c r="AB89" s="115">
        <v>47.051876</v>
      </c>
      <c r="AC89" s="115">
        <v>-84.772673999999995</v>
      </c>
    </row>
    <row r="90" spans="1:29">
      <c r="A90" s="72" t="s">
        <v>135</v>
      </c>
      <c r="B90" s="72" t="s">
        <v>0</v>
      </c>
      <c r="C90" s="72" t="s">
        <v>74</v>
      </c>
      <c r="D90" s="72" t="s">
        <v>0</v>
      </c>
      <c r="E90" s="71">
        <v>3350</v>
      </c>
      <c r="F90" s="72" t="s">
        <v>0</v>
      </c>
      <c r="G90" s="72">
        <v>4</v>
      </c>
      <c r="H90" s="72" t="s">
        <v>0</v>
      </c>
      <c r="I90" s="73">
        <v>326.39999999999998</v>
      </c>
      <c r="J90" s="72" t="s">
        <v>0</v>
      </c>
      <c r="K90" s="73">
        <v>61.9</v>
      </c>
      <c r="L90" s="72" t="s">
        <v>0</v>
      </c>
      <c r="M90" s="73">
        <v>298.5</v>
      </c>
      <c r="N90" s="72" t="s">
        <v>0</v>
      </c>
      <c r="O90" s="73">
        <v>42.6</v>
      </c>
      <c r="P90" s="72" t="s">
        <v>0</v>
      </c>
      <c r="Q90" s="73">
        <v>6.1</v>
      </c>
      <c r="R90" s="72" t="s">
        <v>0</v>
      </c>
      <c r="S90" s="72">
        <v>232</v>
      </c>
      <c r="T90" s="72" t="s">
        <v>0</v>
      </c>
      <c r="U90" s="72" t="s">
        <v>2</v>
      </c>
      <c r="V90" s="72" t="s">
        <v>0</v>
      </c>
      <c r="W90" s="72" t="s">
        <v>90</v>
      </c>
      <c r="X90" s="72" t="s">
        <v>0</v>
      </c>
      <c r="Y90" s="72" t="s">
        <v>318</v>
      </c>
      <c r="AA90" s="72" t="s">
        <v>116</v>
      </c>
      <c r="AB90" s="115">
        <v>47.047332317931101</v>
      </c>
      <c r="AC90" s="115">
        <v>-84.774886950594393</v>
      </c>
    </row>
    <row r="91" spans="1:29">
      <c r="A91" s="72" t="s">
        <v>135</v>
      </c>
      <c r="B91" s="72" t="s">
        <v>0</v>
      </c>
      <c r="C91" s="72" t="s">
        <v>75</v>
      </c>
      <c r="D91" s="72" t="s">
        <v>0</v>
      </c>
      <c r="E91" s="71">
        <f>E90+10.2</f>
        <v>3360.2</v>
      </c>
      <c r="F91" s="72" t="s">
        <v>0</v>
      </c>
      <c r="G91" s="72">
        <v>6</v>
      </c>
      <c r="H91" s="72" t="s">
        <v>0</v>
      </c>
      <c r="I91" s="73">
        <v>323.5</v>
      </c>
      <c r="J91" s="72" t="s">
        <v>0</v>
      </c>
      <c r="K91" s="73">
        <v>60.2</v>
      </c>
      <c r="L91" s="72" t="s">
        <v>0</v>
      </c>
      <c r="M91" s="73">
        <v>298.2</v>
      </c>
      <c r="N91" s="72" t="s">
        <v>0</v>
      </c>
      <c r="O91" s="73">
        <v>40.299999999999997</v>
      </c>
      <c r="P91" s="72" t="s">
        <v>0</v>
      </c>
      <c r="Q91" s="73">
        <v>5.8</v>
      </c>
      <c r="R91" s="72" t="s">
        <v>0</v>
      </c>
      <c r="S91" s="72">
        <v>135</v>
      </c>
      <c r="T91" s="72" t="s">
        <v>0</v>
      </c>
      <c r="U91" s="72" t="s">
        <v>2</v>
      </c>
      <c r="V91" s="72" t="s">
        <v>0</v>
      </c>
      <c r="W91" s="72" t="s">
        <v>90</v>
      </c>
      <c r="X91" s="72" t="s">
        <v>0</v>
      </c>
      <c r="Y91" s="72" t="s">
        <v>318</v>
      </c>
      <c r="AA91" s="72" t="s">
        <v>116</v>
      </c>
      <c r="AB91" s="115">
        <v>47.0471845800501</v>
      </c>
      <c r="AC91" s="115">
        <v>-84.775156413104895</v>
      </c>
    </row>
    <row r="92" spans="1:29">
      <c r="A92" s="72" t="s">
        <v>135</v>
      </c>
      <c r="B92" s="72" t="s">
        <v>0</v>
      </c>
      <c r="C92" s="72" t="s">
        <v>76</v>
      </c>
      <c r="D92" s="72" t="s">
        <v>0</v>
      </c>
      <c r="E92" s="71">
        <f>E90+15.5</f>
        <v>3365.5</v>
      </c>
      <c r="F92" s="72" t="s">
        <v>0</v>
      </c>
      <c r="G92" s="72">
        <v>5</v>
      </c>
      <c r="H92" s="72" t="s">
        <v>0</v>
      </c>
      <c r="I92" s="73">
        <v>322.7</v>
      </c>
      <c r="J92" s="72" t="s">
        <v>0</v>
      </c>
      <c r="K92" s="73">
        <v>63.9</v>
      </c>
      <c r="L92" s="72" t="s">
        <v>0</v>
      </c>
      <c r="M92" s="73">
        <v>295.10000000000002</v>
      </c>
      <c r="N92" s="72" t="s">
        <v>0</v>
      </c>
      <c r="O92" s="73">
        <v>43.2</v>
      </c>
      <c r="P92" s="72" t="s">
        <v>0</v>
      </c>
      <c r="Q92" s="73">
        <v>6.8</v>
      </c>
      <c r="R92" s="72" t="s">
        <v>0</v>
      </c>
      <c r="S92" s="72">
        <v>128</v>
      </c>
      <c r="T92" s="72" t="s">
        <v>0</v>
      </c>
      <c r="U92" s="72" t="s">
        <v>2</v>
      </c>
      <c r="V92" s="72" t="s">
        <v>0</v>
      </c>
      <c r="W92" s="72" t="s">
        <v>90</v>
      </c>
      <c r="X92" s="72" t="s">
        <v>0</v>
      </c>
      <c r="Y92" s="72" t="s">
        <v>318</v>
      </c>
      <c r="AA92" s="72" t="s">
        <v>116</v>
      </c>
      <c r="AB92" s="115">
        <v>47.047045064904097</v>
      </c>
      <c r="AC92" s="115">
        <v>-84.775386034819505</v>
      </c>
    </row>
    <row r="93" spans="1:29">
      <c r="A93" s="72" t="s">
        <v>135</v>
      </c>
      <c r="B93" s="72" t="s">
        <v>0</v>
      </c>
      <c r="C93" s="72" t="s">
        <v>77</v>
      </c>
      <c r="D93" s="72" t="s">
        <v>0</v>
      </c>
      <c r="E93" s="71">
        <f>E90+22.2</f>
        <v>3372.2</v>
      </c>
      <c r="F93" s="72" t="s">
        <v>0</v>
      </c>
      <c r="G93" s="72">
        <v>5</v>
      </c>
      <c r="H93" s="72" t="s">
        <v>0</v>
      </c>
      <c r="I93" s="73">
        <v>318.3</v>
      </c>
      <c r="J93" s="72" t="s">
        <v>0</v>
      </c>
      <c r="K93" s="73">
        <v>59.7</v>
      </c>
      <c r="L93" s="72" t="s">
        <v>0</v>
      </c>
      <c r="M93" s="73">
        <v>295.7</v>
      </c>
      <c r="N93" s="72" t="s">
        <v>0</v>
      </c>
      <c r="O93" s="73">
        <v>38.6</v>
      </c>
      <c r="P93" s="72" t="s">
        <v>0</v>
      </c>
      <c r="Q93" s="73">
        <v>6.4</v>
      </c>
      <c r="R93" s="72" t="s">
        <v>0</v>
      </c>
      <c r="S93" s="72">
        <v>142</v>
      </c>
      <c r="T93" s="72" t="s">
        <v>0</v>
      </c>
      <c r="U93" s="72" t="s">
        <v>2</v>
      </c>
      <c r="V93" s="72" t="s">
        <v>0</v>
      </c>
      <c r="W93" s="72" t="s">
        <v>90</v>
      </c>
      <c r="X93" s="72" t="s">
        <v>0</v>
      </c>
      <c r="Y93" s="72" t="s">
        <v>318</v>
      </c>
      <c r="AA93" s="72" t="s">
        <v>116</v>
      </c>
      <c r="AB93" s="115">
        <v>47.046826927445501</v>
      </c>
      <c r="AC93" s="115">
        <v>-84.775737416642698</v>
      </c>
    </row>
    <row r="94" spans="1:29">
      <c r="A94" s="72" t="s">
        <v>106</v>
      </c>
      <c r="B94" s="72" t="s">
        <v>0</v>
      </c>
      <c r="C94" s="72" t="s">
        <v>117</v>
      </c>
      <c r="D94" s="72" t="s">
        <v>0</v>
      </c>
      <c r="E94" s="71">
        <f>3632+2.6</f>
        <v>3634.6</v>
      </c>
      <c r="F94" s="72" t="s">
        <v>0</v>
      </c>
      <c r="G94" s="72">
        <v>8</v>
      </c>
      <c r="H94" s="72" t="s">
        <v>0</v>
      </c>
      <c r="I94" s="73">
        <v>321.89999999999998</v>
      </c>
      <c r="J94" s="72" t="s">
        <v>0</v>
      </c>
      <c r="K94" s="73">
        <v>59.4</v>
      </c>
      <c r="L94" s="72" t="s">
        <v>0</v>
      </c>
      <c r="M94" s="73">
        <v>290.39999999999998</v>
      </c>
      <c r="N94" s="72" t="s">
        <v>0</v>
      </c>
      <c r="O94" s="73">
        <v>34.6</v>
      </c>
      <c r="P94" s="72" t="s">
        <v>0</v>
      </c>
      <c r="Q94" s="73">
        <v>2.8</v>
      </c>
      <c r="R94" s="72" t="s">
        <v>0</v>
      </c>
      <c r="S94" s="72">
        <v>336</v>
      </c>
      <c r="T94" s="72" t="s">
        <v>0</v>
      </c>
      <c r="U94" s="72" t="s">
        <v>2</v>
      </c>
      <c r="V94" s="72" t="s">
        <v>0</v>
      </c>
      <c r="W94" s="72" t="s">
        <v>100</v>
      </c>
      <c r="X94" s="72" t="s">
        <v>0</v>
      </c>
      <c r="Y94" s="72" t="s">
        <v>92</v>
      </c>
      <c r="AA94" s="72" t="s">
        <v>116</v>
      </c>
      <c r="AB94" s="115">
        <v>47.043143000000001</v>
      </c>
      <c r="AC94" s="115">
        <v>-84.780271999999997</v>
      </c>
    </row>
    <row r="95" spans="1:29">
      <c r="A95" s="72" t="s">
        <v>106</v>
      </c>
      <c r="B95" s="72" t="s">
        <v>0</v>
      </c>
      <c r="C95" s="72" t="s">
        <v>118</v>
      </c>
      <c r="D95" s="72" t="s">
        <v>0</v>
      </c>
      <c r="E95" s="71">
        <f>3632+26.7</f>
        <v>3658.7</v>
      </c>
      <c r="F95" s="72" t="s">
        <v>0</v>
      </c>
      <c r="G95" s="72">
        <v>6</v>
      </c>
      <c r="H95" s="72" t="s">
        <v>0</v>
      </c>
      <c r="I95" s="73">
        <v>319.10000000000002</v>
      </c>
      <c r="J95" s="72" t="s">
        <v>0</v>
      </c>
      <c r="K95" s="73">
        <v>58.7</v>
      </c>
      <c r="L95" s="72" t="s">
        <v>0</v>
      </c>
      <c r="M95" s="73">
        <v>289.60000000000002</v>
      </c>
      <c r="N95" s="72" t="s">
        <v>0</v>
      </c>
      <c r="O95" s="73">
        <v>33.299999999999997</v>
      </c>
      <c r="P95" s="72" t="s">
        <v>0</v>
      </c>
      <c r="Q95" s="73">
        <v>2.4</v>
      </c>
      <c r="R95" s="72" t="s">
        <v>0</v>
      </c>
      <c r="S95" s="72">
        <v>678</v>
      </c>
      <c r="T95" s="72" t="s">
        <v>0</v>
      </c>
      <c r="U95" s="72" t="s">
        <v>2</v>
      </c>
      <c r="V95" s="72" t="s">
        <v>0</v>
      </c>
      <c r="W95" s="72" t="s">
        <v>100</v>
      </c>
      <c r="X95" s="72" t="s">
        <v>0</v>
      </c>
      <c r="Y95" s="72" t="s">
        <v>92</v>
      </c>
      <c r="AA95" s="72" t="s">
        <v>116</v>
      </c>
      <c r="AB95" s="115">
        <v>47.043216000000001</v>
      </c>
      <c r="AC95" s="115">
        <v>-84.780893000000006</v>
      </c>
    </row>
    <row r="96" spans="1:29">
      <c r="A96" s="72" t="s">
        <v>106</v>
      </c>
      <c r="B96" s="72" t="s">
        <v>0</v>
      </c>
      <c r="C96" s="72" t="s">
        <v>119</v>
      </c>
      <c r="D96" s="72" t="s">
        <v>0</v>
      </c>
      <c r="E96" s="71">
        <f>3632+39</f>
        <v>3671</v>
      </c>
      <c r="F96" s="72" t="s">
        <v>0</v>
      </c>
      <c r="G96" s="72">
        <v>6</v>
      </c>
      <c r="H96" s="72" t="s">
        <v>0</v>
      </c>
      <c r="I96" s="73">
        <v>319.7</v>
      </c>
      <c r="J96" s="72" t="s">
        <v>0</v>
      </c>
      <c r="K96" s="73">
        <v>58.1</v>
      </c>
      <c r="L96" s="72" t="s">
        <v>0</v>
      </c>
      <c r="M96" s="73">
        <v>290.3</v>
      </c>
      <c r="N96" s="72" t="s">
        <v>0</v>
      </c>
      <c r="O96" s="73">
        <v>32.9</v>
      </c>
      <c r="P96" s="72" t="s">
        <v>0</v>
      </c>
      <c r="Q96" s="73">
        <v>1.9</v>
      </c>
      <c r="R96" s="72" t="s">
        <v>0</v>
      </c>
      <c r="S96" s="72">
        <v>1035</v>
      </c>
      <c r="T96" s="72" t="s">
        <v>0</v>
      </c>
      <c r="U96" s="72" t="s">
        <v>2</v>
      </c>
      <c r="V96" s="72" t="s">
        <v>0</v>
      </c>
      <c r="W96" s="72" t="s">
        <v>100</v>
      </c>
      <c r="X96" s="72" t="s">
        <v>0</v>
      </c>
      <c r="Y96" s="72" t="s">
        <v>92</v>
      </c>
      <c r="AA96" s="72" t="s">
        <v>116</v>
      </c>
      <c r="AB96" s="115">
        <v>47.042980999999997</v>
      </c>
      <c r="AC96" s="115">
        <v>-84.781063000000003</v>
      </c>
    </row>
    <row r="97" spans="1:29">
      <c r="A97" s="72" t="s">
        <v>106</v>
      </c>
      <c r="B97" s="72" t="s">
        <v>0</v>
      </c>
      <c r="C97" s="72" t="s">
        <v>120</v>
      </c>
      <c r="D97" s="72" t="s">
        <v>0</v>
      </c>
      <c r="E97" s="71">
        <f>3632+44.5</f>
        <v>3676.5</v>
      </c>
      <c r="F97" s="72" t="s">
        <v>0</v>
      </c>
      <c r="G97" s="72">
        <v>6</v>
      </c>
      <c r="H97" s="72" t="s">
        <v>0</v>
      </c>
      <c r="I97" s="73">
        <v>335.6</v>
      </c>
      <c r="J97" s="72" t="s">
        <v>0</v>
      </c>
      <c r="K97" s="73">
        <v>61.4</v>
      </c>
      <c r="L97" s="72" t="s">
        <v>0</v>
      </c>
      <c r="M97" s="73">
        <v>294.60000000000002</v>
      </c>
      <c r="N97" s="72" t="s">
        <v>0</v>
      </c>
      <c r="O97" s="73">
        <v>40.799999999999997</v>
      </c>
      <c r="P97" s="72" t="s">
        <v>0</v>
      </c>
      <c r="Q97" s="73">
        <v>5.6</v>
      </c>
      <c r="R97" s="72" t="s">
        <v>0</v>
      </c>
      <c r="S97" s="72">
        <v>122</v>
      </c>
      <c r="T97" s="72" t="s">
        <v>0</v>
      </c>
      <c r="U97" s="72" t="s">
        <v>2</v>
      </c>
      <c r="V97" s="72" t="s">
        <v>0</v>
      </c>
      <c r="W97" s="72" t="s">
        <v>100</v>
      </c>
      <c r="X97" s="72" t="s">
        <v>0</v>
      </c>
      <c r="Y97" s="72" t="s">
        <v>92</v>
      </c>
      <c r="AA97" s="72" t="s">
        <v>116</v>
      </c>
      <c r="AB97" s="115">
        <v>47.042980999999997</v>
      </c>
      <c r="AC97" s="115">
        <v>-84.781195999999994</v>
      </c>
    </row>
    <row r="98" spans="1:29">
      <c r="A98" s="72" t="s">
        <v>106</v>
      </c>
      <c r="B98" s="72" t="s">
        <v>0</v>
      </c>
      <c r="C98" s="72" t="s">
        <v>123</v>
      </c>
      <c r="D98" s="72" t="s">
        <v>0</v>
      </c>
      <c r="E98" s="71">
        <f>3632+73.6</f>
        <v>3705.6</v>
      </c>
      <c r="F98" s="72" t="s">
        <v>0</v>
      </c>
      <c r="G98" s="72">
        <v>8</v>
      </c>
      <c r="H98" s="72" t="s">
        <v>0</v>
      </c>
      <c r="I98" s="73">
        <v>288.39999999999998</v>
      </c>
      <c r="J98" s="72" t="s">
        <v>0</v>
      </c>
      <c r="K98" s="73">
        <v>48.7</v>
      </c>
      <c r="L98" s="72" t="s">
        <v>0</v>
      </c>
      <c r="M98" s="73">
        <v>277.60000000000002</v>
      </c>
      <c r="N98" s="72" t="s">
        <v>0</v>
      </c>
      <c r="O98" s="73">
        <v>15.8</v>
      </c>
      <c r="P98" s="72" t="s">
        <v>0</v>
      </c>
      <c r="Q98" s="73">
        <v>6.7</v>
      </c>
      <c r="R98" s="72" t="s">
        <v>0</v>
      </c>
      <c r="S98" s="72">
        <v>60</v>
      </c>
      <c r="T98" s="72" t="s">
        <v>0</v>
      </c>
      <c r="U98" s="72" t="s">
        <v>2</v>
      </c>
      <c r="V98" s="72" t="s">
        <v>0</v>
      </c>
      <c r="W98" s="72" t="s">
        <v>100</v>
      </c>
      <c r="X98" s="72" t="s">
        <v>0</v>
      </c>
      <c r="Y98" s="72" t="s">
        <v>92</v>
      </c>
      <c r="AA98" s="72" t="s">
        <v>116</v>
      </c>
      <c r="AB98" s="115">
        <v>47.042825000000001</v>
      </c>
      <c r="AC98" s="115">
        <v>-84.781632999999999</v>
      </c>
    </row>
    <row r="99" spans="1:29">
      <c r="A99" s="72" t="s">
        <v>106</v>
      </c>
      <c r="B99" s="72" t="s">
        <v>0</v>
      </c>
      <c r="C99" s="72" t="s">
        <v>121</v>
      </c>
      <c r="D99" s="72" t="s">
        <v>0</v>
      </c>
      <c r="E99" s="71">
        <f>3632+96.4</f>
        <v>3728.4</v>
      </c>
      <c r="F99" s="72" t="s">
        <v>0</v>
      </c>
      <c r="G99" s="72">
        <v>6</v>
      </c>
      <c r="H99" s="72" t="s">
        <v>0</v>
      </c>
      <c r="I99" s="73">
        <v>291.89999999999998</v>
      </c>
      <c r="J99" s="72" t="s">
        <v>0</v>
      </c>
      <c r="K99" s="73">
        <v>50.8</v>
      </c>
      <c r="L99" s="72" t="s">
        <v>0</v>
      </c>
      <c r="M99" s="73">
        <v>279.10000000000002</v>
      </c>
      <c r="N99" s="72" t="s">
        <v>0</v>
      </c>
      <c r="O99" s="73">
        <v>18.7</v>
      </c>
      <c r="P99" s="72" t="s">
        <v>0</v>
      </c>
      <c r="Q99" s="73">
        <v>14.1</v>
      </c>
      <c r="R99" s="72" t="s">
        <v>0</v>
      </c>
      <c r="S99" s="72">
        <v>20</v>
      </c>
      <c r="T99" s="72" t="s">
        <v>0</v>
      </c>
      <c r="U99" s="72" t="s">
        <v>2</v>
      </c>
      <c r="V99" s="72" t="s">
        <v>0</v>
      </c>
      <c r="W99" s="72" t="s">
        <v>100</v>
      </c>
      <c r="X99" s="72" t="s">
        <v>0</v>
      </c>
      <c r="Y99" s="72" t="s">
        <v>92</v>
      </c>
      <c r="AA99" s="72" t="s">
        <v>116</v>
      </c>
      <c r="AB99" s="115">
        <v>47.042821000000004</v>
      </c>
      <c r="AC99" s="115">
        <v>-84.782077999999998</v>
      </c>
    </row>
    <row r="100" spans="1:29">
      <c r="A100" s="72" t="s">
        <v>106</v>
      </c>
      <c r="B100" s="72" t="s">
        <v>0</v>
      </c>
      <c r="C100" s="72" t="s">
        <v>122</v>
      </c>
      <c r="D100" s="72" t="s">
        <v>0</v>
      </c>
      <c r="E100" s="71">
        <f>3632+102.1</f>
        <v>3734.1</v>
      </c>
      <c r="F100" s="72" t="s">
        <v>0</v>
      </c>
      <c r="G100" s="72">
        <v>8</v>
      </c>
      <c r="H100" s="72" t="s">
        <v>0</v>
      </c>
      <c r="I100" s="73">
        <v>288.7</v>
      </c>
      <c r="J100" s="72" t="s">
        <v>0</v>
      </c>
      <c r="K100" s="73">
        <v>39.5</v>
      </c>
      <c r="L100" s="72" t="s">
        <v>0</v>
      </c>
      <c r="M100" s="73">
        <v>280.89999999999998</v>
      </c>
      <c r="N100" s="72" t="s">
        <v>0</v>
      </c>
      <c r="O100" s="73">
        <v>7.2</v>
      </c>
      <c r="P100" s="72" t="s">
        <v>0</v>
      </c>
      <c r="Q100" s="73">
        <v>7.9</v>
      </c>
      <c r="R100" s="72" t="s">
        <v>0</v>
      </c>
      <c r="S100" s="72">
        <v>44</v>
      </c>
      <c r="T100" s="72" t="s">
        <v>0</v>
      </c>
      <c r="U100" s="72" t="s">
        <v>2</v>
      </c>
      <c r="V100" s="72" t="s">
        <v>0</v>
      </c>
      <c r="W100" s="72" t="s">
        <v>100</v>
      </c>
      <c r="X100" s="72" t="s">
        <v>0</v>
      </c>
      <c r="Y100" s="72" t="s">
        <v>92</v>
      </c>
      <c r="AA100" s="72" t="s">
        <v>116</v>
      </c>
      <c r="AB100" s="115">
        <v>47.042791000000001</v>
      </c>
      <c r="AC100" s="115">
        <v>-84.782240000000002</v>
      </c>
    </row>
    <row r="103" spans="1:29">
      <c r="B103" s="72"/>
      <c r="D103" s="72"/>
      <c r="E103" s="71"/>
      <c r="F103" s="72"/>
      <c r="H103" s="72"/>
      <c r="J103" s="72"/>
      <c r="L103" s="72"/>
      <c r="N103" s="72"/>
      <c r="P103" s="72"/>
      <c r="R103" s="72"/>
      <c r="T103" s="72"/>
      <c r="U103" s="72"/>
      <c r="V103" s="72"/>
      <c r="W103" s="72"/>
      <c r="X103" s="72"/>
      <c r="Y103" s="72"/>
      <c r="AA103" s="72"/>
    </row>
    <row r="104" spans="1:29">
      <c r="B104" s="72"/>
      <c r="C104" s="49"/>
      <c r="D104" s="72"/>
      <c r="E104" s="71"/>
      <c r="F104" s="72"/>
      <c r="H104" s="72"/>
      <c r="J104" s="72"/>
      <c r="L104" s="72"/>
      <c r="N104" s="72"/>
      <c r="P104" s="72"/>
      <c r="R104" s="72"/>
      <c r="S104" s="74"/>
      <c r="T104" s="72"/>
      <c r="U104" s="72"/>
      <c r="V104" s="72"/>
      <c r="W104" s="72"/>
      <c r="X104" s="72"/>
      <c r="Y104" s="72"/>
      <c r="AA104" s="72"/>
    </row>
    <row r="105" spans="1:29">
      <c r="A105" s="49"/>
      <c r="B105" s="72"/>
      <c r="C105" s="49"/>
      <c r="D105" s="72"/>
      <c r="F105" s="72"/>
      <c r="G105" s="49"/>
      <c r="H105" s="72"/>
      <c r="J105" s="72"/>
      <c r="L105" s="72"/>
      <c r="N105" s="72"/>
      <c r="P105" s="72"/>
      <c r="R105" s="72"/>
      <c r="T105" s="72"/>
      <c r="V105" s="72"/>
      <c r="W105" s="72"/>
      <c r="X105" s="72"/>
      <c r="Y105" s="72"/>
      <c r="AA105" s="72"/>
    </row>
    <row r="106" spans="1:29">
      <c r="B106" s="72"/>
      <c r="D106" s="72"/>
      <c r="E106" s="71"/>
      <c r="F106" s="72"/>
      <c r="H106" s="72"/>
      <c r="J106" s="72"/>
      <c r="L106" s="72"/>
      <c r="N106" s="72"/>
      <c r="P106" s="72"/>
      <c r="R106" s="72"/>
      <c r="S106" s="74"/>
      <c r="T106" s="72"/>
      <c r="V106" s="72"/>
      <c r="W106" s="72"/>
      <c r="X106" s="72"/>
      <c r="Y106" s="72"/>
      <c r="AA106" s="72"/>
    </row>
    <row r="107" spans="1:29">
      <c r="B107" s="72"/>
      <c r="D107" s="72"/>
      <c r="E107" s="71"/>
      <c r="F107" s="72"/>
      <c r="H107" s="72"/>
      <c r="J107" s="72"/>
      <c r="L107" s="72"/>
      <c r="N107" s="72"/>
      <c r="P107" s="72"/>
      <c r="R107" s="72"/>
      <c r="T107" s="72"/>
      <c r="V107" s="72"/>
      <c r="W107" s="72"/>
      <c r="X107" s="72"/>
      <c r="Y107" s="72"/>
      <c r="AA107" s="72"/>
    </row>
    <row r="108" spans="1:29">
      <c r="A108" s="72"/>
      <c r="B108" s="72"/>
      <c r="C108" s="72"/>
      <c r="D108" s="72"/>
      <c r="E108" s="71"/>
      <c r="F108" s="72"/>
      <c r="G108" s="72"/>
      <c r="H108" s="72"/>
      <c r="I108" s="73"/>
      <c r="J108" s="72"/>
      <c r="K108" s="73"/>
      <c r="L108" s="72"/>
      <c r="M108" s="73"/>
      <c r="N108" s="72"/>
      <c r="O108" s="73"/>
      <c r="P108" s="72"/>
      <c r="Q108" s="73"/>
      <c r="R108" s="72"/>
      <c r="S108" s="72"/>
      <c r="T108" s="72"/>
      <c r="U108" s="73"/>
      <c r="V108" s="72"/>
      <c r="W108" s="72"/>
      <c r="X108" s="72"/>
      <c r="Y108" s="72"/>
      <c r="AA108" s="72"/>
    </row>
  </sheetData>
  <sortState ref="AH1:AH108">
    <sortCondition ref="AH1:AH10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14"/>
  <sheetViews>
    <sheetView workbookViewId="0">
      <selection activeCell="C105" sqref="C7:C105"/>
    </sheetView>
  </sheetViews>
  <sheetFormatPr baseColWidth="10" defaultRowHeight="14" x14ac:dyDescent="0"/>
  <cols>
    <col min="1" max="1" width="10.83203125" style="2"/>
    <col min="2" max="2" width="13" style="17" customWidth="1"/>
    <col min="3" max="3" width="9.33203125" style="50" customWidth="1"/>
    <col min="4" max="4" width="7" style="24" customWidth="1"/>
    <col min="5" max="5" width="4.1640625" style="53" customWidth="1"/>
    <col min="6" max="6" width="4.1640625" style="17" customWidth="1"/>
    <col min="7" max="7" width="4.6640625" style="17" customWidth="1"/>
    <col min="8" max="8" width="9.1640625" style="17" customWidth="1"/>
    <col min="9" max="9" width="7.5" style="17" customWidth="1"/>
    <col min="10" max="10" width="7.6640625" style="17" customWidth="1"/>
    <col min="11" max="11" width="7.83203125" style="17" customWidth="1"/>
    <col min="12" max="12" width="7.1640625" style="17" customWidth="1"/>
    <col min="13" max="13" width="6.5" style="17" customWidth="1"/>
    <col min="14" max="14" width="2.5" style="17" customWidth="1"/>
    <col min="15" max="15" width="6.5" style="55" customWidth="1"/>
    <col min="16" max="16" width="8" style="55" customWidth="1"/>
    <col min="17" max="17" width="2.6640625" style="47" customWidth="1"/>
    <col min="18" max="19" width="8" style="47" customWidth="1"/>
    <col min="20" max="20" width="2.6640625" style="17" customWidth="1"/>
    <col min="21" max="21" width="7.1640625" style="24" customWidth="1"/>
    <col min="22" max="22" width="8.33203125" style="50" customWidth="1"/>
    <col min="23" max="23" width="7" style="24" customWidth="1"/>
    <col min="24" max="24" width="7.5" style="50" customWidth="1"/>
    <col min="25" max="25" width="6.33203125" style="17" customWidth="1"/>
    <col min="26" max="26" width="6.5" style="17" customWidth="1"/>
    <col min="27" max="28" width="9.83203125" style="17" customWidth="1"/>
    <col min="29" max="29" width="10.33203125" style="17" customWidth="1"/>
    <col min="30" max="30" width="4.33203125" style="17" customWidth="1"/>
    <col min="31" max="33" width="10.83203125" style="18"/>
    <col min="34" max="34" width="20.6640625" style="18" customWidth="1"/>
    <col min="35" max="44" width="10.83203125" style="18"/>
    <col min="45" max="45" width="10.83203125" style="3"/>
    <col min="46" max="16384" width="10.83203125" style="2"/>
  </cols>
  <sheetData>
    <row r="1" spans="1:60" s="3" customFormat="1">
      <c r="A1" s="2"/>
      <c r="B1" s="10" t="s">
        <v>173</v>
      </c>
      <c r="C1" s="11"/>
      <c r="D1" s="12"/>
      <c r="E1" s="13"/>
      <c r="F1" s="14"/>
      <c r="G1" s="14"/>
      <c r="H1" s="14"/>
      <c r="I1" s="14"/>
      <c r="J1" s="14"/>
      <c r="K1" s="14"/>
      <c r="L1" s="14"/>
      <c r="M1" s="14"/>
      <c r="N1" s="14"/>
      <c r="O1" s="15"/>
      <c r="P1" s="15"/>
      <c r="Q1" s="16"/>
      <c r="R1" s="16"/>
      <c r="S1" s="16"/>
      <c r="T1" s="14"/>
      <c r="U1" s="12"/>
      <c r="V1" s="11"/>
      <c r="W1" s="12"/>
      <c r="X1" s="11"/>
      <c r="Y1" s="14"/>
      <c r="Z1" s="14"/>
      <c r="AA1" s="14"/>
      <c r="AB1" s="14"/>
      <c r="AC1" s="14"/>
      <c r="AD1" s="17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</row>
    <row r="2" spans="1:60" s="3" customFormat="1">
      <c r="A2" s="2"/>
      <c r="B2" s="19" t="s">
        <v>174</v>
      </c>
      <c r="C2" s="11"/>
      <c r="D2" s="12"/>
      <c r="E2" s="13"/>
      <c r="F2" s="14"/>
      <c r="G2" s="14"/>
      <c r="H2" s="14"/>
      <c r="I2" s="14"/>
      <c r="J2" s="14"/>
      <c r="K2" s="14"/>
      <c r="L2" s="14"/>
      <c r="M2" s="14"/>
      <c r="N2" s="14"/>
      <c r="O2" s="15"/>
      <c r="P2" s="15"/>
      <c r="Q2" s="16"/>
      <c r="R2" s="16"/>
      <c r="S2" s="16"/>
      <c r="T2" s="14"/>
      <c r="U2" s="12"/>
      <c r="V2" s="11"/>
      <c r="W2" s="12"/>
      <c r="X2" s="11"/>
      <c r="Y2" s="14"/>
      <c r="Z2" s="14"/>
      <c r="AA2" s="14"/>
      <c r="AB2" s="14"/>
      <c r="AC2" s="14"/>
      <c r="AD2" s="17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60" s="3" customFormat="1">
      <c r="A3" s="18"/>
      <c r="B3" s="20"/>
      <c r="C3" s="11"/>
      <c r="D3" s="12"/>
      <c r="E3" s="13"/>
      <c r="F3" s="14"/>
      <c r="G3" s="14"/>
      <c r="H3" s="14"/>
      <c r="I3" s="14"/>
      <c r="J3" s="14"/>
      <c r="K3" s="14"/>
      <c r="L3" s="14"/>
      <c r="M3" s="14"/>
      <c r="N3" s="14"/>
      <c r="O3" s="15"/>
      <c r="P3" s="15"/>
      <c r="Q3" s="16"/>
      <c r="R3" s="16"/>
      <c r="S3" s="16"/>
      <c r="T3" s="14"/>
      <c r="U3" s="12"/>
      <c r="V3" s="11"/>
      <c r="W3" s="12"/>
      <c r="X3" s="11"/>
      <c r="Y3" s="14"/>
      <c r="Z3" s="14"/>
      <c r="AA3" s="14"/>
      <c r="AB3" s="14"/>
      <c r="AC3" s="14"/>
      <c r="AD3" s="17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</row>
    <row r="4" spans="1:60" s="3" customFormat="1">
      <c r="A4" s="18"/>
      <c r="B4" s="21" t="s">
        <v>175</v>
      </c>
      <c r="C4" s="11"/>
      <c r="D4" s="12"/>
      <c r="E4" s="13"/>
      <c r="F4" s="14"/>
      <c r="G4" s="14"/>
      <c r="H4" s="14"/>
      <c r="I4" s="14"/>
      <c r="J4" s="14"/>
      <c r="K4" s="14"/>
      <c r="L4" s="14"/>
      <c r="M4" s="14"/>
      <c r="N4" s="14"/>
      <c r="O4" s="22" t="s">
        <v>139</v>
      </c>
      <c r="P4" s="15"/>
      <c r="Q4" s="16"/>
      <c r="R4" s="16"/>
      <c r="S4" s="16"/>
      <c r="T4" s="14"/>
      <c r="U4" s="23" t="s">
        <v>140</v>
      </c>
      <c r="V4" s="11"/>
      <c r="W4" s="24"/>
      <c r="X4" s="11"/>
      <c r="Y4" s="14"/>
      <c r="Z4" s="14"/>
      <c r="AA4" s="14"/>
      <c r="AB4" s="14"/>
      <c r="AC4" s="14"/>
      <c r="AD4" s="17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</row>
    <row r="5" spans="1:60" s="3" customFormat="1">
      <c r="A5" s="18"/>
      <c r="B5" s="17"/>
      <c r="C5" s="11"/>
      <c r="D5" s="12"/>
      <c r="E5" s="13"/>
      <c r="F5" s="14"/>
      <c r="G5" s="14"/>
      <c r="H5" s="14"/>
      <c r="I5" s="14"/>
      <c r="J5" s="14"/>
      <c r="K5" s="14"/>
      <c r="L5" s="14"/>
      <c r="M5" s="14"/>
      <c r="N5" s="14"/>
      <c r="O5" s="15"/>
      <c r="P5" s="15"/>
      <c r="Q5" s="16"/>
      <c r="R5" s="16"/>
      <c r="S5" s="16"/>
      <c r="T5" s="14"/>
      <c r="U5" s="12"/>
      <c r="V5" s="11"/>
      <c r="W5" s="12" t="s">
        <v>141</v>
      </c>
      <c r="X5" s="11"/>
      <c r="Y5" s="14"/>
      <c r="Z5" s="14"/>
      <c r="AA5" s="14"/>
      <c r="AB5" s="14"/>
      <c r="AC5" s="14"/>
      <c r="AD5" s="17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</row>
    <row r="6" spans="1:60" s="3" customFormat="1" ht="28">
      <c r="A6" s="18" t="s">
        <v>176</v>
      </c>
      <c r="B6" s="25" t="s">
        <v>79</v>
      </c>
      <c r="C6" s="26" t="s">
        <v>142</v>
      </c>
      <c r="D6" s="27" t="s">
        <v>143</v>
      </c>
      <c r="E6" s="28" t="s">
        <v>144</v>
      </c>
      <c r="F6" s="29" t="s">
        <v>145</v>
      </c>
      <c r="G6" s="29" t="s">
        <v>146</v>
      </c>
      <c r="H6" s="27" t="s">
        <v>153</v>
      </c>
      <c r="I6" s="29" t="s">
        <v>147</v>
      </c>
      <c r="J6" s="29"/>
      <c r="K6" s="29" t="s">
        <v>148</v>
      </c>
      <c r="L6" s="29" t="s">
        <v>149</v>
      </c>
      <c r="M6" s="30" t="s">
        <v>150</v>
      </c>
      <c r="N6" s="31"/>
      <c r="O6" s="32" t="s">
        <v>151</v>
      </c>
      <c r="P6" s="33" t="s">
        <v>152</v>
      </c>
      <c r="Q6" s="34"/>
      <c r="R6" s="33" t="s">
        <v>154</v>
      </c>
      <c r="S6" s="35" t="s">
        <v>155</v>
      </c>
      <c r="T6" s="31"/>
      <c r="U6" s="27" t="s">
        <v>151</v>
      </c>
      <c r="V6" s="26" t="s">
        <v>152</v>
      </c>
      <c r="W6" s="27" t="s">
        <v>151</v>
      </c>
      <c r="X6" s="26" t="s">
        <v>152</v>
      </c>
      <c r="Y6" s="36" t="s">
        <v>177</v>
      </c>
      <c r="Z6" s="29"/>
      <c r="AA6" s="29" t="s">
        <v>156</v>
      </c>
      <c r="AB6" s="29" t="s">
        <v>157</v>
      </c>
      <c r="AC6" s="29" t="s">
        <v>158</v>
      </c>
      <c r="AD6" s="17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</row>
    <row r="7" spans="1:60" s="4" customFormat="1" ht="15">
      <c r="A7" s="72" t="s">
        <v>125</v>
      </c>
      <c r="B7" s="72" t="s">
        <v>1</v>
      </c>
      <c r="C7" s="73">
        <v>131.6</v>
      </c>
      <c r="D7" s="73">
        <v>-63.2</v>
      </c>
      <c r="E7" s="73">
        <v>9.1999999999999993</v>
      </c>
      <c r="F7" s="72">
        <v>0</v>
      </c>
      <c r="G7" s="72">
        <v>6</v>
      </c>
      <c r="H7" s="38">
        <f t="shared" ref="H7:H70" si="0">ATAN(0.5*TAN(J7))/(PI()/180)</f>
        <v>-44.707215337878729</v>
      </c>
      <c r="I7" s="39">
        <f t="shared" ref="I7:J31" si="1">C7*PI()/180</f>
        <v>2.2968532956245378</v>
      </c>
      <c r="J7" s="39">
        <f t="shared" si="1"/>
        <v>-1.1030480872604163</v>
      </c>
      <c r="K7" s="39">
        <f t="shared" ref="K7:K70" si="2">COS(I7)*COS(J7)*F7</f>
        <v>0</v>
      </c>
      <c r="L7" s="39">
        <f t="shared" ref="L7:L70" si="3">COS(J7)*SIN(I7)*F7</f>
        <v>0</v>
      </c>
      <c r="M7" s="39">
        <f t="shared" ref="M7:M70" si="4">-1*SIN(J7)*F7</f>
        <v>0</v>
      </c>
      <c r="N7" s="40"/>
      <c r="O7" s="8">
        <v>47.0988032380737</v>
      </c>
      <c r="P7" s="8">
        <v>-84.712252949819799</v>
      </c>
      <c r="Q7" s="20"/>
      <c r="R7" s="41">
        <f>ASIN(SIN(I7)*SIN((PI()/180)*(90-H7))/SIN((PI()/180)*(90-U7)))/(PI()/180)</f>
        <v>75.926281181241094</v>
      </c>
      <c r="S7" s="42">
        <f t="shared" ref="S7:S70" si="5">COS((PI()/180)*(90-H7))-SIN((PI()/180)*U7)*SIN((PI()/180)*O7)</f>
        <v>-9.0698880430824191E-2</v>
      </c>
      <c r="T7" s="40"/>
      <c r="U7" s="43">
        <f>90-ACOS(COS((PI()/180)*(90-O7))*COS((PI()/180)*(90-H7))+SIN((PI()/180)*(90-O7))*SIN((PI()/180)*(90-H7))*COS(I7))/(PI()/180)</f>
        <v>-56.775934223897991</v>
      </c>
      <c r="V7" s="44">
        <f t="shared" ref="V7:V70" si="6">IF(S7&lt;0,P7+180-R7,P7+R7)</f>
        <v>19.361465868939106</v>
      </c>
      <c r="W7" s="43">
        <f t="shared" ref="W7:W70" si="7">IF(U7&lt;0, -1*U7, U7)</f>
        <v>56.775934223897991</v>
      </c>
      <c r="X7" s="43">
        <f t="shared" ref="X7:X70" si="8">IF(U7&lt;0, MOD(V7+180, 360), V7)</f>
        <v>199.36146586893909</v>
      </c>
      <c r="Y7" s="39">
        <f t="shared" ref="Y7:Z22" si="9">W7*PI()/180</f>
        <v>0.99092698810275137</v>
      </c>
      <c r="Z7" s="39">
        <f t="shared" si="9"/>
        <v>3.4795139810152849</v>
      </c>
      <c r="AA7" s="39" t="str">
        <f t="shared" ref="AA7:AA70" si="10">IF(F7&gt;0,F7*SIN(Y7),"")</f>
        <v/>
      </c>
      <c r="AB7" s="39" t="str">
        <f t="shared" ref="AB7:AB70" si="11">IF(F7&gt;0,F7*COS(Y7)*COS(Z7),"")</f>
        <v/>
      </c>
      <c r="AC7" s="39" t="str">
        <f t="shared" ref="AC7:AC70" si="12">IF(F7&gt;0,F7*COS(Y7)*SIN(Z7),"")</f>
        <v/>
      </c>
      <c r="AD7" s="45"/>
      <c r="AE7" s="72" t="s">
        <v>125</v>
      </c>
      <c r="AF7" s="72" t="s">
        <v>0</v>
      </c>
      <c r="AG7" s="49" t="s">
        <v>1</v>
      </c>
      <c r="AH7" s="72" t="s">
        <v>0</v>
      </c>
      <c r="AI7" s="71">
        <v>68.126200000000011</v>
      </c>
      <c r="AJ7" s="72" t="s">
        <v>0</v>
      </c>
      <c r="AK7" s="72">
        <v>6</v>
      </c>
      <c r="AL7" s="72" t="s">
        <v>0</v>
      </c>
      <c r="AM7" s="72">
        <v>203.2</v>
      </c>
      <c r="AN7" s="72" t="s">
        <v>0</v>
      </c>
      <c r="AO7" s="72">
        <v>-50.3</v>
      </c>
      <c r="AP7" s="72" t="s">
        <v>0</v>
      </c>
      <c r="AQ7" s="72">
        <v>131.6</v>
      </c>
      <c r="AR7" s="72" t="s">
        <v>0</v>
      </c>
      <c r="AS7" s="72">
        <v>-63.2</v>
      </c>
      <c r="AT7" s="72" t="s">
        <v>0</v>
      </c>
      <c r="AU7" s="72">
        <v>9.1999999999999993</v>
      </c>
      <c r="AV7" s="72" t="s">
        <v>0</v>
      </c>
      <c r="AW7" s="71">
        <v>54</v>
      </c>
      <c r="AX7" s="72" t="s">
        <v>0</v>
      </c>
      <c r="AY7" s="72" t="s">
        <v>2</v>
      </c>
      <c r="AZ7" s="72" t="s">
        <v>0</v>
      </c>
      <c r="BA7" s="72" t="s">
        <v>90</v>
      </c>
      <c r="BB7" s="72" t="s">
        <v>0</v>
      </c>
      <c r="BC7" s="72" t="s">
        <v>78</v>
      </c>
      <c r="BD7" s="1"/>
      <c r="BE7" s="72" t="s">
        <v>116</v>
      </c>
      <c r="BF7" s="75">
        <v>47.0988032380737</v>
      </c>
      <c r="BG7" s="75">
        <v>-84.712252949819799</v>
      </c>
      <c r="BH7" s="1"/>
    </row>
    <row r="8" spans="1:60" s="4" customFormat="1" ht="15">
      <c r="A8" s="72" t="s">
        <v>125</v>
      </c>
      <c r="B8" s="72" t="s">
        <v>91</v>
      </c>
      <c r="C8" s="73">
        <v>146</v>
      </c>
      <c r="D8" s="73">
        <v>-77.2</v>
      </c>
      <c r="E8" s="73">
        <v>13.7</v>
      </c>
      <c r="F8" s="72">
        <v>0</v>
      </c>
      <c r="G8" s="72">
        <v>3</v>
      </c>
      <c r="H8" s="38">
        <f t="shared" si="0"/>
        <v>-65.563481927068395</v>
      </c>
      <c r="I8" s="39">
        <f t="shared" si="1"/>
        <v>2.5481807079117211</v>
      </c>
      <c r="J8" s="39">
        <f t="shared" si="1"/>
        <v>-1.3473941825396225</v>
      </c>
      <c r="K8" s="39">
        <f t="shared" si="2"/>
        <v>0</v>
      </c>
      <c r="L8" s="39">
        <f t="shared" si="3"/>
        <v>0</v>
      </c>
      <c r="M8" s="39">
        <f t="shared" si="4"/>
        <v>0</v>
      </c>
      <c r="N8" s="40"/>
      <c r="O8" s="8">
        <v>47.098654000000003</v>
      </c>
      <c r="P8" s="8">
        <v>-84.712383000000003</v>
      </c>
      <c r="Q8" s="20"/>
      <c r="R8" s="41">
        <f t="shared" ref="R8:R71" si="13">ASIN(SIN(I8)*SIN((PI()/180)*(90-H8))/SIN((PI()/180)*(90-U8)))/(PI()/180)</f>
        <v>32.116855304225972</v>
      </c>
      <c r="S8" s="42">
        <f t="shared" si="5"/>
        <v>-0.2508724647628513</v>
      </c>
      <c r="T8" s="40"/>
      <c r="U8" s="43">
        <f>90-ACOS(COS((PI()/180)*(90-O8))*COS((PI()/180)*(90-H8))+SIN((PI()/180)*(90-O8))*SIN((PI()/180)*(90-H8))*COS(I8))/(PI()/180)</f>
        <v>-64.207187589645997</v>
      </c>
      <c r="V8" s="44">
        <f t="shared" si="6"/>
        <v>63.170761695774026</v>
      </c>
      <c r="W8" s="43">
        <f t="shared" si="7"/>
        <v>64.207187589645997</v>
      </c>
      <c r="X8" s="43">
        <f t="shared" si="8"/>
        <v>243.17076169577402</v>
      </c>
      <c r="Y8" s="39">
        <f t="shared" si="9"/>
        <v>1.1206268268849644</v>
      </c>
      <c r="Z8" s="39">
        <f>X8*PI()/180</f>
        <v>4.2441304361737666</v>
      </c>
      <c r="AA8" s="39" t="str">
        <f t="shared" si="10"/>
        <v/>
      </c>
      <c r="AB8" s="39" t="str">
        <f t="shared" si="11"/>
        <v/>
      </c>
      <c r="AC8" s="39" t="str">
        <f t="shared" si="12"/>
        <v/>
      </c>
      <c r="AD8" s="45"/>
      <c r="AE8" s="72" t="s">
        <v>125</v>
      </c>
      <c r="AF8" s="72" t="s">
        <v>0</v>
      </c>
      <c r="AG8" s="49" t="s">
        <v>91</v>
      </c>
      <c r="AH8" s="72" t="s">
        <v>0</v>
      </c>
      <c r="AI8" s="71">
        <f>AI7+16</f>
        <v>84.126200000000011</v>
      </c>
      <c r="AJ8" s="72" t="s">
        <v>0</v>
      </c>
      <c r="AK8" s="72">
        <v>3</v>
      </c>
      <c r="AL8" s="72" t="s">
        <v>0</v>
      </c>
      <c r="AM8" s="72">
        <v>225</v>
      </c>
      <c r="AN8" s="72" t="s">
        <v>0</v>
      </c>
      <c r="AO8" s="72">
        <v>-47.2</v>
      </c>
      <c r="AP8" s="72" t="s">
        <v>0</v>
      </c>
      <c r="AQ8" s="73">
        <v>146</v>
      </c>
      <c r="AR8" s="72" t="s">
        <v>0</v>
      </c>
      <c r="AS8" s="72">
        <v>-77.2</v>
      </c>
      <c r="AT8" s="72" t="s">
        <v>0</v>
      </c>
      <c r="AU8" s="72">
        <v>13.7</v>
      </c>
      <c r="AV8" s="72" t="s">
        <v>0</v>
      </c>
      <c r="AW8" s="71">
        <v>54</v>
      </c>
      <c r="AX8" s="72" t="s">
        <v>0</v>
      </c>
      <c r="AY8" s="72" t="s">
        <v>2</v>
      </c>
      <c r="AZ8" s="72" t="s">
        <v>0</v>
      </c>
      <c r="BA8" s="72" t="s">
        <v>90</v>
      </c>
      <c r="BB8" s="72" t="s">
        <v>0</v>
      </c>
      <c r="BC8" s="72" t="s">
        <v>92</v>
      </c>
      <c r="BD8" s="1"/>
      <c r="BE8" s="72" t="s">
        <v>116</v>
      </c>
      <c r="BF8" s="75">
        <v>47.098654000000003</v>
      </c>
      <c r="BG8" s="75">
        <v>-84.712383000000003</v>
      </c>
      <c r="BH8" s="1"/>
    </row>
    <row r="9" spans="1:60" s="4" customFormat="1" ht="15">
      <c r="A9" s="72" t="s">
        <v>125</v>
      </c>
      <c r="B9" s="72" t="s">
        <v>108</v>
      </c>
      <c r="C9" s="73">
        <v>120.3</v>
      </c>
      <c r="D9" s="73">
        <v>-77.5</v>
      </c>
      <c r="E9" s="73">
        <v>7.4</v>
      </c>
      <c r="F9" s="72">
        <v>0</v>
      </c>
      <c r="G9" s="72">
        <v>5</v>
      </c>
      <c r="H9" s="38">
        <f t="shared" si="0"/>
        <v>-66.088012889932557</v>
      </c>
      <c r="I9" s="39">
        <f t="shared" si="1"/>
        <v>2.0996310901491784</v>
      </c>
      <c r="J9" s="39">
        <f t="shared" si="1"/>
        <v>-1.3526301702956054</v>
      </c>
      <c r="K9" s="39">
        <f t="shared" si="2"/>
        <v>0</v>
      </c>
      <c r="L9" s="39">
        <f t="shared" si="3"/>
        <v>0</v>
      </c>
      <c r="M9" s="39">
        <f t="shared" si="4"/>
        <v>0</v>
      </c>
      <c r="N9" s="40"/>
      <c r="O9" s="8">
        <v>47.098618000000002</v>
      </c>
      <c r="P9" s="8">
        <v>-84.712419999999995</v>
      </c>
      <c r="Q9" s="20"/>
      <c r="R9" s="41">
        <f t="shared" si="13"/>
        <v>36.525500109814168</v>
      </c>
      <c r="S9" s="42">
        <f t="shared" si="5"/>
        <v>-0.32165395189374824</v>
      </c>
      <c r="T9" s="40"/>
      <c r="U9" s="43">
        <f t="shared" ref="U9:U72" si="14">90-ACOS(COS((PI()/180)*(90-O9))*COS((PI()/180)*(90-H9))+SIN((PI()/180)*(90-O9))*SIN((PI()/180)*(90-H9))*COS(I9))/(PI()/180)</f>
        <v>-53.985212047219335</v>
      </c>
      <c r="V9" s="44">
        <f t="shared" si="6"/>
        <v>58.762079890185838</v>
      </c>
      <c r="W9" s="43">
        <f t="shared" si="7"/>
        <v>53.985212047219335</v>
      </c>
      <c r="X9" s="43">
        <f t="shared" si="8"/>
        <v>238.76207989018584</v>
      </c>
      <c r="Y9" s="39">
        <f t="shared" si="9"/>
        <v>0.94221969761128588</v>
      </c>
      <c r="Z9" s="39">
        <f t="shared" si="9"/>
        <v>4.1671844229934845</v>
      </c>
      <c r="AA9" s="39" t="str">
        <f t="shared" si="10"/>
        <v/>
      </c>
      <c r="AB9" s="39" t="str">
        <f t="shared" si="11"/>
        <v/>
      </c>
      <c r="AC9" s="39" t="str">
        <f t="shared" si="12"/>
        <v/>
      </c>
      <c r="AD9" s="45"/>
      <c r="AE9" s="72" t="s">
        <v>125</v>
      </c>
      <c r="AF9" s="72" t="s">
        <v>0</v>
      </c>
      <c r="AG9" s="49" t="s">
        <v>108</v>
      </c>
      <c r="AH9" s="72" t="s">
        <v>0</v>
      </c>
      <c r="AI9" s="71">
        <f>AI7+17</f>
        <v>85.126200000000011</v>
      </c>
      <c r="AJ9" s="72" t="s">
        <v>0</v>
      </c>
      <c r="AK9" s="72">
        <v>5</v>
      </c>
      <c r="AL9" s="72" t="s">
        <v>0</v>
      </c>
      <c r="AM9" s="72">
        <v>226.7</v>
      </c>
      <c r="AN9" s="72" t="s">
        <v>0</v>
      </c>
      <c r="AO9" s="72">
        <v>-52.8</v>
      </c>
      <c r="AP9" s="72" t="s">
        <v>0</v>
      </c>
      <c r="AQ9" s="73">
        <v>120.3</v>
      </c>
      <c r="AR9" s="72" t="s">
        <v>0</v>
      </c>
      <c r="AS9" s="72">
        <v>-77.5</v>
      </c>
      <c r="AT9" s="72" t="s">
        <v>0</v>
      </c>
      <c r="AU9" s="72">
        <v>7.4</v>
      </c>
      <c r="AV9" s="72" t="s">
        <v>0</v>
      </c>
      <c r="AW9" s="71">
        <v>87.5</v>
      </c>
      <c r="AX9" s="72" t="s">
        <v>0</v>
      </c>
      <c r="AY9" s="72" t="s">
        <v>2</v>
      </c>
      <c r="AZ9" s="72" t="s">
        <v>0</v>
      </c>
      <c r="BA9" s="72" t="s">
        <v>100</v>
      </c>
      <c r="BB9" s="72" t="s">
        <v>0</v>
      </c>
      <c r="BC9" s="72" t="s">
        <v>92</v>
      </c>
      <c r="BD9" s="1"/>
      <c r="BE9" s="72" t="s">
        <v>116</v>
      </c>
      <c r="BF9" s="75">
        <v>47.098618000000002</v>
      </c>
      <c r="BG9" s="75">
        <v>-84.712419999999995</v>
      </c>
      <c r="BH9" s="1"/>
    </row>
    <row r="10" spans="1:60" s="4" customFormat="1" ht="15">
      <c r="A10" s="72" t="s">
        <v>125</v>
      </c>
      <c r="B10" s="72" t="s">
        <v>3</v>
      </c>
      <c r="C10" s="73">
        <v>141.5</v>
      </c>
      <c r="D10" s="73">
        <v>-66.400000000000006</v>
      </c>
      <c r="E10" s="73">
        <v>8.4</v>
      </c>
      <c r="F10" s="72">
        <v>0</v>
      </c>
      <c r="G10" s="72">
        <v>4</v>
      </c>
      <c r="H10" s="38">
        <f t="shared" si="0"/>
        <v>-48.853736886033644</v>
      </c>
      <c r="I10" s="39">
        <f t="shared" si="1"/>
        <v>2.4696408915719763</v>
      </c>
      <c r="J10" s="39">
        <f t="shared" si="1"/>
        <v>-1.1588986233242349</v>
      </c>
      <c r="K10" s="39">
        <f t="shared" si="2"/>
        <v>0</v>
      </c>
      <c r="L10" s="39">
        <f t="shared" si="3"/>
        <v>0</v>
      </c>
      <c r="M10" s="39">
        <f t="shared" si="4"/>
        <v>0</v>
      </c>
      <c r="N10" s="40"/>
      <c r="O10" s="8">
        <v>47.098592717409304</v>
      </c>
      <c r="P10" s="8">
        <v>-84.712525542127906</v>
      </c>
      <c r="Q10" s="20"/>
      <c r="R10" s="41">
        <f t="shared" si="13"/>
        <v>71.70689879994957</v>
      </c>
      <c r="S10" s="42">
        <f t="shared" si="5"/>
        <v>-9.2178152962564819E-2</v>
      </c>
      <c r="T10" s="40"/>
      <c r="U10" s="43">
        <f t="shared" si="14"/>
        <v>-64.443165094093104</v>
      </c>
      <c r="V10" s="44">
        <f t="shared" si="6"/>
        <v>23.580575657922523</v>
      </c>
      <c r="W10" s="43">
        <f t="shared" si="7"/>
        <v>64.443165094093104</v>
      </c>
      <c r="X10" s="43">
        <f t="shared" si="8"/>
        <v>203.58057565792251</v>
      </c>
      <c r="Y10" s="39">
        <f t="shared" si="9"/>
        <v>1.124745411298206</v>
      </c>
      <c r="Z10" s="39">
        <f>X10*PI()/180</f>
        <v>3.553151338336169</v>
      </c>
      <c r="AA10" s="39" t="str">
        <f t="shared" si="10"/>
        <v/>
      </c>
      <c r="AB10" s="39" t="str">
        <f t="shared" si="11"/>
        <v/>
      </c>
      <c r="AC10" s="39" t="str">
        <f t="shared" si="12"/>
        <v/>
      </c>
      <c r="AD10" s="45"/>
      <c r="AE10" s="72" t="s">
        <v>125</v>
      </c>
      <c r="AF10" s="72" t="s">
        <v>0</v>
      </c>
      <c r="AG10" s="49" t="s">
        <v>3</v>
      </c>
      <c r="AH10" s="72" t="s">
        <v>0</v>
      </c>
      <c r="AI10" s="71">
        <v>88.826200000000014</v>
      </c>
      <c r="AJ10" s="72" t="s">
        <v>0</v>
      </c>
      <c r="AK10" s="72">
        <v>4</v>
      </c>
      <c r="AL10" s="72" t="s">
        <v>0</v>
      </c>
      <c r="AM10" s="72">
        <v>209.1</v>
      </c>
      <c r="AN10" s="72" t="s">
        <v>0</v>
      </c>
      <c r="AO10" s="72">
        <v>-46.8</v>
      </c>
      <c r="AP10" s="72" t="s">
        <v>0</v>
      </c>
      <c r="AQ10" s="72">
        <v>141.5</v>
      </c>
      <c r="AR10" s="72" t="s">
        <v>0</v>
      </c>
      <c r="AS10" s="72">
        <v>-66.400000000000006</v>
      </c>
      <c r="AT10" s="72" t="s">
        <v>0</v>
      </c>
      <c r="AU10" s="72">
        <v>8.4</v>
      </c>
      <c r="AV10" s="72" t="s">
        <v>0</v>
      </c>
      <c r="AW10" s="71">
        <v>120.7</v>
      </c>
      <c r="AX10" s="72" t="s">
        <v>0</v>
      </c>
      <c r="AY10" s="72" t="s">
        <v>2</v>
      </c>
      <c r="AZ10" s="72" t="s">
        <v>0</v>
      </c>
      <c r="BA10" s="72" t="s">
        <v>90</v>
      </c>
      <c r="BB10" s="72" t="s">
        <v>0</v>
      </c>
      <c r="BC10" s="72" t="s">
        <v>78</v>
      </c>
      <c r="BD10" s="1"/>
      <c r="BE10" s="72" t="s">
        <v>116</v>
      </c>
      <c r="BF10" s="75">
        <v>47.098592717409304</v>
      </c>
      <c r="BG10" s="75">
        <v>-84.712525542127906</v>
      </c>
      <c r="BH10" s="1"/>
    </row>
    <row r="11" spans="1:60" s="4" customFormat="1" ht="15">
      <c r="A11" s="72" t="s">
        <v>125</v>
      </c>
      <c r="B11" s="72" t="s">
        <v>93</v>
      </c>
      <c r="C11" s="73">
        <v>126.6</v>
      </c>
      <c r="D11" s="73">
        <v>-72.7</v>
      </c>
      <c r="E11" s="73">
        <v>4.5</v>
      </c>
      <c r="F11" s="72">
        <v>0</v>
      </c>
      <c r="G11" s="72">
        <v>6</v>
      </c>
      <c r="H11" s="38">
        <f t="shared" si="0"/>
        <v>-58.079957085332737</v>
      </c>
      <c r="I11" s="39">
        <f t="shared" si="1"/>
        <v>2.2095868330248214</v>
      </c>
      <c r="J11" s="39">
        <f t="shared" si="1"/>
        <v>-1.2688543661998775</v>
      </c>
      <c r="K11" s="39">
        <f t="shared" si="2"/>
        <v>0</v>
      </c>
      <c r="L11" s="39">
        <f t="shared" si="3"/>
        <v>0</v>
      </c>
      <c r="M11" s="39">
        <f t="shared" si="4"/>
        <v>0</v>
      </c>
      <c r="N11" s="40"/>
      <c r="O11" s="8">
        <f>AVERAGE(O10,O12)</f>
        <v>47.098579757573702</v>
      </c>
      <c r="P11" s="8">
        <f>AVERAGE(P10,P12)</f>
        <v>-84.712552454480857</v>
      </c>
      <c r="Q11" s="20"/>
      <c r="R11" s="41">
        <f t="shared" si="13"/>
        <v>50.744818907318177</v>
      </c>
      <c r="S11" s="42">
        <f t="shared" si="5"/>
        <v>-0.23613272867461788</v>
      </c>
      <c r="T11" s="40"/>
      <c r="U11" s="43">
        <f t="shared" si="14"/>
        <v>-56.757515526493421</v>
      </c>
      <c r="V11" s="44">
        <f t="shared" si="6"/>
        <v>44.542628638200966</v>
      </c>
      <c r="W11" s="43">
        <f t="shared" si="7"/>
        <v>56.757515526493421</v>
      </c>
      <c r="X11" s="43">
        <f t="shared" si="8"/>
        <v>224.54262863820097</v>
      </c>
      <c r="Y11" s="39">
        <f t="shared" si="9"/>
        <v>0.99060552118911305</v>
      </c>
      <c r="Z11" s="39">
        <f t="shared" si="9"/>
        <v>3.9190081808195183</v>
      </c>
      <c r="AA11" s="39" t="str">
        <f t="shared" si="10"/>
        <v/>
      </c>
      <c r="AB11" s="39" t="str">
        <f t="shared" si="11"/>
        <v/>
      </c>
      <c r="AC11" s="39" t="str">
        <f t="shared" si="12"/>
        <v/>
      </c>
      <c r="AD11" s="45"/>
      <c r="AE11" s="72" t="s">
        <v>125</v>
      </c>
      <c r="AF11" s="72" t="s">
        <v>0</v>
      </c>
      <c r="AG11" s="49" t="s">
        <v>93</v>
      </c>
      <c r="AH11" s="72" t="s">
        <v>0</v>
      </c>
      <c r="AI11" s="71">
        <f>AI7+21</f>
        <v>89.126200000000011</v>
      </c>
      <c r="AJ11" s="72" t="s">
        <v>0</v>
      </c>
      <c r="AK11" s="72">
        <v>6</v>
      </c>
      <c r="AL11" s="72" t="s">
        <v>0</v>
      </c>
      <c r="AM11" s="72">
        <v>218.3</v>
      </c>
      <c r="AN11" s="72" t="s">
        <v>0</v>
      </c>
      <c r="AO11" s="72">
        <v>-52.3</v>
      </c>
      <c r="AP11" s="72" t="s">
        <v>0</v>
      </c>
      <c r="AQ11" s="72">
        <v>126.6</v>
      </c>
      <c r="AR11" s="72" t="s">
        <v>0</v>
      </c>
      <c r="AS11" s="72">
        <v>-72.7</v>
      </c>
      <c r="AT11" s="72" t="s">
        <v>0</v>
      </c>
      <c r="AU11" s="72">
        <v>5.0999999999999996</v>
      </c>
      <c r="AV11" s="72" t="s">
        <v>0</v>
      </c>
      <c r="AW11" s="71">
        <v>179</v>
      </c>
      <c r="AX11" s="72" t="s">
        <v>0</v>
      </c>
      <c r="AY11" s="72" t="s">
        <v>2</v>
      </c>
      <c r="AZ11" s="72" t="s">
        <v>0</v>
      </c>
      <c r="BA11" s="72" t="s">
        <v>90</v>
      </c>
      <c r="BB11" s="72" t="s">
        <v>0</v>
      </c>
      <c r="BC11" s="72" t="s">
        <v>92</v>
      </c>
      <c r="BD11" s="1"/>
      <c r="BE11" s="72" t="s">
        <v>116</v>
      </c>
      <c r="BF11" s="75">
        <f>AVERAGE(BF10,BF12)</f>
        <v>47.098579757573702</v>
      </c>
      <c r="BG11" s="75">
        <f>AVERAGE(BG10,BG12)</f>
        <v>-84.712552454480857</v>
      </c>
      <c r="BH11" s="1"/>
    </row>
    <row r="12" spans="1:60" s="4" customFormat="1" ht="15">
      <c r="A12" s="72" t="s">
        <v>125</v>
      </c>
      <c r="B12" s="72" t="s">
        <v>4</v>
      </c>
      <c r="C12" s="73">
        <v>122.6</v>
      </c>
      <c r="D12" s="73">
        <v>-72.900000000000006</v>
      </c>
      <c r="E12" s="73">
        <v>9.6</v>
      </c>
      <c r="F12" s="72">
        <v>0</v>
      </c>
      <c r="G12" s="72">
        <v>4</v>
      </c>
      <c r="H12" s="38">
        <f t="shared" si="0"/>
        <v>-58.396831447950397</v>
      </c>
      <c r="I12" s="39">
        <f t="shared" si="1"/>
        <v>2.1397736629450481</v>
      </c>
      <c r="J12" s="39">
        <f t="shared" si="1"/>
        <v>-1.2723450247038663</v>
      </c>
      <c r="K12" s="39">
        <f t="shared" si="2"/>
        <v>0</v>
      </c>
      <c r="L12" s="39">
        <f t="shared" si="3"/>
        <v>0</v>
      </c>
      <c r="M12" s="39">
        <f t="shared" si="4"/>
        <v>0</v>
      </c>
      <c r="N12" s="40"/>
      <c r="O12" s="8">
        <v>47.098566797738101</v>
      </c>
      <c r="P12" s="8">
        <v>-84.712579366833793</v>
      </c>
      <c r="Q12" s="20"/>
      <c r="R12" s="41">
        <f t="shared" si="13"/>
        <v>49.808029346707855</v>
      </c>
      <c r="S12" s="42">
        <f t="shared" si="5"/>
        <v>-0.25389356607688085</v>
      </c>
      <c r="T12" s="40"/>
      <c r="U12" s="43">
        <f t="shared" si="14"/>
        <v>-54.694923165224566</v>
      </c>
      <c r="V12" s="44">
        <f t="shared" si="6"/>
        <v>45.479391286458352</v>
      </c>
      <c r="W12" s="43">
        <f t="shared" si="7"/>
        <v>54.694923165224566</v>
      </c>
      <c r="X12" s="43">
        <f t="shared" si="8"/>
        <v>225.47939128645834</v>
      </c>
      <c r="Y12" s="39">
        <f t="shared" si="9"/>
        <v>0.95460649335848713</v>
      </c>
      <c r="Z12" s="39">
        <f t="shared" si="9"/>
        <v>3.9353577733413108</v>
      </c>
      <c r="AA12" s="39" t="str">
        <f t="shared" si="10"/>
        <v/>
      </c>
      <c r="AB12" s="39" t="str">
        <f t="shared" si="11"/>
        <v/>
      </c>
      <c r="AC12" s="39" t="str">
        <f t="shared" si="12"/>
        <v/>
      </c>
      <c r="AD12" s="45"/>
      <c r="AE12" s="72" t="s">
        <v>125</v>
      </c>
      <c r="AF12" s="72" t="s">
        <v>0</v>
      </c>
      <c r="AG12" s="49" t="s">
        <v>4</v>
      </c>
      <c r="AH12" s="72" t="s">
        <v>0</v>
      </c>
      <c r="AI12" s="71">
        <v>90.426200000000009</v>
      </c>
      <c r="AJ12" s="72" t="s">
        <v>0</v>
      </c>
      <c r="AK12" s="72">
        <v>4</v>
      </c>
      <c r="AL12" s="72" t="s">
        <v>0</v>
      </c>
      <c r="AM12" s="72">
        <v>219.1</v>
      </c>
      <c r="AN12" s="72" t="s">
        <v>0</v>
      </c>
      <c r="AO12" s="72">
        <v>-53.5</v>
      </c>
      <c r="AP12" s="72" t="s">
        <v>0</v>
      </c>
      <c r="AQ12" s="72">
        <v>122.6</v>
      </c>
      <c r="AR12" s="72" t="s">
        <v>0</v>
      </c>
      <c r="AS12" s="72">
        <v>-72.900000000000006</v>
      </c>
      <c r="AT12" s="72" t="s">
        <v>0</v>
      </c>
      <c r="AU12" s="72">
        <v>9.6</v>
      </c>
      <c r="AV12" s="72" t="s">
        <v>0</v>
      </c>
      <c r="AW12" s="71">
        <v>92.7</v>
      </c>
      <c r="AX12" s="72" t="s">
        <v>0</v>
      </c>
      <c r="AY12" s="72" t="s">
        <v>2</v>
      </c>
      <c r="AZ12" s="72" t="s">
        <v>0</v>
      </c>
      <c r="BA12" s="72" t="s">
        <v>90</v>
      </c>
      <c r="BB12" s="72" t="s">
        <v>0</v>
      </c>
      <c r="BC12" s="72" t="s">
        <v>78</v>
      </c>
      <c r="BD12" s="1"/>
      <c r="BE12" s="72" t="s">
        <v>116</v>
      </c>
      <c r="BF12" s="75">
        <v>47.098566797738101</v>
      </c>
      <c r="BG12" s="75">
        <v>-84.712579366833793</v>
      </c>
      <c r="BH12" s="1"/>
    </row>
    <row r="13" spans="1:60" s="4" customFormat="1" ht="15">
      <c r="A13" s="72" t="s">
        <v>125</v>
      </c>
      <c r="B13" s="72" t="s">
        <v>94</v>
      </c>
      <c r="C13" s="73">
        <v>108.9</v>
      </c>
      <c r="D13" s="73">
        <v>-67.099999999999994</v>
      </c>
      <c r="E13" s="73">
        <v>7.4</v>
      </c>
      <c r="F13" s="72">
        <v>0</v>
      </c>
      <c r="G13" s="72">
        <v>5</v>
      </c>
      <c r="H13" s="38">
        <f t="shared" si="0"/>
        <v>-49.80777040236476</v>
      </c>
      <c r="I13" s="39">
        <f t="shared" si="1"/>
        <v>1.9006635554218252</v>
      </c>
      <c r="J13" s="39">
        <f t="shared" si="1"/>
        <v>-1.1711159280881951</v>
      </c>
      <c r="K13" s="39">
        <f t="shared" si="2"/>
        <v>0</v>
      </c>
      <c r="L13" s="39">
        <f t="shared" si="3"/>
        <v>0</v>
      </c>
      <c r="M13" s="39">
        <f t="shared" si="4"/>
        <v>0</v>
      </c>
      <c r="N13" s="40"/>
      <c r="O13" s="8">
        <v>47.098498999999997</v>
      </c>
      <c r="P13" s="8">
        <v>-84.712599999999995</v>
      </c>
      <c r="Q13" s="20"/>
      <c r="R13" s="41">
        <f t="shared" si="13"/>
        <v>58.998858726485729</v>
      </c>
      <c r="S13" s="42">
        <f t="shared" si="5"/>
        <v>-0.24974858521042487</v>
      </c>
      <c r="T13" s="40"/>
      <c r="U13" s="43">
        <f t="shared" si="14"/>
        <v>-44.576964591865874</v>
      </c>
      <c r="V13" s="44">
        <f t="shared" si="6"/>
        <v>36.288541273514276</v>
      </c>
      <c r="W13" s="43">
        <f t="shared" si="7"/>
        <v>44.576964591865874</v>
      </c>
      <c r="X13" s="43">
        <f t="shared" si="8"/>
        <v>216.28854127351428</v>
      </c>
      <c r="Y13" s="39">
        <f t="shared" si="9"/>
        <v>0.77801480267298984</v>
      </c>
      <c r="Z13" s="39">
        <f t="shared" si="9"/>
        <v>3.7749471795584739</v>
      </c>
      <c r="AA13" s="39" t="str">
        <f t="shared" si="10"/>
        <v/>
      </c>
      <c r="AB13" s="39" t="str">
        <f t="shared" si="11"/>
        <v/>
      </c>
      <c r="AC13" s="39" t="str">
        <f t="shared" si="12"/>
        <v/>
      </c>
      <c r="AD13" s="45"/>
      <c r="AE13" s="72" t="s">
        <v>125</v>
      </c>
      <c r="AF13" s="72" t="s">
        <v>0</v>
      </c>
      <c r="AG13" s="49" t="s">
        <v>94</v>
      </c>
      <c r="AH13" s="72" t="s">
        <v>0</v>
      </c>
      <c r="AI13" s="71">
        <f>AI7+26</f>
        <v>94.126200000000011</v>
      </c>
      <c r="AJ13" s="72" t="s">
        <v>0</v>
      </c>
      <c r="AK13" s="72">
        <v>5</v>
      </c>
      <c r="AL13" s="72" t="s">
        <v>0</v>
      </c>
      <c r="AM13" s="73">
        <v>211</v>
      </c>
      <c r="AN13" s="72" t="s">
        <v>0</v>
      </c>
      <c r="AO13" s="72">
        <v>-59.4</v>
      </c>
      <c r="AP13" s="72" t="s">
        <v>0</v>
      </c>
      <c r="AQ13" s="73">
        <v>109</v>
      </c>
      <c r="AR13" s="72" t="s">
        <v>0</v>
      </c>
      <c r="AS13" s="72">
        <v>-67.099999999999994</v>
      </c>
      <c r="AT13" s="72" t="s">
        <v>0</v>
      </c>
      <c r="AU13" s="72">
        <v>7.4</v>
      </c>
      <c r="AV13" s="72" t="s">
        <v>0</v>
      </c>
      <c r="AW13" s="71">
        <v>87</v>
      </c>
      <c r="AX13" s="72" t="s">
        <v>0</v>
      </c>
      <c r="AY13" s="72" t="s">
        <v>2</v>
      </c>
      <c r="AZ13" s="72" t="s">
        <v>0</v>
      </c>
      <c r="BA13" s="72" t="s">
        <v>90</v>
      </c>
      <c r="BB13" s="72" t="s">
        <v>0</v>
      </c>
      <c r="BC13" s="72" t="s">
        <v>92</v>
      </c>
      <c r="BD13" s="1"/>
      <c r="BE13" s="72" t="s">
        <v>116</v>
      </c>
      <c r="BF13" s="75">
        <v>47.098498999999997</v>
      </c>
      <c r="BG13" s="75">
        <v>-84.712599999999995</v>
      </c>
      <c r="BH13" s="1"/>
    </row>
    <row r="14" spans="1:60" s="4" customFormat="1" ht="15">
      <c r="A14" s="72" t="s">
        <v>125</v>
      </c>
      <c r="B14" s="72" t="s">
        <v>95</v>
      </c>
      <c r="C14" s="73">
        <v>128.9</v>
      </c>
      <c r="D14" s="73">
        <v>-72.400000000000006</v>
      </c>
      <c r="E14" s="73">
        <v>2.2999999999999998</v>
      </c>
      <c r="F14" s="72">
        <v>0</v>
      </c>
      <c r="G14" s="72">
        <v>3</v>
      </c>
      <c r="H14" s="38">
        <f t="shared" si="0"/>
        <v>-57.607431497584663</v>
      </c>
      <c r="I14" s="39">
        <f t="shared" si="1"/>
        <v>2.2497294058206907</v>
      </c>
      <c r="J14" s="39">
        <f t="shared" si="1"/>
        <v>-1.2636183784438946</v>
      </c>
      <c r="K14" s="39">
        <f t="shared" si="2"/>
        <v>0</v>
      </c>
      <c r="L14" s="39">
        <f t="shared" si="3"/>
        <v>0</v>
      </c>
      <c r="M14" s="39">
        <f t="shared" si="4"/>
        <v>0</v>
      </c>
      <c r="N14" s="40"/>
      <c r="O14" s="8">
        <v>47.098453999999997</v>
      </c>
      <c r="P14" s="8">
        <v>-84.712644999999995</v>
      </c>
      <c r="Q14" s="20"/>
      <c r="R14" s="41">
        <f t="shared" si="13"/>
        <v>51.77418959649458</v>
      </c>
      <c r="S14" s="42">
        <f t="shared" si="5"/>
        <v>-0.2235460842905258</v>
      </c>
      <c r="T14" s="40"/>
      <c r="U14" s="43">
        <f t="shared" si="14"/>
        <v>-57.946210036318519</v>
      </c>
      <c r="V14" s="44">
        <f t="shared" si="6"/>
        <v>43.513165403505425</v>
      </c>
      <c r="W14" s="43">
        <f t="shared" si="7"/>
        <v>57.946210036318519</v>
      </c>
      <c r="X14" s="43">
        <f t="shared" si="8"/>
        <v>223.51316540350541</v>
      </c>
      <c r="Y14" s="39">
        <f t="shared" si="9"/>
        <v>1.0113521541859412</v>
      </c>
      <c r="Z14" s="39">
        <f t="shared" si="9"/>
        <v>3.9010406578458494</v>
      </c>
      <c r="AA14" s="39" t="str">
        <f t="shared" si="10"/>
        <v/>
      </c>
      <c r="AB14" s="39" t="str">
        <f t="shared" si="11"/>
        <v/>
      </c>
      <c r="AC14" s="39" t="str">
        <f t="shared" si="12"/>
        <v/>
      </c>
      <c r="AD14" s="45"/>
      <c r="AE14" s="72" t="s">
        <v>125</v>
      </c>
      <c r="AF14" s="72" t="s">
        <v>0</v>
      </c>
      <c r="AG14" s="49" t="s">
        <v>95</v>
      </c>
      <c r="AH14" s="72" t="s">
        <v>0</v>
      </c>
      <c r="AI14" s="71">
        <f>AI7+31</f>
        <v>99.126200000000011</v>
      </c>
      <c r="AJ14" s="72" t="s">
        <v>0</v>
      </c>
      <c r="AK14" s="72">
        <v>3</v>
      </c>
      <c r="AL14" s="72" t="s">
        <v>0</v>
      </c>
      <c r="AM14" s="72">
        <v>217.6</v>
      </c>
      <c r="AN14" s="72" t="s">
        <v>0</v>
      </c>
      <c r="AO14" s="72">
        <v>-51.7</v>
      </c>
      <c r="AP14" s="72" t="s">
        <v>0</v>
      </c>
      <c r="AQ14" s="72">
        <v>129</v>
      </c>
      <c r="AR14" s="72" t="s">
        <v>0</v>
      </c>
      <c r="AS14" s="72">
        <v>-72.400000000000006</v>
      </c>
      <c r="AT14" s="72" t="s">
        <v>0</v>
      </c>
      <c r="AU14" s="72">
        <v>2.2999999999999998</v>
      </c>
      <c r="AV14" s="72" t="s">
        <v>0</v>
      </c>
      <c r="AW14" s="71">
        <v>1878</v>
      </c>
      <c r="AX14" s="72" t="s">
        <v>0</v>
      </c>
      <c r="AY14" s="72" t="s">
        <v>2</v>
      </c>
      <c r="AZ14" s="72" t="s">
        <v>0</v>
      </c>
      <c r="BA14" s="72" t="s">
        <v>90</v>
      </c>
      <c r="BB14" s="72" t="s">
        <v>0</v>
      </c>
      <c r="BC14" s="72" t="s">
        <v>92</v>
      </c>
      <c r="BD14" s="1"/>
      <c r="BE14" s="72" t="s">
        <v>116</v>
      </c>
      <c r="BF14" s="75">
        <v>47.098453999999997</v>
      </c>
      <c r="BG14" s="75">
        <v>-84.712644999999995</v>
      </c>
      <c r="BH14" s="1"/>
    </row>
    <row r="15" spans="1:60" s="4" customFormat="1" ht="15">
      <c r="A15" s="72" t="s">
        <v>125</v>
      </c>
      <c r="B15" s="72" t="s">
        <v>96</v>
      </c>
      <c r="C15" s="73">
        <v>138.69999999999999</v>
      </c>
      <c r="D15" s="73">
        <v>-70.7</v>
      </c>
      <c r="E15" s="73">
        <v>5.5</v>
      </c>
      <c r="F15" s="72">
        <v>0</v>
      </c>
      <c r="G15" s="72">
        <v>3</v>
      </c>
      <c r="H15" s="38">
        <f t="shared" si="0"/>
        <v>-54.99298416235213</v>
      </c>
      <c r="I15" s="39">
        <f t="shared" si="1"/>
        <v>2.420771672516135</v>
      </c>
      <c r="J15" s="39">
        <f t="shared" si="1"/>
        <v>-1.233947781159991</v>
      </c>
      <c r="K15" s="39">
        <f t="shared" si="2"/>
        <v>0</v>
      </c>
      <c r="L15" s="39">
        <f t="shared" si="3"/>
        <v>0</v>
      </c>
      <c r="M15" s="39">
        <f t="shared" si="4"/>
        <v>0</v>
      </c>
      <c r="N15" s="40"/>
      <c r="O15" s="8">
        <v>47.098443000000003</v>
      </c>
      <c r="P15" s="8">
        <v>-84.712665000000001</v>
      </c>
      <c r="Q15" s="20"/>
      <c r="R15" s="41">
        <f t="shared" si="13"/>
        <v>57.428518949905474</v>
      </c>
      <c r="S15" s="42">
        <f t="shared" si="5"/>
        <v>-0.1646555346117774</v>
      </c>
      <c r="T15" s="40"/>
      <c r="U15" s="43">
        <f t="shared" si="14"/>
        <v>-63.301728501400618</v>
      </c>
      <c r="V15" s="44">
        <f t="shared" si="6"/>
        <v>37.858816050094525</v>
      </c>
      <c r="W15" s="43">
        <f t="shared" si="7"/>
        <v>63.301728501400618</v>
      </c>
      <c r="X15" s="43">
        <f t="shared" si="8"/>
        <v>217.85881605009453</v>
      </c>
      <c r="Y15" s="39">
        <f t="shared" si="9"/>
        <v>1.1048235845529766</v>
      </c>
      <c r="Z15" s="39">
        <f t="shared" si="9"/>
        <v>3.8023536445708173</v>
      </c>
      <c r="AA15" s="39" t="str">
        <f t="shared" si="10"/>
        <v/>
      </c>
      <c r="AB15" s="39" t="str">
        <f t="shared" si="11"/>
        <v/>
      </c>
      <c r="AC15" s="39" t="str">
        <f t="shared" si="12"/>
        <v/>
      </c>
      <c r="AD15" s="45"/>
      <c r="AE15" s="72" t="s">
        <v>125</v>
      </c>
      <c r="AF15" s="72" t="s">
        <v>0</v>
      </c>
      <c r="AG15" s="49" t="s">
        <v>96</v>
      </c>
      <c r="AH15" s="72" t="s">
        <v>0</v>
      </c>
      <c r="AI15" s="71">
        <f>AI7+32</f>
        <v>100.12620000000001</v>
      </c>
      <c r="AJ15" s="72" t="s">
        <v>0</v>
      </c>
      <c r="AK15" s="72">
        <v>3</v>
      </c>
      <c r="AL15" s="72" t="s">
        <v>0</v>
      </c>
      <c r="AM15" s="72">
        <v>215.1</v>
      </c>
      <c r="AN15" s="72" t="s">
        <v>0</v>
      </c>
      <c r="AO15" s="72">
        <v>-48.5</v>
      </c>
      <c r="AP15" s="72" t="s">
        <v>0</v>
      </c>
      <c r="AQ15" s="72">
        <v>138.69999999999999</v>
      </c>
      <c r="AR15" s="72" t="s">
        <v>0</v>
      </c>
      <c r="AS15" s="72">
        <v>-70.7</v>
      </c>
      <c r="AT15" s="72" t="s">
        <v>0</v>
      </c>
      <c r="AU15" s="72">
        <v>5.5</v>
      </c>
      <c r="AV15" s="72" t="s">
        <v>0</v>
      </c>
      <c r="AW15" s="71">
        <v>336</v>
      </c>
      <c r="AX15" s="72" t="s">
        <v>0</v>
      </c>
      <c r="AY15" s="72" t="s">
        <v>2</v>
      </c>
      <c r="AZ15" s="72" t="s">
        <v>0</v>
      </c>
      <c r="BA15" s="72" t="s">
        <v>90</v>
      </c>
      <c r="BB15" s="72" t="s">
        <v>0</v>
      </c>
      <c r="BC15" s="72" t="s">
        <v>92</v>
      </c>
      <c r="BD15" s="1"/>
      <c r="BE15" s="72" t="s">
        <v>116</v>
      </c>
      <c r="BF15" s="75">
        <v>47.098443000000003</v>
      </c>
      <c r="BG15" s="75">
        <v>-84.712665000000001</v>
      </c>
      <c r="BH15" s="1"/>
    </row>
    <row r="16" spans="1:60" s="4" customFormat="1" ht="15">
      <c r="A16" s="72" t="s">
        <v>125</v>
      </c>
      <c r="B16" s="72" t="s">
        <v>5</v>
      </c>
      <c r="C16" s="73">
        <v>125.8</v>
      </c>
      <c r="D16" s="73">
        <v>-67.2</v>
      </c>
      <c r="E16" s="73">
        <v>6.6</v>
      </c>
      <c r="F16" s="72">
        <v>0</v>
      </c>
      <c r="G16" s="72">
        <v>6</v>
      </c>
      <c r="H16" s="38">
        <f t="shared" si="0"/>
        <v>-49.945475714289167</v>
      </c>
      <c r="I16" s="39">
        <f t="shared" si="1"/>
        <v>2.1956241990088663</v>
      </c>
      <c r="J16" s="39">
        <f t="shared" si="1"/>
        <v>-1.1728612573401895</v>
      </c>
      <c r="K16" s="39">
        <f t="shared" si="2"/>
        <v>0</v>
      </c>
      <c r="L16" s="39">
        <f t="shared" si="3"/>
        <v>0</v>
      </c>
      <c r="M16" s="39">
        <f t="shared" si="4"/>
        <v>0</v>
      </c>
      <c r="N16" s="40"/>
      <c r="O16" s="8">
        <v>47.098407588585196</v>
      </c>
      <c r="P16" s="8">
        <v>-84.712717973514799</v>
      </c>
      <c r="Q16" s="20"/>
      <c r="R16" s="41">
        <f t="shared" si="13"/>
        <v>64.82565527479241</v>
      </c>
      <c r="S16" s="42">
        <f t="shared" si="5"/>
        <v>-0.1669977603898346</v>
      </c>
      <c r="T16" s="40"/>
      <c r="U16" s="43">
        <f t="shared" si="14"/>
        <v>-54.780520547276438</v>
      </c>
      <c r="V16" s="44">
        <f t="shared" si="6"/>
        <v>30.461626751692791</v>
      </c>
      <c r="W16" s="43">
        <f t="shared" si="7"/>
        <v>54.780520547276438</v>
      </c>
      <c r="X16" s="43">
        <f t="shared" si="8"/>
        <v>210.46162675169279</v>
      </c>
      <c r="Y16" s="39">
        <f t="shared" si="9"/>
        <v>0.95610044950637985</v>
      </c>
      <c r="Z16" s="39">
        <f t="shared" si="9"/>
        <v>3.6732483359204178</v>
      </c>
      <c r="AA16" s="39" t="str">
        <f t="shared" si="10"/>
        <v/>
      </c>
      <c r="AB16" s="39" t="str">
        <f t="shared" si="11"/>
        <v/>
      </c>
      <c r="AC16" s="39" t="str">
        <f t="shared" si="12"/>
        <v/>
      </c>
      <c r="AD16" s="45"/>
      <c r="AE16" s="72" t="s">
        <v>125</v>
      </c>
      <c r="AF16" s="72" t="s">
        <v>0</v>
      </c>
      <c r="AG16" s="49" t="s">
        <v>5</v>
      </c>
      <c r="AH16" s="72" t="s">
        <v>0</v>
      </c>
      <c r="AI16" s="71">
        <v>104.82620000000001</v>
      </c>
      <c r="AJ16" s="72" t="s">
        <v>0</v>
      </c>
      <c r="AK16" s="72">
        <v>6</v>
      </c>
      <c r="AL16" s="72" t="s">
        <v>0</v>
      </c>
      <c r="AM16" s="72">
        <v>209.4</v>
      </c>
      <c r="AN16" s="72" t="s">
        <v>0</v>
      </c>
      <c r="AO16" s="72">
        <v>-53.1</v>
      </c>
      <c r="AP16" s="72" t="s">
        <v>0</v>
      </c>
      <c r="AQ16" s="72">
        <v>125.8</v>
      </c>
      <c r="AR16" s="72" t="s">
        <v>0</v>
      </c>
      <c r="AS16" s="72">
        <v>-67.2</v>
      </c>
      <c r="AT16" s="72" t="s">
        <v>0</v>
      </c>
      <c r="AU16" s="72">
        <v>6.6</v>
      </c>
      <c r="AV16" s="72" t="s">
        <v>0</v>
      </c>
      <c r="AW16" s="71">
        <v>105.1</v>
      </c>
      <c r="AX16" s="72" t="s">
        <v>0</v>
      </c>
      <c r="AY16" s="72" t="s">
        <v>2</v>
      </c>
      <c r="AZ16" s="72" t="s">
        <v>0</v>
      </c>
      <c r="BA16" s="72" t="s">
        <v>90</v>
      </c>
      <c r="BB16" s="72" t="s">
        <v>0</v>
      </c>
      <c r="BC16" s="72" t="s">
        <v>78</v>
      </c>
      <c r="BD16" s="1"/>
      <c r="BE16" s="72" t="s">
        <v>116</v>
      </c>
      <c r="BF16" s="75">
        <v>47.098407588585196</v>
      </c>
      <c r="BG16" s="75">
        <v>-84.712717973514799</v>
      </c>
      <c r="BH16" s="1"/>
    </row>
    <row r="17" spans="1:60" s="5" customFormat="1" ht="15">
      <c r="A17" s="72" t="s">
        <v>125</v>
      </c>
      <c r="B17" s="72" t="s">
        <v>97</v>
      </c>
      <c r="C17" s="73">
        <v>117</v>
      </c>
      <c r="D17" s="73">
        <v>-63.7</v>
      </c>
      <c r="E17" s="73">
        <v>5</v>
      </c>
      <c r="F17" s="72">
        <v>0</v>
      </c>
      <c r="G17" s="72">
        <v>5</v>
      </c>
      <c r="H17" s="38">
        <f t="shared" si="0"/>
        <v>-45.332466119557715</v>
      </c>
      <c r="I17" s="39">
        <f t="shared" si="1"/>
        <v>2.0420352248333655</v>
      </c>
      <c r="J17" s="39">
        <f t="shared" si="1"/>
        <v>-1.111774733520388</v>
      </c>
      <c r="K17" s="39">
        <f t="shared" si="2"/>
        <v>0</v>
      </c>
      <c r="L17" s="39">
        <f t="shared" si="3"/>
        <v>0</v>
      </c>
      <c r="M17" s="39">
        <f t="shared" si="4"/>
        <v>0</v>
      </c>
      <c r="N17" s="37"/>
      <c r="O17" s="8">
        <f>AVERAGE(O16,O18)</f>
        <v>47.098359058458797</v>
      </c>
      <c r="P17" s="8">
        <f>AVERAGE(P16,P18)</f>
        <v>-84.712766177417308</v>
      </c>
      <c r="Q17" s="20"/>
      <c r="R17" s="41">
        <f t="shared" si="13"/>
        <v>68.213728278199483</v>
      </c>
      <c r="S17" s="42">
        <f t="shared" si="5"/>
        <v>-0.17042792366043624</v>
      </c>
      <c r="T17" s="37"/>
      <c r="U17" s="43">
        <f t="shared" si="14"/>
        <v>-47.580769996838768</v>
      </c>
      <c r="V17" s="44">
        <f t="shared" si="6"/>
        <v>27.07350554438321</v>
      </c>
      <c r="W17" s="43">
        <f t="shared" si="7"/>
        <v>47.580769996838768</v>
      </c>
      <c r="X17" s="43">
        <f t="shared" si="8"/>
        <v>207.07350554438321</v>
      </c>
      <c r="Y17" s="39">
        <f t="shared" si="9"/>
        <v>0.83044109707896852</v>
      </c>
      <c r="Z17" s="39">
        <f t="shared" si="9"/>
        <v>3.6141144653962201</v>
      </c>
      <c r="AA17" s="39" t="str">
        <f t="shared" si="10"/>
        <v/>
      </c>
      <c r="AB17" s="39" t="str">
        <f t="shared" si="11"/>
        <v/>
      </c>
      <c r="AC17" s="39" t="str">
        <f t="shared" si="12"/>
        <v/>
      </c>
      <c r="AD17" s="46"/>
      <c r="AE17" s="72" t="s">
        <v>125</v>
      </c>
      <c r="AF17" s="72" t="s">
        <v>0</v>
      </c>
      <c r="AG17" s="49" t="s">
        <v>97</v>
      </c>
      <c r="AH17" s="72" t="s">
        <v>0</v>
      </c>
      <c r="AI17" s="71">
        <f>AI7+37</f>
        <v>105.12620000000001</v>
      </c>
      <c r="AJ17" s="72" t="s">
        <v>0</v>
      </c>
      <c r="AK17" s="72">
        <v>4</v>
      </c>
      <c r="AL17" s="72" t="s">
        <v>0</v>
      </c>
      <c r="AM17" s="72">
        <v>205.8</v>
      </c>
      <c r="AN17" s="72" t="s">
        <v>0</v>
      </c>
      <c r="AO17" s="72">
        <v>-55.8</v>
      </c>
      <c r="AP17" s="72" t="s">
        <v>0</v>
      </c>
      <c r="AQ17" s="72">
        <v>119.1</v>
      </c>
      <c r="AR17" s="72" t="s">
        <v>0</v>
      </c>
      <c r="AS17" s="72">
        <v>-65.099999999999994</v>
      </c>
      <c r="AT17" s="72" t="s">
        <v>0</v>
      </c>
      <c r="AU17" s="72">
        <v>4.7</v>
      </c>
      <c r="AV17" s="72" t="s">
        <v>0</v>
      </c>
      <c r="AW17" s="71">
        <v>290</v>
      </c>
      <c r="AX17" s="72" t="s">
        <v>0</v>
      </c>
      <c r="AY17" s="72" t="s">
        <v>7</v>
      </c>
      <c r="AZ17" s="72" t="s">
        <v>0</v>
      </c>
      <c r="BA17" s="72" t="s">
        <v>90</v>
      </c>
      <c r="BB17" s="72" t="s">
        <v>0</v>
      </c>
      <c r="BC17" s="72" t="s">
        <v>92</v>
      </c>
      <c r="BD17" s="1"/>
      <c r="BE17" s="72" t="s">
        <v>116</v>
      </c>
      <c r="BF17" s="75">
        <f>AVERAGE(BF16,BF18)</f>
        <v>47.098359058458797</v>
      </c>
      <c r="BG17" s="75">
        <f>AVERAGE(BG16,BG18)</f>
        <v>-84.712766177417308</v>
      </c>
      <c r="BH17" s="1"/>
    </row>
    <row r="18" spans="1:60" s="5" customFormat="1" ht="15">
      <c r="A18" s="72" t="s">
        <v>125</v>
      </c>
      <c r="B18" s="72" t="s">
        <v>6</v>
      </c>
      <c r="C18" s="73">
        <v>122</v>
      </c>
      <c r="D18" s="73">
        <v>-64.599999999999994</v>
      </c>
      <c r="E18" s="73">
        <v>2.6</v>
      </c>
      <c r="F18" s="72">
        <v>0</v>
      </c>
      <c r="G18" s="72">
        <v>4</v>
      </c>
      <c r="H18" s="38">
        <f t="shared" si="0"/>
        <v>-46.478746009287129</v>
      </c>
      <c r="I18" s="39">
        <f t="shared" si="1"/>
        <v>2.1293016874330819</v>
      </c>
      <c r="J18" s="39">
        <f t="shared" si="1"/>
        <v>-1.1274826967883367</v>
      </c>
      <c r="K18" s="39">
        <f t="shared" si="2"/>
        <v>0</v>
      </c>
      <c r="L18" s="39">
        <f t="shared" si="3"/>
        <v>0</v>
      </c>
      <c r="M18" s="39">
        <f t="shared" si="4"/>
        <v>0</v>
      </c>
      <c r="N18" s="37"/>
      <c r="O18" s="8">
        <v>47.098310528332398</v>
      </c>
      <c r="P18" s="8">
        <v>-84.712814381319802</v>
      </c>
      <c r="Q18" s="20"/>
      <c r="R18" s="41">
        <f t="shared" si="13"/>
        <v>68.817266521989609</v>
      </c>
      <c r="S18" s="42">
        <f t="shared" si="5"/>
        <v>-0.15405935636996126</v>
      </c>
      <c r="T18" s="37"/>
      <c r="U18" s="43">
        <f t="shared" si="14"/>
        <v>-51.222070895252045</v>
      </c>
      <c r="V18" s="44">
        <f t="shared" si="6"/>
        <v>26.469919096690589</v>
      </c>
      <c r="W18" s="43">
        <f t="shared" si="7"/>
        <v>51.222070895252045</v>
      </c>
      <c r="X18" s="43">
        <f t="shared" si="8"/>
        <v>206.4699190966906</v>
      </c>
      <c r="Y18" s="39">
        <f t="shared" si="9"/>
        <v>0.89399378681210762</v>
      </c>
      <c r="Z18" s="39">
        <f t="shared" si="9"/>
        <v>3.6035798945635671</v>
      </c>
      <c r="AA18" s="39" t="str">
        <f t="shared" si="10"/>
        <v/>
      </c>
      <c r="AB18" s="39" t="str">
        <f t="shared" si="11"/>
        <v/>
      </c>
      <c r="AC18" s="39" t="str">
        <f t="shared" si="12"/>
        <v/>
      </c>
      <c r="AD18" s="46"/>
      <c r="AE18" s="72" t="s">
        <v>125</v>
      </c>
      <c r="AF18" s="72" t="s">
        <v>0</v>
      </c>
      <c r="AG18" s="49" t="s">
        <v>6</v>
      </c>
      <c r="AH18" s="72" t="s">
        <v>0</v>
      </c>
      <c r="AI18" s="71">
        <v>108.82620000000001</v>
      </c>
      <c r="AJ18" s="72" t="s">
        <v>0</v>
      </c>
      <c r="AK18" s="72">
        <v>4</v>
      </c>
      <c r="AL18" s="72" t="s">
        <v>0</v>
      </c>
      <c r="AM18" s="72">
        <v>205.1</v>
      </c>
      <c r="AN18" s="72" t="s">
        <v>0</v>
      </c>
      <c r="AO18" s="72">
        <v>-54.7</v>
      </c>
      <c r="AP18" s="72" t="s">
        <v>0</v>
      </c>
      <c r="AQ18" s="73">
        <v>122</v>
      </c>
      <c r="AR18" s="72" t="s">
        <v>0</v>
      </c>
      <c r="AS18" s="72">
        <v>-64.599999999999994</v>
      </c>
      <c r="AT18" s="72" t="s">
        <v>0</v>
      </c>
      <c r="AU18" s="72">
        <v>2.6</v>
      </c>
      <c r="AV18" s="72" t="s">
        <v>0</v>
      </c>
      <c r="AW18" s="71">
        <v>1205</v>
      </c>
      <c r="AX18" s="72" t="s">
        <v>0</v>
      </c>
      <c r="AY18" s="72" t="s">
        <v>7</v>
      </c>
      <c r="AZ18" s="72" t="s">
        <v>0</v>
      </c>
      <c r="BA18" s="72" t="s">
        <v>90</v>
      </c>
      <c r="BB18" s="72" t="s">
        <v>0</v>
      </c>
      <c r="BC18" s="72" t="s">
        <v>78</v>
      </c>
      <c r="BD18" s="1"/>
      <c r="BE18" s="72" t="s">
        <v>116</v>
      </c>
      <c r="BF18" s="75">
        <v>47.098310528332398</v>
      </c>
      <c r="BG18" s="75">
        <v>-84.712814381319802</v>
      </c>
      <c r="BH18" s="1"/>
    </row>
    <row r="19" spans="1:60" s="5" customFormat="1" ht="15">
      <c r="A19" s="72" t="s">
        <v>8</v>
      </c>
      <c r="B19" s="72" t="s">
        <v>9</v>
      </c>
      <c r="C19" s="73">
        <v>78.599999999999994</v>
      </c>
      <c r="D19" s="73">
        <v>-75</v>
      </c>
      <c r="E19" s="73">
        <v>3.3</v>
      </c>
      <c r="F19" s="72">
        <v>0</v>
      </c>
      <c r="G19" s="72">
        <v>6</v>
      </c>
      <c r="H19" s="38">
        <f t="shared" si="0"/>
        <v>-61.813214567986478</v>
      </c>
      <c r="I19" s="39">
        <f t="shared" si="1"/>
        <v>1.3718287920675429</v>
      </c>
      <c r="J19" s="39">
        <f t="shared" si="1"/>
        <v>-1.3089969389957472</v>
      </c>
      <c r="K19" s="39">
        <f t="shared" si="2"/>
        <v>0</v>
      </c>
      <c r="L19" s="39">
        <f t="shared" si="3"/>
        <v>0</v>
      </c>
      <c r="M19" s="39">
        <f t="shared" si="4"/>
        <v>0</v>
      </c>
      <c r="N19" s="37"/>
      <c r="O19" s="8">
        <v>47.096718916783502</v>
      </c>
      <c r="P19" s="8">
        <v>-84.714674785375294</v>
      </c>
      <c r="Q19" s="20"/>
      <c r="R19" s="41">
        <f t="shared" si="13"/>
        <v>34.711100822351391</v>
      </c>
      <c r="S19" s="42">
        <f t="shared" si="5"/>
        <v>-0.45503652098257896</v>
      </c>
      <c r="T19" s="37"/>
      <c r="U19" s="43">
        <f t="shared" si="14"/>
        <v>-35.596973715505101</v>
      </c>
      <c r="V19" s="44">
        <f t="shared" si="6"/>
        <v>60.574224392273315</v>
      </c>
      <c r="W19" s="43">
        <f t="shared" si="7"/>
        <v>35.596973715505101</v>
      </c>
      <c r="X19" s="43">
        <f t="shared" si="8"/>
        <v>240.57422439227332</v>
      </c>
      <c r="Y19" s="39">
        <f>W19*PI()/180</f>
        <v>0.62128439508144329</v>
      </c>
      <c r="Z19" s="39">
        <f>X19*PI()/180</f>
        <v>4.1988123110768232</v>
      </c>
      <c r="AA19" s="39" t="str">
        <f t="shared" si="10"/>
        <v/>
      </c>
      <c r="AB19" s="39" t="str">
        <f t="shared" si="11"/>
        <v/>
      </c>
      <c r="AC19" s="39" t="str">
        <f t="shared" si="12"/>
        <v/>
      </c>
      <c r="AD19" s="46"/>
      <c r="AE19" s="72" t="s">
        <v>8</v>
      </c>
      <c r="AF19" s="72" t="s">
        <v>0</v>
      </c>
      <c r="AG19" s="49" t="s">
        <v>9</v>
      </c>
      <c r="AH19" s="72" t="s">
        <v>0</v>
      </c>
      <c r="AI19" s="71">
        <v>221.73150000000001</v>
      </c>
      <c r="AJ19" s="72" t="s">
        <v>0</v>
      </c>
      <c r="AK19" s="72">
        <v>6</v>
      </c>
      <c r="AL19" s="72" t="s">
        <v>0</v>
      </c>
      <c r="AM19" s="72">
        <v>249.8</v>
      </c>
      <c r="AN19" s="72" t="s">
        <v>0</v>
      </c>
      <c r="AO19" s="72">
        <v>-62.9</v>
      </c>
      <c r="AP19" s="72" t="s">
        <v>0</v>
      </c>
      <c r="AQ19" s="72">
        <v>78.599999999999994</v>
      </c>
      <c r="AR19" s="72" t="s">
        <v>0</v>
      </c>
      <c r="AS19" s="73">
        <v>-75</v>
      </c>
      <c r="AT19" s="72" t="s">
        <v>0</v>
      </c>
      <c r="AU19" s="72">
        <v>3.3</v>
      </c>
      <c r="AV19" s="72" t="s">
        <v>0</v>
      </c>
      <c r="AW19" s="71">
        <v>419</v>
      </c>
      <c r="AX19" s="72" t="s">
        <v>0</v>
      </c>
      <c r="AY19" s="72" t="s">
        <v>2</v>
      </c>
      <c r="AZ19" s="72" t="s">
        <v>0</v>
      </c>
      <c r="BA19" s="72" t="s">
        <v>90</v>
      </c>
      <c r="BB19" s="72" t="s">
        <v>0</v>
      </c>
      <c r="BC19" s="72" t="s">
        <v>78</v>
      </c>
      <c r="BD19" s="1"/>
      <c r="BE19" s="72" t="s">
        <v>116</v>
      </c>
      <c r="BF19" s="75">
        <v>47.096718916783502</v>
      </c>
      <c r="BG19" s="75">
        <v>-84.714674785375294</v>
      </c>
      <c r="BH19" s="1"/>
    </row>
    <row r="20" spans="1:60" s="3" customFormat="1" ht="15">
      <c r="A20" s="72" t="s">
        <v>126</v>
      </c>
      <c r="B20" s="72" t="s">
        <v>10</v>
      </c>
      <c r="C20" s="73">
        <v>120.3</v>
      </c>
      <c r="D20" s="73">
        <v>-67.099999999999994</v>
      </c>
      <c r="E20" s="73">
        <v>6.9</v>
      </c>
      <c r="F20" s="72">
        <v>0</v>
      </c>
      <c r="G20" s="72">
        <v>4</v>
      </c>
      <c r="H20" s="38">
        <f t="shared" si="0"/>
        <v>-49.80777040236476</v>
      </c>
      <c r="I20" s="39">
        <f t="shared" si="1"/>
        <v>2.0996310901491784</v>
      </c>
      <c r="J20" s="39">
        <f t="shared" si="1"/>
        <v>-1.1711159280881951</v>
      </c>
      <c r="K20" s="39">
        <f t="shared" si="2"/>
        <v>0</v>
      </c>
      <c r="L20" s="39">
        <f t="shared" si="3"/>
        <v>0</v>
      </c>
      <c r="M20" s="39">
        <f t="shared" si="4"/>
        <v>0</v>
      </c>
      <c r="N20" s="17"/>
      <c r="O20" s="8">
        <v>47.0946179616164</v>
      </c>
      <c r="P20" s="8">
        <v>-84.716266955079007</v>
      </c>
      <c r="Q20" s="47"/>
      <c r="R20" s="41">
        <f t="shared" si="13"/>
        <v>63.192646147619129</v>
      </c>
      <c r="S20" s="42">
        <f t="shared" si="5"/>
        <v>-0.19167609455745727</v>
      </c>
      <c r="T20" s="37"/>
      <c r="U20" s="43">
        <f t="shared" si="14"/>
        <v>-51.369939652629029</v>
      </c>
      <c r="V20" s="44">
        <f t="shared" si="6"/>
        <v>32.091086897301864</v>
      </c>
      <c r="W20" s="43">
        <f t="shared" si="7"/>
        <v>51.369939652629029</v>
      </c>
      <c r="X20" s="43">
        <f t="shared" si="8"/>
        <v>212.09108689730186</v>
      </c>
      <c r="Y20" s="39">
        <f t="shared" si="9"/>
        <v>0.89657458348916874</v>
      </c>
      <c r="Z20" s="39">
        <f t="shared" si="9"/>
        <v>3.7016877804913224</v>
      </c>
      <c r="AA20" s="39" t="str">
        <f t="shared" si="10"/>
        <v/>
      </c>
      <c r="AB20" s="39" t="str">
        <f t="shared" si="11"/>
        <v/>
      </c>
      <c r="AC20" s="39" t="str">
        <f t="shared" si="12"/>
        <v/>
      </c>
      <c r="AD20" s="17"/>
      <c r="AE20" s="72" t="s">
        <v>126</v>
      </c>
      <c r="AF20" s="72" t="s">
        <v>0</v>
      </c>
      <c r="AG20" s="49" t="s">
        <v>10</v>
      </c>
      <c r="AH20" s="72" t="s">
        <v>0</v>
      </c>
      <c r="AI20" s="71">
        <v>369.55250000000001</v>
      </c>
      <c r="AJ20" s="72" t="s">
        <v>0</v>
      </c>
      <c r="AK20" s="72">
        <v>4</v>
      </c>
      <c r="AL20" s="72" t="s">
        <v>0</v>
      </c>
      <c r="AM20" s="72">
        <v>212.4</v>
      </c>
      <c r="AN20" s="72" t="s">
        <v>0</v>
      </c>
      <c r="AO20" s="72">
        <v>-51.8</v>
      </c>
      <c r="AP20" s="72" t="s">
        <v>0</v>
      </c>
      <c r="AQ20" s="72">
        <v>120.3</v>
      </c>
      <c r="AR20" s="72" t="s">
        <v>0</v>
      </c>
      <c r="AS20" s="72">
        <v>-67.099999999999994</v>
      </c>
      <c r="AT20" s="72" t="s">
        <v>0</v>
      </c>
      <c r="AU20" s="72">
        <v>6.9</v>
      </c>
      <c r="AV20" s="72" t="s">
        <v>0</v>
      </c>
      <c r="AW20" s="71">
        <v>178.6</v>
      </c>
      <c r="AX20" s="72" t="s">
        <v>0</v>
      </c>
      <c r="AY20" s="72" t="s">
        <v>2</v>
      </c>
      <c r="AZ20" s="72" t="s">
        <v>0</v>
      </c>
      <c r="BA20" s="72" t="s">
        <v>90</v>
      </c>
      <c r="BB20" s="72" t="s">
        <v>0</v>
      </c>
      <c r="BC20" s="72" t="s">
        <v>78</v>
      </c>
      <c r="BD20" s="1"/>
      <c r="BE20" s="72" t="s">
        <v>116</v>
      </c>
      <c r="BF20" s="75">
        <v>47.0946179616164</v>
      </c>
      <c r="BG20" s="75">
        <v>-84.716266955079007</v>
      </c>
      <c r="BH20" s="1"/>
    </row>
    <row r="21" spans="1:60" s="3" customFormat="1" ht="15">
      <c r="A21" s="72" t="s">
        <v>126</v>
      </c>
      <c r="B21" s="72" t="s">
        <v>169</v>
      </c>
      <c r="C21" s="73">
        <v>118.5</v>
      </c>
      <c r="D21" s="73">
        <v>-73.5</v>
      </c>
      <c r="E21" s="73">
        <v>5.9</v>
      </c>
      <c r="F21" s="72">
        <v>0</v>
      </c>
      <c r="G21" s="72">
        <v>6</v>
      </c>
      <c r="H21" s="38">
        <f t="shared" si="0"/>
        <v>-59.356354883405288</v>
      </c>
      <c r="I21" s="39">
        <f t="shared" si="1"/>
        <v>2.0682151636132806</v>
      </c>
      <c r="J21" s="39">
        <f t="shared" si="1"/>
        <v>-1.2828170002158323</v>
      </c>
      <c r="K21" s="39">
        <f t="shared" si="2"/>
        <v>0</v>
      </c>
      <c r="L21" s="39">
        <f t="shared" si="3"/>
        <v>0</v>
      </c>
      <c r="M21" s="39">
        <f t="shared" si="4"/>
        <v>0</v>
      </c>
      <c r="N21" s="17"/>
      <c r="O21" s="8">
        <f>AVERAGE(O20,O22)</f>
        <v>47.094546688044701</v>
      </c>
      <c r="P21" s="8">
        <f>AVERAGE(P20,P22)</f>
        <v>-84.716302947481907</v>
      </c>
      <c r="Q21" s="47"/>
      <c r="R21" s="41">
        <f t="shared" si="13"/>
        <v>47.700539839552484</v>
      </c>
      <c r="S21" s="42">
        <f t="shared" si="5"/>
        <v>-0.27747498165833551</v>
      </c>
      <c r="T21" s="37"/>
      <c r="U21" s="43">
        <f t="shared" si="14"/>
        <v>-52.727389923096212</v>
      </c>
      <c r="V21" s="44">
        <f t="shared" si="6"/>
        <v>47.58315721296561</v>
      </c>
      <c r="W21" s="43">
        <f t="shared" si="7"/>
        <v>52.727389923096212</v>
      </c>
      <c r="X21" s="43">
        <f t="shared" si="8"/>
        <v>227.5831572129656</v>
      </c>
      <c r="Y21" s="39">
        <f t="shared" si="9"/>
        <v>0.92026656014090846</v>
      </c>
      <c r="Z21" s="39">
        <f t="shared" si="9"/>
        <v>3.9720754154501314</v>
      </c>
      <c r="AA21" s="39" t="str">
        <f t="shared" si="10"/>
        <v/>
      </c>
      <c r="AB21" s="39" t="str">
        <f t="shared" si="11"/>
        <v/>
      </c>
      <c r="AC21" s="39" t="str">
        <f t="shared" si="12"/>
        <v/>
      </c>
      <c r="AD21" s="17"/>
      <c r="AE21" s="72" t="s">
        <v>126</v>
      </c>
      <c r="AF21" s="72" t="s">
        <v>0</v>
      </c>
      <c r="AG21" s="49" t="s">
        <v>169</v>
      </c>
      <c r="AH21" s="72" t="s">
        <v>0</v>
      </c>
      <c r="AI21" s="71">
        <v>376.9</v>
      </c>
      <c r="AJ21" s="72" t="s">
        <v>0</v>
      </c>
      <c r="AK21" s="72">
        <v>6</v>
      </c>
      <c r="AL21" s="72" t="s">
        <v>0</v>
      </c>
      <c r="AM21" s="72">
        <v>222.3</v>
      </c>
      <c r="AN21" s="72" t="s">
        <v>0</v>
      </c>
      <c r="AO21" s="72">
        <v>-50.7</v>
      </c>
      <c r="AP21" s="72" t="s">
        <v>0</v>
      </c>
      <c r="AQ21" s="72">
        <v>118.5</v>
      </c>
      <c r="AR21" s="72" t="s">
        <v>0</v>
      </c>
      <c r="AS21" s="72">
        <v>-73.5</v>
      </c>
      <c r="AT21" s="72" t="s">
        <v>0</v>
      </c>
      <c r="AU21" s="72">
        <v>5.9</v>
      </c>
      <c r="AV21" s="72" t="s">
        <v>0</v>
      </c>
      <c r="AW21" s="71">
        <v>108</v>
      </c>
      <c r="AX21" s="72" t="s">
        <v>0</v>
      </c>
      <c r="AY21" s="72" t="s">
        <v>2</v>
      </c>
      <c r="AZ21" s="72" t="s">
        <v>0</v>
      </c>
      <c r="BA21" s="72" t="s">
        <v>90</v>
      </c>
      <c r="BB21" s="72" t="s">
        <v>0</v>
      </c>
      <c r="BC21" s="72" t="s">
        <v>92</v>
      </c>
      <c r="BD21" s="1"/>
      <c r="BE21" s="72" t="s">
        <v>116</v>
      </c>
      <c r="BF21" s="75">
        <f>AVERAGE(BF20,BF22)</f>
        <v>47.094546688044701</v>
      </c>
      <c r="BG21" s="75">
        <f>AVERAGE(BG20,BG22)</f>
        <v>-84.716302947481907</v>
      </c>
      <c r="BH21" s="1"/>
    </row>
    <row r="22" spans="1:60" s="3" customFormat="1" ht="15">
      <c r="A22" s="72" t="s">
        <v>126</v>
      </c>
      <c r="B22" s="72" t="s">
        <v>11</v>
      </c>
      <c r="C22" s="73">
        <v>94.7</v>
      </c>
      <c r="D22" s="73">
        <v>-84.7</v>
      </c>
      <c r="E22" s="73">
        <v>1.8</v>
      </c>
      <c r="F22" s="72">
        <v>0</v>
      </c>
      <c r="G22" s="72">
        <v>6</v>
      </c>
      <c r="H22" s="38">
        <f t="shared" si="0"/>
        <v>-79.489179607040782</v>
      </c>
      <c r="I22" s="39">
        <f t="shared" si="1"/>
        <v>1.65282680163863</v>
      </c>
      <c r="J22" s="39">
        <f t="shared" si="1"/>
        <v>-1.4782938764391971</v>
      </c>
      <c r="K22" s="39">
        <f t="shared" si="2"/>
        <v>0</v>
      </c>
      <c r="L22" s="39">
        <f t="shared" si="3"/>
        <v>0</v>
      </c>
      <c r="M22" s="39">
        <f t="shared" si="4"/>
        <v>0</v>
      </c>
      <c r="N22" s="17"/>
      <c r="O22" s="8">
        <v>47.094475414473003</v>
      </c>
      <c r="P22" s="8">
        <v>-84.716338939884807</v>
      </c>
      <c r="Q22" s="47"/>
      <c r="R22" s="41">
        <f t="shared" si="13"/>
        <v>15.436297013421596</v>
      </c>
      <c r="S22" s="42">
        <f t="shared" si="5"/>
        <v>-0.44824644444879713</v>
      </c>
      <c r="T22" s="37"/>
      <c r="U22" s="43">
        <f t="shared" si="14"/>
        <v>-46.916804712661218</v>
      </c>
      <c r="V22" s="44">
        <f t="shared" si="6"/>
        <v>79.847364046693599</v>
      </c>
      <c r="W22" s="43">
        <f t="shared" si="7"/>
        <v>46.916804712661218</v>
      </c>
      <c r="X22" s="43">
        <f t="shared" si="8"/>
        <v>259.8473640466936</v>
      </c>
      <c r="Y22" s="39">
        <f t="shared" si="9"/>
        <v>0.81885271675113036</v>
      </c>
      <c r="Z22" s="39">
        <f t="shared" si="9"/>
        <v>4.5351920552431393</v>
      </c>
      <c r="AA22" s="39" t="str">
        <f t="shared" si="10"/>
        <v/>
      </c>
      <c r="AB22" s="39" t="str">
        <f t="shared" si="11"/>
        <v/>
      </c>
      <c r="AC22" s="39" t="str">
        <f t="shared" si="12"/>
        <v/>
      </c>
      <c r="AD22" s="17"/>
      <c r="AE22" s="72" t="s">
        <v>126</v>
      </c>
      <c r="AF22" s="72" t="s">
        <v>0</v>
      </c>
      <c r="AG22" s="49" t="s">
        <v>11</v>
      </c>
      <c r="AH22" s="72" t="s">
        <v>0</v>
      </c>
      <c r="AI22" s="71">
        <v>389.7525</v>
      </c>
      <c r="AJ22" s="72" t="s">
        <v>0</v>
      </c>
      <c r="AK22" s="72">
        <v>6</v>
      </c>
      <c r="AL22" s="72" t="s">
        <v>0</v>
      </c>
      <c r="AM22" s="72">
        <v>240</v>
      </c>
      <c r="AN22" s="72" t="s">
        <v>0</v>
      </c>
      <c r="AO22" s="72">
        <v>-47.5</v>
      </c>
      <c r="AP22" s="72" t="s">
        <v>0</v>
      </c>
      <c r="AQ22" s="72">
        <v>94.7</v>
      </c>
      <c r="AR22" s="72" t="s">
        <v>0</v>
      </c>
      <c r="AS22" s="72">
        <v>-84.7</v>
      </c>
      <c r="AT22" s="72" t="s">
        <v>0</v>
      </c>
      <c r="AU22" s="72">
        <v>1.8</v>
      </c>
      <c r="AV22" s="72" t="s">
        <v>0</v>
      </c>
      <c r="AW22" s="71">
        <v>1343</v>
      </c>
      <c r="AX22" s="72" t="s">
        <v>0</v>
      </c>
      <c r="AY22" s="72" t="s">
        <v>12</v>
      </c>
      <c r="AZ22" s="72" t="s">
        <v>0</v>
      </c>
      <c r="BA22" s="72" t="s">
        <v>90</v>
      </c>
      <c r="BB22" s="72" t="s">
        <v>0</v>
      </c>
      <c r="BC22" s="72" t="s">
        <v>78</v>
      </c>
      <c r="BD22" s="1"/>
      <c r="BE22" s="72" t="s">
        <v>116</v>
      </c>
      <c r="BF22" s="75">
        <v>47.094475414473003</v>
      </c>
      <c r="BG22" s="75">
        <v>-84.716338939884807</v>
      </c>
      <c r="BH22" s="1"/>
    </row>
    <row r="23" spans="1:60" s="3" customFormat="1" ht="15">
      <c r="A23" s="72" t="s">
        <v>126</v>
      </c>
      <c r="B23" s="72" t="s">
        <v>13</v>
      </c>
      <c r="C23" s="73">
        <v>119.6</v>
      </c>
      <c r="D23" s="73">
        <v>-80.099999999999994</v>
      </c>
      <c r="E23" s="73">
        <v>4.7</v>
      </c>
      <c r="F23" s="72">
        <v>0</v>
      </c>
      <c r="G23" s="72">
        <v>4</v>
      </c>
      <c r="H23" s="38">
        <f t="shared" si="0"/>
        <v>-70.758158800220755</v>
      </c>
      <c r="I23" s="39">
        <f t="shared" si="1"/>
        <v>2.0874137853852179</v>
      </c>
      <c r="J23" s="39">
        <f t="shared" si="1"/>
        <v>-1.3980087308474578</v>
      </c>
      <c r="K23" s="39">
        <f t="shared" si="2"/>
        <v>0</v>
      </c>
      <c r="L23" s="39">
        <f t="shared" si="3"/>
        <v>0</v>
      </c>
      <c r="M23" s="39">
        <f t="shared" si="4"/>
        <v>0</v>
      </c>
      <c r="N23" s="17"/>
      <c r="O23" s="8">
        <v>47.094317779253103</v>
      </c>
      <c r="P23" s="8">
        <v>-84.716556521651995</v>
      </c>
      <c r="Q23" s="47"/>
      <c r="R23" s="41">
        <f t="shared" si="13"/>
        <v>28.693615204271069</v>
      </c>
      <c r="S23" s="42">
        <f t="shared" si="5"/>
        <v>-0.35641454624650026</v>
      </c>
      <c r="T23" s="37"/>
      <c r="U23" s="43">
        <f t="shared" si="14"/>
        <v>-53.357693632861469</v>
      </c>
      <c r="V23" s="44">
        <f t="shared" si="6"/>
        <v>66.589828274076936</v>
      </c>
      <c r="W23" s="43">
        <f t="shared" si="7"/>
        <v>53.357693632861469</v>
      </c>
      <c r="X23" s="43">
        <f t="shared" si="8"/>
        <v>246.58982827407692</v>
      </c>
      <c r="Y23" s="39">
        <f t="shared" ref="Y23:Z38" si="15">W23*PI()/180</f>
        <v>0.93126743516384702</v>
      </c>
      <c r="Z23" s="39">
        <f t="shared" si="15"/>
        <v>4.3038044053100482</v>
      </c>
      <c r="AA23" s="39" t="str">
        <f t="shared" si="10"/>
        <v/>
      </c>
      <c r="AB23" s="39" t="str">
        <f t="shared" si="11"/>
        <v/>
      </c>
      <c r="AC23" s="39" t="str">
        <f t="shared" si="12"/>
        <v/>
      </c>
      <c r="AD23" s="17"/>
      <c r="AE23" s="72" t="s">
        <v>126</v>
      </c>
      <c r="AF23" s="72" t="s">
        <v>0</v>
      </c>
      <c r="AG23" s="49" t="s">
        <v>13</v>
      </c>
      <c r="AH23" s="72" t="s">
        <v>0</v>
      </c>
      <c r="AI23" s="71">
        <v>396.85250000000002</v>
      </c>
      <c r="AJ23" s="72" t="s">
        <v>0</v>
      </c>
      <c r="AK23" s="72">
        <v>4</v>
      </c>
      <c r="AL23" s="72" t="s">
        <v>0</v>
      </c>
      <c r="AM23" s="72">
        <v>231.7</v>
      </c>
      <c r="AN23" s="72" t="s">
        <v>0</v>
      </c>
      <c r="AO23" s="73">
        <v>-48</v>
      </c>
      <c r="AP23" s="72" t="s">
        <v>0</v>
      </c>
      <c r="AQ23" s="72">
        <v>119.6</v>
      </c>
      <c r="AR23" s="72" t="s">
        <v>0</v>
      </c>
      <c r="AS23" s="72">
        <v>-80.099999999999994</v>
      </c>
      <c r="AT23" s="72" t="s">
        <v>0</v>
      </c>
      <c r="AU23" s="72">
        <v>4.7</v>
      </c>
      <c r="AV23" s="72" t="s">
        <v>0</v>
      </c>
      <c r="AW23" s="71">
        <v>384.3</v>
      </c>
      <c r="AX23" s="72" t="s">
        <v>0</v>
      </c>
      <c r="AY23" s="72" t="s">
        <v>7</v>
      </c>
      <c r="AZ23" s="72" t="s">
        <v>0</v>
      </c>
      <c r="BA23" s="72" t="s">
        <v>90</v>
      </c>
      <c r="BB23" s="72" t="s">
        <v>0</v>
      </c>
      <c r="BC23" s="72" t="s">
        <v>78</v>
      </c>
      <c r="BD23" s="1"/>
      <c r="BE23" s="72" t="s">
        <v>116</v>
      </c>
      <c r="BF23" s="75">
        <v>47.094317779253103</v>
      </c>
      <c r="BG23" s="75">
        <v>-84.716556521651995</v>
      </c>
      <c r="BH23" s="1"/>
    </row>
    <row r="24" spans="1:60" s="3" customFormat="1" ht="15">
      <c r="A24" s="72" t="s">
        <v>126</v>
      </c>
      <c r="B24" s="72" t="s">
        <v>98</v>
      </c>
      <c r="C24" s="73">
        <v>86.9</v>
      </c>
      <c r="D24" s="73">
        <v>-77.7</v>
      </c>
      <c r="E24" s="73">
        <v>3.3</v>
      </c>
      <c r="F24" s="72">
        <v>0</v>
      </c>
      <c r="G24" s="72">
        <v>4</v>
      </c>
      <c r="H24" s="38">
        <f t="shared" si="0"/>
        <v>-66.439403256176263</v>
      </c>
      <c r="I24" s="39">
        <f t="shared" si="1"/>
        <v>1.5166911199830724</v>
      </c>
      <c r="J24" s="39">
        <f t="shared" si="1"/>
        <v>-1.3561208287995941</v>
      </c>
      <c r="K24" s="39">
        <f t="shared" si="2"/>
        <v>0</v>
      </c>
      <c r="L24" s="39">
        <f t="shared" si="3"/>
        <v>0</v>
      </c>
      <c r="M24" s="39">
        <f t="shared" si="4"/>
        <v>0</v>
      </c>
      <c r="N24" s="17"/>
      <c r="O24" s="8">
        <f>AVERAGE(O23,O25)</f>
        <v>47.094202074640506</v>
      </c>
      <c r="P24" s="8">
        <f>AVERAGE(P23,P25)</f>
        <v>-84.716620768419006</v>
      </c>
      <c r="Q24" s="47"/>
      <c r="R24" s="41">
        <f t="shared" si="13"/>
        <v>31.954578542215923</v>
      </c>
      <c r="S24" s="42">
        <f t="shared" si="5"/>
        <v>-0.43562426909783331</v>
      </c>
      <c r="T24" s="37"/>
      <c r="U24" s="43">
        <f t="shared" si="14"/>
        <v>-41.048459875781106</v>
      </c>
      <c r="V24" s="44">
        <f t="shared" si="6"/>
        <v>63.328800689365067</v>
      </c>
      <c r="W24" s="43">
        <f t="shared" si="7"/>
        <v>41.048459875781106</v>
      </c>
      <c r="X24" s="43">
        <f t="shared" si="8"/>
        <v>243.32880068936507</v>
      </c>
      <c r="Y24" s="39">
        <f t="shared" si="15"/>
        <v>0.71643077770516284</v>
      </c>
      <c r="Z24" s="39">
        <f t="shared" si="15"/>
        <v>4.2468887369584678</v>
      </c>
      <c r="AA24" s="39" t="str">
        <f t="shared" si="10"/>
        <v/>
      </c>
      <c r="AB24" s="39" t="str">
        <f t="shared" si="11"/>
        <v/>
      </c>
      <c r="AC24" s="39" t="str">
        <f t="shared" si="12"/>
        <v/>
      </c>
      <c r="AD24" s="17"/>
      <c r="AE24" s="72" t="s">
        <v>126</v>
      </c>
      <c r="AF24" s="72" t="s">
        <v>0</v>
      </c>
      <c r="AG24" s="49" t="s">
        <v>98</v>
      </c>
      <c r="AH24" s="72" t="s">
        <v>0</v>
      </c>
      <c r="AI24" s="71">
        <f>AI20+30</f>
        <v>399.55250000000001</v>
      </c>
      <c r="AJ24" s="72" t="s">
        <v>0</v>
      </c>
      <c r="AK24" s="72">
        <v>4</v>
      </c>
      <c r="AL24" s="72" t="s">
        <v>0</v>
      </c>
      <c r="AM24" s="72">
        <v>235.5</v>
      </c>
      <c r="AN24" s="72" t="s">
        <v>0</v>
      </c>
      <c r="AO24" s="72">
        <v>-54.2</v>
      </c>
      <c r="AP24" s="72" t="s">
        <v>0</v>
      </c>
      <c r="AQ24" s="72">
        <v>86.9</v>
      </c>
      <c r="AR24" s="72" t="s">
        <v>0</v>
      </c>
      <c r="AS24" s="72">
        <v>-77.7</v>
      </c>
      <c r="AT24" s="72" t="s">
        <v>0</v>
      </c>
      <c r="AU24" s="72">
        <v>3.3</v>
      </c>
      <c r="AV24" s="72" t="s">
        <v>0</v>
      </c>
      <c r="AW24" s="71">
        <v>594</v>
      </c>
      <c r="AX24" s="72" t="s">
        <v>0</v>
      </c>
      <c r="AY24" s="72" t="s">
        <v>7</v>
      </c>
      <c r="AZ24" s="72" t="s">
        <v>0</v>
      </c>
      <c r="BA24" s="72" t="s">
        <v>90</v>
      </c>
      <c r="BB24" s="72" t="s">
        <v>0</v>
      </c>
      <c r="BC24" s="72" t="s">
        <v>92</v>
      </c>
      <c r="BD24" s="1"/>
      <c r="BE24" s="72" t="s">
        <v>116</v>
      </c>
      <c r="BF24" s="75">
        <f>AVERAGE(BF23,BF25)</f>
        <v>47.094202074640506</v>
      </c>
      <c r="BG24" s="75">
        <f>AVERAGE(BG23,BG25)</f>
        <v>-84.716620768419006</v>
      </c>
      <c r="BH24" s="1"/>
    </row>
    <row r="25" spans="1:60" s="3" customFormat="1" ht="15">
      <c r="A25" s="72" t="s">
        <v>126</v>
      </c>
      <c r="B25" s="72" t="s">
        <v>14</v>
      </c>
      <c r="C25" s="73">
        <v>63.2</v>
      </c>
      <c r="D25" s="73">
        <v>-76.5</v>
      </c>
      <c r="E25" s="73">
        <v>5.8</v>
      </c>
      <c r="F25" s="72">
        <v>0</v>
      </c>
      <c r="G25" s="72">
        <v>6</v>
      </c>
      <c r="H25" s="38">
        <f t="shared" si="0"/>
        <v>-64.351659511224554</v>
      </c>
      <c r="I25" s="39">
        <f t="shared" si="1"/>
        <v>1.1030480872604163</v>
      </c>
      <c r="J25" s="39">
        <f t="shared" si="1"/>
        <v>-1.3351768777756621</v>
      </c>
      <c r="K25" s="39">
        <f t="shared" si="2"/>
        <v>0</v>
      </c>
      <c r="L25" s="39">
        <f t="shared" si="3"/>
        <v>0</v>
      </c>
      <c r="M25" s="39">
        <f t="shared" si="4"/>
        <v>0</v>
      </c>
      <c r="N25" s="17"/>
      <c r="O25" s="8">
        <v>47.094086370027902</v>
      </c>
      <c r="P25" s="8">
        <v>-84.716685015186002</v>
      </c>
      <c r="Q25" s="47"/>
      <c r="R25" s="41">
        <f t="shared" si="13"/>
        <v>27.048796941742157</v>
      </c>
      <c r="S25" s="42">
        <f t="shared" si="5"/>
        <v>-0.51513548287842692</v>
      </c>
      <c r="T25" s="37"/>
      <c r="U25" s="43">
        <f t="shared" si="14"/>
        <v>-31.832354342130031</v>
      </c>
      <c r="V25" s="44">
        <f t="shared" si="6"/>
        <v>68.234518043071844</v>
      </c>
      <c r="W25" s="43">
        <f t="shared" si="7"/>
        <v>31.832354342130031</v>
      </c>
      <c r="X25" s="43">
        <f t="shared" si="8"/>
        <v>248.23451804307183</v>
      </c>
      <c r="Y25" s="39">
        <f t="shared" si="15"/>
        <v>0.5555793919316826</v>
      </c>
      <c r="Z25" s="39">
        <f t="shared" si="15"/>
        <v>4.3325096569528743</v>
      </c>
      <c r="AA25" s="39" t="str">
        <f t="shared" si="10"/>
        <v/>
      </c>
      <c r="AB25" s="39" t="str">
        <f t="shared" si="11"/>
        <v/>
      </c>
      <c r="AC25" s="39" t="str">
        <f t="shared" si="12"/>
        <v/>
      </c>
      <c r="AD25" s="17"/>
      <c r="AE25" s="72" t="s">
        <v>126</v>
      </c>
      <c r="AF25" s="72" t="s">
        <v>0</v>
      </c>
      <c r="AG25" s="49" t="s">
        <v>14</v>
      </c>
      <c r="AH25" s="72" t="s">
        <v>0</v>
      </c>
      <c r="AI25" s="71">
        <v>402.05250000000001</v>
      </c>
      <c r="AJ25" s="72" t="s">
        <v>0</v>
      </c>
      <c r="AK25" s="72">
        <v>6</v>
      </c>
      <c r="AL25" s="72" t="s">
        <v>0</v>
      </c>
      <c r="AM25" s="72">
        <v>244.4</v>
      </c>
      <c r="AN25" s="72" t="s">
        <v>0</v>
      </c>
      <c r="AO25" s="72">
        <v>-56.5</v>
      </c>
      <c r="AP25" s="72" t="s">
        <v>0</v>
      </c>
      <c r="AQ25" s="72">
        <v>63.2</v>
      </c>
      <c r="AR25" s="72" t="s">
        <v>0</v>
      </c>
      <c r="AS25" s="72">
        <v>-76.5</v>
      </c>
      <c r="AT25" s="72" t="s">
        <v>0</v>
      </c>
      <c r="AU25" s="72">
        <v>5.8</v>
      </c>
      <c r="AV25" s="72" t="s">
        <v>0</v>
      </c>
      <c r="AW25" s="71">
        <v>133.5</v>
      </c>
      <c r="AX25" s="72" t="s">
        <v>0</v>
      </c>
      <c r="AY25" s="72" t="s">
        <v>12</v>
      </c>
      <c r="AZ25" s="72" t="s">
        <v>0</v>
      </c>
      <c r="BA25" s="72" t="s">
        <v>90</v>
      </c>
      <c r="BB25" s="72" t="s">
        <v>0</v>
      </c>
      <c r="BC25" s="72" t="s">
        <v>78</v>
      </c>
      <c r="BD25" s="1"/>
      <c r="BE25" s="72" t="s">
        <v>116</v>
      </c>
      <c r="BF25" s="75">
        <v>47.094086370027902</v>
      </c>
      <c r="BG25" s="75">
        <v>-84.716685015186002</v>
      </c>
      <c r="BH25" s="1"/>
    </row>
    <row r="26" spans="1:60" s="3" customFormat="1" ht="15">
      <c r="A26" s="72" t="s">
        <v>127</v>
      </c>
      <c r="B26" s="72" t="s">
        <v>15</v>
      </c>
      <c r="C26" s="73">
        <v>99.6</v>
      </c>
      <c r="D26" s="73">
        <v>-70.900000000000006</v>
      </c>
      <c r="E26" s="73">
        <v>6.5</v>
      </c>
      <c r="F26" s="72">
        <v>0</v>
      </c>
      <c r="G26" s="72">
        <v>6</v>
      </c>
      <c r="H26" s="38">
        <f t="shared" si="0"/>
        <v>-55.294994143154682</v>
      </c>
      <c r="I26" s="39">
        <f t="shared" si="1"/>
        <v>1.7383479349863522</v>
      </c>
      <c r="J26" s="39">
        <f t="shared" si="1"/>
        <v>-1.2374384396639797</v>
      </c>
      <c r="K26" s="39">
        <f t="shared" si="2"/>
        <v>0</v>
      </c>
      <c r="L26" s="39">
        <f t="shared" si="3"/>
        <v>0</v>
      </c>
      <c r="M26" s="39">
        <f t="shared" si="4"/>
        <v>0</v>
      </c>
      <c r="N26" s="17"/>
      <c r="O26" s="8">
        <v>47.091228470801603</v>
      </c>
      <c r="P26" s="8">
        <v>-84.718678316026001</v>
      </c>
      <c r="Q26" s="47"/>
      <c r="R26" s="41">
        <f t="shared" si="13"/>
        <v>48.874365217487721</v>
      </c>
      <c r="S26" s="42">
        <f t="shared" si="5"/>
        <v>-0.33371974486874362</v>
      </c>
      <c r="T26" s="37"/>
      <c r="U26" s="43">
        <f t="shared" si="14"/>
        <v>-41.818932427326075</v>
      </c>
      <c r="V26" s="44">
        <f t="shared" si="6"/>
        <v>46.406956466486278</v>
      </c>
      <c r="W26" s="43">
        <f t="shared" si="7"/>
        <v>41.818932427326075</v>
      </c>
      <c r="X26" s="43">
        <f t="shared" si="8"/>
        <v>226.40695646648629</v>
      </c>
      <c r="Y26" s="39">
        <f t="shared" si="15"/>
        <v>0.72987806052586424</v>
      </c>
      <c r="Z26" s="39">
        <f t="shared" si="15"/>
        <v>3.9515468397596529</v>
      </c>
      <c r="AA26" s="39" t="str">
        <f t="shared" si="10"/>
        <v/>
      </c>
      <c r="AB26" s="39" t="str">
        <f t="shared" si="11"/>
        <v/>
      </c>
      <c r="AC26" s="39" t="str">
        <f t="shared" si="12"/>
        <v/>
      </c>
      <c r="AD26" s="17"/>
      <c r="AE26" s="72" t="s">
        <v>127</v>
      </c>
      <c r="AF26" s="72" t="s">
        <v>0</v>
      </c>
      <c r="AG26" s="49" t="s">
        <v>15</v>
      </c>
      <c r="AH26" s="72" t="s">
        <v>0</v>
      </c>
      <c r="AI26" s="71">
        <v>583.57159999999999</v>
      </c>
      <c r="AJ26" s="72" t="s">
        <v>0</v>
      </c>
      <c r="AK26" s="72">
        <v>6</v>
      </c>
      <c r="AL26" s="72" t="s">
        <v>0</v>
      </c>
      <c r="AM26" s="72">
        <v>231.9</v>
      </c>
      <c r="AN26" s="72" t="s">
        <v>0</v>
      </c>
      <c r="AO26" s="72">
        <v>-55.4</v>
      </c>
      <c r="AP26" s="72" t="s">
        <v>0</v>
      </c>
      <c r="AQ26" s="72">
        <v>99.6</v>
      </c>
      <c r="AR26" s="72" t="s">
        <v>0</v>
      </c>
      <c r="AS26" s="72">
        <v>-70.900000000000006</v>
      </c>
      <c r="AT26" s="72" t="s">
        <v>0</v>
      </c>
      <c r="AU26" s="72">
        <v>6.5</v>
      </c>
      <c r="AV26" s="72" t="s">
        <v>0</v>
      </c>
      <c r="AW26" s="71">
        <v>108.6</v>
      </c>
      <c r="AX26" s="72" t="s">
        <v>0</v>
      </c>
      <c r="AY26" s="72" t="s">
        <v>2</v>
      </c>
      <c r="AZ26" s="72" t="s">
        <v>0</v>
      </c>
      <c r="BA26" s="72" t="s">
        <v>90</v>
      </c>
      <c r="BB26" s="72" t="s">
        <v>0</v>
      </c>
      <c r="BC26" s="72" t="s">
        <v>78</v>
      </c>
      <c r="BD26" s="1"/>
      <c r="BE26" s="72" t="s">
        <v>116</v>
      </c>
      <c r="BF26" s="75">
        <v>47.091228470801603</v>
      </c>
      <c r="BG26" s="75">
        <v>-84.718678316026001</v>
      </c>
      <c r="BH26" s="1"/>
    </row>
    <row r="27" spans="1:60" s="3" customFormat="1" ht="15">
      <c r="A27" s="72" t="s">
        <v>127</v>
      </c>
      <c r="B27" s="72" t="s">
        <v>16</v>
      </c>
      <c r="C27" s="73">
        <v>92.9</v>
      </c>
      <c r="D27" s="73">
        <v>-69.900000000000006</v>
      </c>
      <c r="E27" s="73">
        <v>2.7</v>
      </c>
      <c r="F27" s="72">
        <v>0</v>
      </c>
      <c r="G27" s="72">
        <v>5</v>
      </c>
      <c r="H27" s="38">
        <f t="shared" si="0"/>
        <v>-53.799749837056602</v>
      </c>
      <c r="I27" s="39">
        <f t="shared" si="1"/>
        <v>1.6214108751027323</v>
      </c>
      <c r="J27" s="39">
        <f t="shared" si="1"/>
        <v>-1.2199851471440364</v>
      </c>
      <c r="K27" s="39">
        <f t="shared" si="2"/>
        <v>0</v>
      </c>
      <c r="L27" s="39">
        <f t="shared" si="3"/>
        <v>0</v>
      </c>
      <c r="M27" s="39">
        <f t="shared" si="4"/>
        <v>0</v>
      </c>
      <c r="N27" s="17"/>
      <c r="O27" s="8">
        <v>47.091139870652299</v>
      </c>
      <c r="P27" s="8">
        <v>-84.718747984718306</v>
      </c>
      <c r="Q27" s="47"/>
      <c r="R27" s="41">
        <f t="shared" si="13"/>
        <v>48.193017729310142</v>
      </c>
      <c r="S27" s="42">
        <f t="shared" si="5"/>
        <v>-0.35915271210705718</v>
      </c>
      <c r="T27" s="37"/>
      <c r="U27" s="43">
        <f t="shared" si="14"/>
        <v>-37.690075250966785</v>
      </c>
      <c r="V27" s="44">
        <f t="shared" si="6"/>
        <v>47.088234285971552</v>
      </c>
      <c r="W27" s="43">
        <f t="shared" si="7"/>
        <v>37.690075250966785</v>
      </c>
      <c r="X27" s="43">
        <f t="shared" si="8"/>
        <v>227.08823428597157</v>
      </c>
      <c r="Y27" s="39">
        <f t="shared" si="15"/>
        <v>0.65781590845379856</v>
      </c>
      <c r="Z27" s="39">
        <f t="shared" si="15"/>
        <v>3.9634373808304781</v>
      </c>
      <c r="AA27" s="39" t="str">
        <f t="shared" si="10"/>
        <v/>
      </c>
      <c r="AB27" s="39" t="str">
        <f t="shared" si="11"/>
        <v/>
      </c>
      <c r="AC27" s="39" t="str">
        <f t="shared" si="12"/>
        <v/>
      </c>
      <c r="AD27" s="17"/>
      <c r="AE27" s="72" t="s">
        <v>127</v>
      </c>
      <c r="AF27" s="72" t="s">
        <v>0</v>
      </c>
      <c r="AG27" s="49" t="s">
        <v>16</v>
      </c>
      <c r="AH27" s="72" t="s">
        <v>0</v>
      </c>
      <c r="AI27" s="71">
        <v>587.37159999999994</v>
      </c>
      <c r="AJ27" s="72" t="s">
        <v>0</v>
      </c>
      <c r="AK27" s="72">
        <v>5</v>
      </c>
      <c r="AL27" s="72" t="s">
        <v>0</v>
      </c>
      <c r="AM27" s="72">
        <v>233.9</v>
      </c>
      <c r="AN27" s="72" t="s">
        <v>0</v>
      </c>
      <c r="AO27" s="72">
        <v>-57.6</v>
      </c>
      <c r="AP27" s="72" t="s">
        <v>0</v>
      </c>
      <c r="AQ27" s="72">
        <v>92.9</v>
      </c>
      <c r="AR27" s="72" t="s">
        <v>0</v>
      </c>
      <c r="AS27" s="72">
        <v>-69.900000000000006</v>
      </c>
      <c r="AT27" s="72" t="s">
        <v>0</v>
      </c>
      <c r="AU27" s="72">
        <v>2.7</v>
      </c>
      <c r="AV27" s="72" t="s">
        <v>0</v>
      </c>
      <c r="AW27" s="71">
        <v>813.9</v>
      </c>
      <c r="AX27" s="72" t="s">
        <v>0</v>
      </c>
      <c r="AY27" s="72" t="s">
        <v>12</v>
      </c>
      <c r="AZ27" s="72" t="s">
        <v>0</v>
      </c>
      <c r="BA27" s="72" t="s">
        <v>90</v>
      </c>
      <c r="BB27" s="72" t="s">
        <v>0</v>
      </c>
      <c r="BC27" s="72" t="s">
        <v>78</v>
      </c>
      <c r="BD27" s="1"/>
      <c r="BE27" s="72" t="s">
        <v>116</v>
      </c>
      <c r="BF27" s="75">
        <v>47.091139870652299</v>
      </c>
      <c r="BG27" s="75">
        <v>-84.718747984718306</v>
      </c>
      <c r="BH27" s="1"/>
    </row>
    <row r="28" spans="1:60" s="3" customFormat="1" ht="15">
      <c r="A28" s="72" t="s">
        <v>127</v>
      </c>
      <c r="B28" s="72" t="s">
        <v>107</v>
      </c>
      <c r="C28" s="73">
        <v>85.2</v>
      </c>
      <c r="D28" s="73">
        <v>-71</v>
      </c>
      <c r="E28" s="73">
        <v>6.3</v>
      </c>
      <c r="F28" s="72">
        <v>0</v>
      </c>
      <c r="G28" s="72">
        <v>5</v>
      </c>
      <c r="H28" s="38">
        <f t="shared" si="0"/>
        <v>-55.446555520065694</v>
      </c>
      <c r="I28" s="39">
        <f t="shared" si="1"/>
        <v>1.4870205226991688</v>
      </c>
      <c r="J28" s="39">
        <f t="shared" si="1"/>
        <v>-1.2391837689159739</v>
      </c>
      <c r="K28" s="39">
        <f t="shared" si="2"/>
        <v>0</v>
      </c>
      <c r="L28" s="39">
        <f t="shared" si="3"/>
        <v>0</v>
      </c>
      <c r="M28" s="39">
        <f t="shared" si="4"/>
        <v>0</v>
      </c>
      <c r="N28" s="17"/>
      <c r="O28" s="8">
        <f>AVERAGE(O27,O29)</f>
        <v>47.091077587623204</v>
      </c>
      <c r="P28" s="8">
        <f>AVERAGE(P27,P29)</f>
        <v>-84.718783587196555</v>
      </c>
      <c r="Q28" s="47"/>
      <c r="R28" s="41">
        <f t="shared" si="13"/>
        <v>43.50412826845357</v>
      </c>
      <c r="S28" s="42">
        <f t="shared" si="5"/>
        <v>-0.40543405395222631</v>
      </c>
      <c r="T28" s="37"/>
      <c r="U28" s="43">
        <f t="shared" si="14"/>
        <v>-34.814460035607809</v>
      </c>
      <c r="V28" s="44">
        <f t="shared" si="6"/>
        <v>51.777088144349875</v>
      </c>
      <c r="W28" s="43">
        <f t="shared" si="7"/>
        <v>34.814460035607809</v>
      </c>
      <c r="X28" s="43">
        <f t="shared" si="8"/>
        <v>231.77708814434988</v>
      </c>
      <c r="Y28" s="39">
        <f t="shared" si="15"/>
        <v>0.60762695492533858</v>
      </c>
      <c r="Z28" s="39">
        <f t="shared" si="15"/>
        <v>4.0452733188040195</v>
      </c>
      <c r="AA28" s="39" t="str">
        <f t="shared" si="10"/>
        <v/>
      </c>
      <c r="AB28" s="39" t="str">
        <f t="shared" si="11"/>
        <v/>
      </c>
      <c r="AC28" s="39" t="str">
        <f t="shared" si="12"/>
        <v/>
      </c>
      <c r="AD28" s="17"/>
      <c r="AE28" s="72" t="s">
        <v>127</v>
      </c>
      <c r="AF28" s="72" t="s">
        <v>0</v>
      </c>
      <c r="AG28" s="49" t="s">
        <v>107</v>
      </c>
      <c r="AH28" s="72" t="s">
        <v>0</v>
      </c>
      <c r="AI28" s="71">
        <f>AI27+6</f>
        <v>593.37159999999994</v>
      </c>
      <c r="AJ28" s="72" t="s">
        <v>0</v>
      </c>
      <c r="AK28" s="72">
        <v>5</v>
      </c>
      <c r="AL28" s="72" t="s">
        <v>0</v>
      </c>
      <c r="AM28" s="72">
        <v>239.3</v>
      </c>
      <c r="AN28" s="72" t="s">
        <v>0</v>
      </c>
      <c r="AO28" s="73">
        <v>-58</v>
      </c>
      <c r="AP28" s="72" t="s">
        <v>0</v>
      </c>
      <c r="AQ28" s="72">
        <v>85.2</v>
      </c>
      <c r="AR28" s="72" t="s">
        <v>0</v>
      </c>
      <c r="AS28" s="73">
        <v>-71</v>
      </c>
      <c r="AT28" s="72" t="s">
        <v>0</v>
      </c>
      <c r="AU28" s="72">
        <v>6.1</v>
      </c>
      <c r="AV28" s="72" t="s">
        <v>0</v>
      </c>
      <c r="AW28" s="71">
        <v>125.4</v>
      </c>
      <c r="AX28" s="72" t="s">
        <v>0</v>
      </c>
      <c r="AY28" s="72" t="s">
        <v>2</v>
      </c>
      <c r="AZ28" s="72" t="s">
        <v>0</v>
      </c>
      <c r="BA28" s="72" t="s">
        <v>100</v>
      </c>
      <c r="BB28" s="72" t="s">
        <v>0</v>
      </c>
      <c r="BC28" s="72" t="s">
        <v>92</v>
      </c>
      <c r="BD28" s="1"/>
      <c r="BE28" s="72" t="s">
        <v>116</v>
      </c>
      <c r="BF28" s="75">
        <f>AVERAGE(BF27,BF29)</f>
        <v>47.091077587623204</v>
      </c>
      <c r="BG28" s="75">
        <f>AVERAGE(BG27,BG29)</f>
        <v>-84.718783587196555</v>
      </c>
      <c r="BH28" s="1"/>
    </row>
    <row r="29" spans="1:60" s="3" customFormat="1" ht="15">
      <c r="A29" s="72" t="s">
        <v>127</v>
      </c>
      <c r="B29" s="72" t="s">
        <v>17</v>
      </c>
      <c r="C29" s="73">
        <v>91.6</v>
      </c>
      <c r="D29" s="73">
        <v>-63.5</v>
      </c>
      <c r="E29" s="73">
        <v>5.8</v>
      </c>
      <c r="F29" s="72">
        <v>0</v>
      </c>
      <c r="G29" s="72">
        <v>6</v>
      </c>
      <c r="H29" s="38">
        <f t="shared" si="0"/>
        <v>-45.08138325092736</v>
      </c>
      <c r="I29" s="39">
        <f t="shared" si="1"/>
        <v>1.5987215948268056</v>
      </c>
      <c r="J29" s="39">
        <f t="shared" si="1"/>
        <v>-1.1082840750163994</v>
      </c>
      <c r="K29" s="39">
        <f t="shared" si="2"/>
        <v>0</v>
      </c>
      <c r="L29" s="39">
        <f t="shared" si="3"/>
        <v>0</v>
      </c>
      <c r="M29" s="39">
        <f t="shared" si="4"/>
        <v>0</v>
      </c>
      <c r="N29" s="17"/>
      <c r="O29" s="8">
        <v>47.091015304594102</v>
      </c>
      <c r="P29" s="8">
        <v>-84.718819189674804</v>
      </c>
      <c r="Q29" s="47"/>
      <c r="R29" s="41">
        <f t="shared" si="13"/>
        <v>56.472336435153487</v>
      </c>
      <c r="S29" s="42">
        <f t="shared" si="5"/>
        <v>-0.31840408959993349</v>
      </c>
      <c r="T29" s="37"/>
      <c r="U29" s="43">
        <f t="shared" si="14"/>
        <v>-32.145336261719862</v>
      </c>
      <c r="V29" s="44">
        <f t="shared" si="6"/>
        <v>38.808844375171709</v>
      </c>
      <c r="W29" s="43">
        <f t="shared" si="7"/>
        <v>32.145336261719862</v>
      </c>
      <c r="X29" s="43">
        <f t="shared" si="8"/>
        <v>218.8088443751717</v>
      </c>
      <c r="Y29" s="39">
        <f t="shared" si="15"/>
        <v>0.56104195692773728</v>
      </c>
      <c r="Z29" s="39">
        <f t="shared" si="15"/>
        <v>3.8189347668306208</v>
      </c>
      <c r="AA29" s="39" t="str">
        <f t="shared" si="10"/>
        <v/>
      </c>
      <c r="AB29" s="39" t="str">
        <f t="shared" si="11"/>
        <v/>
      </c>
      <c r="AC29" s="39" t="str">
        <f t="shared" si="12"/>
        <v/>
      </c>
      <c r="AD29" s="17"/>
      <c r="AE29" s="72" t="s">
        <v>127</v>
      </c>
      <c r="AF29" s="72" t="s">
        <v>0</v>
      </c>
      <c r="AG29" s="49" t="s">
        <v>17</v>
      </c>
      <c r="AH29" s="72" t="s">
        <v>0</v>
      </c>
      <c r="AI29" s="71">
        <v>594.87159999999994</v>
      </c>
      <c r="AJ29" s="72" t="s">
        <v>0</v>
      </c>
      <c r="AK29" s="72">
        <v>6</v>
      </c>
      <c r="AL29" s="72" t="s">
        <v>0</v>
      </c>
      <c r="AM29" s="72">
        <v>226.9</v>
      </c>
      <c r="AN29" s="72" t="s">
        <v>0</v>
      </c>
      <c r="AO29" s="73">
        <v>-63</v>
      </c>
      <c r="AP29" s="72" t="s">
        <v>0</v>
      </c>
      <c r="AQ29" s="72">
        <v>91.6</v>
      </c>
      <c r="AR29" s="72" t="s">
        <v>0</v>
      </c>
      <c r="AS29" s="72">
        <v>-63.5</v>
      </c>
      <c r="AT29" s="72" t="s">
        <v>0</v>
      </c>
      <c r="AU29" s="72">
        <v>5.8</v>
      </c>
      <c r="AV29" s="72" t="s">
        <v>0</v>
      </c>
      <c r="AW29" s="71">
        <v>134.6</v>
      </c>
      <c r="AX29" s="72" t="s">
        <v>0</v>
      </c>
      <c r="AY29" s="72" t="s">
        <v>7</v>
      </c>
      <c r="AZ29" s="72" t="s">
        <v>0</v>
      </c>
      <c r="BA29" s="72" t="s">
        <v>90</v>
      </c>
      <c r="BB29" s="72" t="s">
        <v>0</v>
      </c>
      <c r="BC29" s="72" t="s">
        <v>78</v>
      </c>
      <c r="BD29" s="1"/>
      <c r="BE29" s="72" t="s">
        <v>116</v>
      </c>
      <c r="BF29" s="75">
        <v>47.091015304594102</v>
      </c>
      <c r="BG29" s="75">
        <v>-84.718819189674804</v>
      </c>
      <c r="BH29" s="1"/>
    </row>
    <row r="30" spans="1:60" s="3" customFormat="1" ht="15">
      <c r="A30" s="72" t="s">
        <v>127</v>
      </c>
      <c r="B30" s="72" t="s">
        <v>18</v>
      </c>
      <c r="C30" s="73">
        <v>88</v>
      </c>
      <c r="D30" s="73">
        <v>-68.7</v>
      </c>
      <c r="E30" s="73">
        <v>8.6</v>
      </c>
      <c r="F30" s="72">
        <v>0</v>
      </c>
      <c r="G30" s="72">
        <v>5</v>
      </c>
      <c r="H30" s="38">
        <f t="shared" si="0"/>
        <v>-52.054055366342013</v>
      </c>
      <c r="I30" s="39">
        <f t="shared" si="1"/>
        <v>1.5358897417550099</v>
      </c>
      <c r="J30" s="39">
        <f t="shared" si="1"/>
        <v>-1.1990411961201044</v>
      </c>
      <c r="K30" s="39">
        <f t="shared" si="2"/>
        <v>0</v>
      </c>
      <c r="L30" s="39">
        <f t="shared" si="3"/>
        <v>0</v>
      </c>
      <c r="M30" s="39">
        <f t="shared" si="4"/>
        <v>0</v>
      </c>
      <c r="N30" s="17"/>
      <c r="O30" s="8">
        <v>47.0909267043467</v>
      </c>
      <c r="P30" s="8">
        <v>-84.718888857845201</v>
      </c>
      <c r="Q30" s="47"/>
      <c r="R30" s="41">
        <f t="shared" si="13"/>
        <v>48.036932534620362</v>
      </c>
      <c r="S30" s="42">
        <f t="shared" si="5"/>
        <v>-0.37624426087940294</v>
      </c>
      <c r="T30" s="37"/>
      <c r="U30" s="43">
        <f t="shared" si="14"/>
        <v>-34.262200183025712</v>
      </c>
      <c r="V30" s="44">
        <f t="shared" si="6"/>
        <v>47.244178607534437</v>
      </c>
      <c r="W30" s="43">
        <f t="shared" si="7"/>
        <v>34.262200183025712</v>
      </c>
      <c r="X30" s="43">
        <f t="shared" si="8"/>
        <v>227.24417860753442</v>
      </c>
      <c r="Y30" s="39">
        <f t="shared" si="15"/>
        <v>0.59798820217120252</v>
      </c>
      <c r="Z30" s="39">
        <f t="shared" si="15"/>
        <v>3.9661591226915385</v>
      </c>
      <c r="AA30" s="39" t="str">
        <f t="shared" si="10"/>
        <v/>
      </c>
      <c r="AB30" s="39" t="str">
        <f t="shared" si="11"/>
        <v/>
      </c>
      <c r="AC30" s="39" t="str">
        <f t="shared" si="12"/>
        <v/>
      </c>
      <c r="AD30" s="17"/>
      <c r="AE30" s="72" t="s">
        <v>127</v>
      </c>
      <c r="AF30" s="72" t="s">
        <v>0</v>
      </c>
      <c r="AG30" s="49" t="s">
        <v>18</v>
      </c>
      <c r="AH30" s="72" t="s">
        <v>0</v>
      </c>
      <c r="AI30" s="71">
        <v>598.17160000000001</v>
      </c>
      <c r="AJ30" s="72" t="s">
        <v>0</v>
      </c>
      <c r="AK30" s="72">
        <v>5</v>
      </c>
      <c r="AL30" s="72" t="s">
        <v>0</v>
      </c>
      <c r="AM30" s="72">
        <v>235.5</v>
      </c>
      <c r="AN30" s="72" t="s">
        <v>0</v>
      </c>
      <c r="AO30" s="72">
        <v>-59.6</v>
      </c>
      <c r="AP30" s="72" t="s">
        <v>0</v>
      </c>
      <c r="AQ30" s="72">
        <v>88</v>
      </c>
      <c r="AR30" s="72" t="s">
        <v>0</v>
      </c>
      <c r="AS30" s="72">
        <v>-68.7</v>
      </c>
      <c r="AT30" s="72" t="s">
        <v>0</v>
      </c>
      <c r="AU30" s="72">
        <v>8.6</v>
      </c>
      <c r="AV30" s="72" t="s">
        <v>0</v>
      </c>
      <c r="AW30" s="71">
        <v>79.8</v>
      </c>
      <c r="AX30" s="72" t="s">
        <v>0</v>
      </c>
      <c r="AY30" s="72" t="s">
        <v>2</v>
      </c>
      <c r="AZ30" s="72" t="s">
        <v>0</v>
      </c>
      <c r="BA30" s="72" t="s">
        <v>90</v>
      </c>
      <c r="BB30" s="72" t="s">
        <v>0</v>
      </c>
      <c r="BC30" s="72" t="s">
        <v>78</v>
      </c>
      <c r="BD30" s="1"/>
      <c r="BE30" s="72" t="s">
        <v>116</v>
      </c>
      <c r="BF30" s="75">
        <v>47.0909267043467</v>
      </c>
      <c r="BG30" s="75">
        <v>-84.718888857845201</v>
      </c>
      <c r="BH30" s="1"/>
    </row>
    <row r="31" spans="1:60" s="3" customFormat="1" ht="15">
      <c r="A31" s="72" t="s">
        <v>128</v>
      </c>
      <c r="B31" s="72" t="s">
        <v>19</v>
      </c>
      <c r="C31" s="73">
        <v>105.8</v>
      </c>
      <c r="D31" s="73">
        <v>-46.5</v>
      </c>
      <c r="E31" s="73">
        <v>8.4</v>
      </c>
      <c r="F31" s="72">
        <v>0</v>
      </c>
      <c r="G31" s="72">
        <v>3</v>
      </c>
      <c r="H31" s="38">
        <f t="shared" si="0"/>
        <v>-27.784300527875718</v>
      </c>
      <c r="I31" s="39">
        <f t="shared" si="1"/>
        <v>1.8465583486100006</v>
      </c>
      <c r="J31" s="39">
        <f t="shared" si="1"/>
        <v>-0.81157810217736315</v>
      </c>
      <c r="K31" s="39">
        <f t="shared" si="2"/>
        <v>0</v>
      </c>
      <c r="L31" s="39">
        <f t="shared" si="3"/>
        <v>0</v>
      </c>
      <c r="M31" s="39">
        <f t="shared" si="4"/>
        <v>0</v>
      </c>
      <c r="N31" s="17"/>
      <c r="O31" s="8">
        <v>47.0854057795339</v>
      </c>
      <c r="P31" s="8">
        <v>-84.725435619853599</v>
      </c>
      <c r="Q31" s="16"/>
      <c r="R31" s="41">
        <f t="shared" si="13"/>
        <v>80.596553733700731</v>
      </c>
      <c r="S31" s="42">
        <f t="shared" si="5"/>
        <v>-9.5995378250889718E-2</v>
      </c>
      <c r="T31" s="37"/>
      <c r="U31" s="43">
        <f t="shared" si="14"/>
        <v>-30.358754372568114</v>
      </c>
      <c r="V31" s="44">
        <f t="shared" si="6"/>
        <v>14.678010646445671</v>
      </c>
      <c r="W31" s="43">
        <f t="shared" si="7"/>
        <v>30.358754372568114</v>
      </c>
      <c r="X31" s="43">
        <f t="shared" si="8"/>
        <v>194.67801064644567</v>
      </c>
      <c r="Y31" s="39">
        <f t="shared" si="15"/>
        <v>0.52986022060553895</v>
      </c>
      <c r="Z31" s="39">
        <f t="shared" si="15"/>
        <v>3.3977722670130515</v>
      </c>
      <c r="AA31" s="39" t="str">
        <f t="shared" si="10"/>
        <v/>
      </c>
      <c r="AB31" s="39" t="str">
        <f t="shared" si="11"/>
        <v/>
      </c>
      <c r="AC31" s="39" t="str">
        <f t="shared" si="12"/>
        <v/>
      </c>
      <c r="AD31" s="17"/>
      <c r="AE31" s="72" t="s">
        <v>128</v>
      </c>
      <c r="AF31" s="72" t="s">
        <v>0</v>
      </c>
      <c r="AG31" s="72" t="s">
        <v>19</v>
      </c>
      <c r="AH31" s="72" t="s">
        <v>0</v>
      </c>
      <c r="AI31" s="71">
        <v>1079.7360000000001</v>
      </c>
      <c r="AJ31" s="72" t="s">
        <v>0</v>
      </c>
      <c r="AK31" s="72">
        <v>3</v>
      </c>
      <c r="AL31" s="72" t="s">
        <v>0</v>
      </c>
      <c r="AM31" s="72">
        <v>224</v>
      </c>
      <c r="AN31" s="72" t="s">
        <v>0</v>
      </c>
      <c r="AO31" s="72">
        <v>-72.400000000000006</v>
      </c>
      <c r="AP31" s="72" t="s">
        <v>0</v>
      </c>
      <c r="AQ31" s="72">
        <v>105.8</v>
      </c>
      <c r="AR31" s="72" t="s">
        <v>0</v>
      </c>
      <c r="AS31" s="72">
        <v>-46.5</v>
      </c>
      <c r="AT31" s="72" t="s">
        <v>0</v>
      </c>
      <c r="AU31" s="72">
        <v>8.4</v>
      </c>
      <c r="AV31" s="72" t="s">
        <v>0</v>
      </c>
      <c r="AW31" s="71">
        <v>216.4</v>
      </c>
      <c r="AX31" s="72" t="s">
        <v>0</v>
      </c>
      <c r="AY31" s="72" t="s">
        <v>7</v>
      </c>
      <c r="AZ31" s="72" t="s">
        <v>0</v>
      </c>
      <c r="BA31" s="72" t="s">
        <v>90</v>
      </c>
      <c r="BB31" s="72" t="s">
        <v>0</v>
      </c>
      <c r="BC31" s="72" t="s">
        <v>78</v>
      </c>
      <c r="BD31" s="1"/>
      <c r="BE31" s="72" t="s">
        <v>116</v>
      </c>
      <c r="BF31" s="75">
        <v>47.0854057795339</v>
      </c>
      <c r="BG31" s="75">
        <v>-84.725435619853599</v>
      </c>
      <c r="BH31" s="1"/>
    </row>
    <row r="32" spans="1:60" s="7" customFormat="1" ht="15">
      <c r="A32" s="72" t="s">
        <v>128</v>
      </c>
      <c r="B32" s="72" t="s">
        <v>20</v>
      </c>
      <c r="C32" s="73">
        <v>106.7</v>
      </c>
      <c r="D32" s="73">
        <v>-53.5</v>
      </c>
      <c r="E32" s="73">
        <v>8.9</v>
      </c>
      <c r="F32" s="72">
        <v>0</v>
      </c>
      <c r="G32" s="72">
        <v>4</v>
      </c>
      <c r="H32" s="38">
        <f t="shared" si="0"/>
        <v>-34.047335499236077</v>
      </c>
      <c r="I32" s="39">
        <f t="shared" ref="I32:J47" si="16">C32*PI()/180</f>
        <v>1.8622663118779497</v>
      </c>
      <c r="J32" s="39">
        <f t="shared" si="16"/>
        <v>-0.93375114981696627</v>
      </c>
      <c r="K32" s="39">
        <f t="shared" si="2"/>
        <v>0</v>
      </c>
      <c r="L32" s="39">
        <f t="shared" si="3"/>
        <v>0</v>
      </c>
      <c r="M32" s="39">
        <f t="shared" si="4"/>
        <v>0</v>
      </c>
      <c r="N32" s="17"/>
      <c r="O32" s="8">
        <v>47.085297800214498</v>
      </c>
      <c r="P32" s="8">
        <v>-84.725888176095097</v>
      </c>
      <c r="Q32" s="16"/>
      <c r="R32" s="41">
        <f t="shared" si="13"/>
        <v>75.391600498796677</v>
      </c>
      <c r="S32" s="42">
        <f t="shared" si="5"/>
        <v>-0.14084522043380682</v>
      </c>
      <c r="T32" s="37"/>
      <c r="U32" s="43">
        <f t="shared" si="14"/>
        <v>-34.901046074305313</v>
      </c>
      <c r="V32" s="44">
        <f t="shared" si="6"/>
        <v>19.882511325108226</v>
      </c>
      <c r="W32" s="43">
        <f t="shared" si="7"/>
        <v>34.901046074305313</v>
      </c>
      <c r="X32" s="43">
        <f t="shared" si="8"/>
        <v>199.88251132510823</v>
      </c>
      <c r="Y32" s="39">
        <f t="shared" si="15"/>
        <v>0.60913816638686924</v>
      </c>
      <c r="Z32" s="39">
        <f t="shared" si="15"/>
        <v>3.4886079397779928</v>
      </c>
      <c r="AA32" s="39" t="str">
        <f t="shared" si="10"/>
        <v/>
      </c>
      <c r="AB32" s="39" t="str">
        <f t="shared" si="11"/>
        <v/>
      </c>
      <c r="AC32" s="39" t="str">
        <f t="shared" si="12"/>
        <v/>
      </c>
      <c r="AD32" s="17"/>
      <c r="AE32" s="72" t="s">
        <v>128</v>
      </c>
      <c r="AF32" s="72" t="s">
        <v>0</v>
      </c>
      <c r="AG32" s="72" t="s">
        <v>20</v>
      </c>
      <c r="AH32" s="72" t="s">
        <v>0</v>
      </c>
      <c r="AI32" s="71">
        <v>1082.5360000000001</v>
      </c>
      <c r="AJ32" s="72" t="s">
        <v>0</v>
      </c>
      <c r="AK32" s="72">
        <v>4</v>
      </c>
      <c r="AL32" s="72" t="s">
        <v>0</v>
      </c>
      <c r="AM32" s="72">
        <v>238.4</v>
      </c>
      <c r="AN32" s="72" t="s">
        <v>0</v>
      </c>
      <c r="AO32" s="72">
        <v>-67.3</v>
      </c>
      <c r="AP32" s="72" t="s">
        <v>0</v>
      </c>
      <c r="AQ32" s="72">
        <v>106.7</v>
      </c>
      <c r="AR32" s="72" t="s">
        <v>0</v>
      </c>
      <c r="AS32" s="72">
        <v>-53.5</v>
      </c>
      <c r="AT32" s="72" t="s">
        <v>0</v>
      </c>
      <c r="AU32" s="72">
        <v>8.9</v>
      </c>
      <c r="AV32" s="72" t="s">
        <v>0</v>
      </c>
      <c r="AW32" s="71">
        <v>107.6</v>
      </c>
      <c r="AX32" s="72" t="s">
        <v>0</v>
      </c>
      <c r="AY32" s="72" t="s">
        <v>7</v>
      </c>
      <c r="AZ32" s="72" t="s">
        <v>0</v>
      </c>
      <c r="BA32" s="72" t="s">
        <v>90</v>
      </c>
      <c r="BB32" s="72" t="s">
        <v>0</v>
      </c>
      <c r="BC32" s="72" t="s">
        <v>78</v>
      </c>
      <c r="BD32" s="1"/>
      <c r="BE32" s="72" t="s">
        <v>116</v>
      </c>
      <c r="BF32" s="75">
        <v>47.085297800214498</v>
      </c>
      <c r="BG32" s="75">
        <v>-84.725888176095097</v>
      </c>
      <c r="BH32" s="1"/>
    </row>
    <row r="33" spans="1:60" s="3" customFormat="1" ht="15">
      <c r="A33" s="72" t="s">
        <v>128</v>
      </c>
      <c r="B33" s="72" t="s">
        <v>21</v>
      </c>
      <c r="C33" s="73">
        <v>115.9</v>
      </c>
      <c r="D33" s="73">
        <v>-60.2</v>
      </c>
      <c r="E33" s="73">
        <v>12.7</v>
      </c>
      <c r="F33" s="72">
        <v>0</v>
      </c>
      <c r="G33" s="72">
        <v>4</v>
      </c>
      <c r="H33" s="38">
        <f t="shared" si="0"/>
        <v>-41.12255958850362</v>
      </c>
      <c r="I33" s="39">
        <f t="shared" si="16"/>
        <v>2.0228366030614282</v>
      </c>
      <c r="J33" s="39">
        <f t="shared" si="16"/>
        <v>-1.0506882097005865</v>
      </c>
      <c r="K33" s="39">
        <f t="shared" si="2"/>
        <v>0</v>
      </c>
      <c r="L33" s="39">
        <f t="shared" si="3"/>
        <v>0</v>
      </c>
      <c r="M33" s="39">
        <f t="shared" si="4"/>
        <v>0</v>
      </c>
      <c r="N33" s="17"/>
      <c r="O33" s="9">
        <v>47.085189999999997</v>
      </c>
      <c r="P33" s="9">
        <v>-84.725949999999997</v>
      </c>
      <c r="Q33" s="16"/>
      <c r="R33" s="41">
        <f t="shared" si="13"/>
        <v>73.026418360280005</v>
      </c>
      <c r="S33" s="42">
        <f t="shared" si="5"/>
        <v>-0.14083538787033711</v>
      </c>
      <c r="T33" s="37"/>
      <c r="U33" s="43">
        <f t="shared" si="14"/>
        <v>-44.886695669714499</v>
      </c>
      <c r="V33" s="44">
        <f t="shared" si="6"/>
        <v>22.247631639719998</v>
      </c>
      <c r="W33" s="43">
        <f t="shared" si="7"/>
        <v>44.886695669714499</v>
      </c>
      <c r="X33" s="43">
        <f t="shared" si="8"/>
        <v>202.24763163972</v>
      </c>
      <c r="Y33" s="39">
        <f t="shared" si="15"/>
        <v>0.78342062977719906</v>
      </c>
      <c r="Z33" s="39">
        <f t="shared" si="15"/>
        <v>3.5298870764737722</v>
      </c>
      <c r="AA33" s="39" t="str">
        <f t="shared" si="10"/>
        <v/>
      </c>
      <c r="AB33" s="39" t="str">
        <f t="shared" si="11"/>
        <v/>
      </c>
      <c r="AC33" s="39" t="str">
        <f t="shared" si="12"/>
        <v/>
      </c>
      <c r="AD33" s="17"/>
      <c r="AE33" s="72" t="s">
        <v>128</v>
      </c>
      <c r="AF33" s="72" t="s">
        <v>0</v>
      </c>
      <c r="AG33" s="72" t="s">
        <v>21</v>
      </c>
      <c r="AH33" s="72" t="s">
        <v>0</v>
      </c>
      <c r="AI33" s="71">
        <v>1096.4360000000001</v>
      </c>
      <c r="AJ33" s="72" t="s">
        <v>0</v>
      </c>
      <c r="AK33" s="72">
        <v>4</v>
      </c>
      <c r="AL33" s="72" t="s">
        <v>0</v>
      </c>
      <c r="AM33" s="72">
        <v>241.2</v>
      </c>
      <c r="AN33" s="72" t="s">
        <v>0</v>
      </c>
      <c r="AO33" s="72">
        <v>-59</v>
      </c>
      <c r="AP33" s="72" t="s">
        <v>0</v>
      </c>
      <c r="AQ33" s="72">
        <v>115.9</v>
      </c>
      <c r="AR33" s="72" t="s">
        <v>0</v>
      </c>
      <c r="AS33" s="72">
        <v>-60.2</v>
      </c>
      <c r="AT33" s="72" t="s">
        <v>0</v>
      </c>
      <c r="AU33" s="72">
        <v>12.7</v>
      </c>
      <c r="AV33" s="72" t="s">
        <v>0</v>
      </c>
      <c r="AW33" s="71">
        <v>53.3</v>
      </c>
      <c r="AX33" s="72" t="s">
        <v>0</v>
      </c>
      <c r="AY33" s="72" t="s">
        <v>7</v>
      </c>
      <c r="AZ33" s="72" t="s">
        <v>0</v>
      </c>
      <c r="BA33" s="72" t="s">
        <v>90</v>
      </c>
      <c r="BB33" s="72" t="s">
        <v>0</v>
      </c>
      <c r="BC33" s="72" t="s">
        <v>78</v>
      </c>
      <c r="BD33" s="1"/>
      <c r="BE33" s="72" t="s">
        <v>116</v>
      </c>
      <c r="BF33" s="75">
        <v>47.085189999999997</v>
      </c>
      <c r="BG33" s="75">
        <v>-84.725949999999997</v>
      </c>
      <c r="BH33" s="1"/>
    </row>
    <row r="34" spans="1:60" s="3" customFormat="1" ht="15">
      <c r="A34" s="72" t="s">
        <v>128</v>
      </c>
      <c r="B34" s="72" t="s">
        <v>22</v>
      </c>
      <c r="C34" s="73">
        <v>109.1</v>
      </c>
      <c r="D34" s="73">
        <v>-53.4</v>
      </c>
      <c r="E34" s="73">
        <v>8.6999999999999993</v>
      </c>
      <c r="F34" s="72">
        <v>0</v>
      </c>
      <c r="G34" s="72">
        <v>3</v>
      </c>
      <c r="H34" s="38">
        <f t="shared" si="0"/>
        <v>-33.950433735341022</v>
      </c>
      <c r="I34" s="39">
        <f t="shared" si="16"/>
        <v>1.9041542139258132</v>
      </c>
      <c r="J34" s="39">
        <f t="shared" si="16"/>
        <v>-0.93200582056497183</v>
      </c>
      <c r="K34" s="39">
        <f t="shared" si="2"/>
        <v>0</v>
      </c>
      <c r="L34" s="39">
        <f t="shared" si="3"/>
        <v>0</v>
      </c>
      <c r="M34" s="39">
        <f t="shared" si="4"/>
        <v>0</v>
      </c>
      <c r="N34" s="17"/>
      <c r="O34" s="8">
        <v>47.085190950150498</v>
      </c>
      <c r="P34" s="8">
        <v>-84.725945426534295</v>
      </c>
      <c r="Q34" s="16"/>
      <c r="R34" s="41">
        <f t="shared" si="13"/>
        <v>76.964259520121587</v>
      </c>
      <c r="S34" s="42">
        <f t="shared" si="5"/>
        <v>-0.1235731313186022</v>
      </c>
      <c r="T34" s="37"/>
      <c r="U34" s="43">
        <f t="shared" si="14"/>
        <v>-36.429359067671442</v>
      </c>
      <c r="V34" s="44">
        <f t="shared" si="6"/>
        <v>18.309795053344118</v>
      </c>
      <c r="W34" s="43">
        <f t="shared" si="7"/>
        <v>36.429359067671442</v>
      </c>
      <c r="X34" s="43">
        <f t="shared" si="8"/>
        <v>198.30979505334412</v>
      </c>
      <c r="Y34" s="39">
        <f t="shared" si="15"/>
        <v>0.63581226012211844</v>
      </c>
      <c r="Z34" s="39">
        <f t="shared" si="15"/>
        <v>3.4611588626360188</v>
      </c>
      <c r="AA34" s="39" t="str">
        <f t="shared" si="10"/>
        <v/>
      </c>
      <c r="AB34" s="39" t="str">
        <f t="shared" si="11"/>
        <v/>
      </c>
      <c r="AC34" s="39" t="str">
        <f t="shared" si="12"/>
        <v/>
      </c>
      <c r="AD34" s="17"/>
      <c r="AE34" s="72" t="s">
        <v>128</v>
      </c>
      <c r="AF34" s="72" t="s">
        <v>0</v>
      </c>
      <c r="AG34" s="72" t="s">
        <v>22</v>
      </c>
      <c r="AH34" s="72" t="s">
        <v>0</v>
      </c>
      <c r="AI34" s="71">
        <v>1105.1360000000002</v>
      </c>
      <c r="AJ34" s="72" t="s">
        <v>0</v>
      </c>
      <c r="AK34" s="72">
        <v>3</v>
      </c>
      <c r="AL34" s="72" t="s">
        <v>0</v>
      </c>
      <c r="AM34" s="72">
        <v>235.6</v>
      </c>
      <c r="AN34" s="72" t="s">
        <v>0</v>
      </c>
      <c r="AO34" s="72">
        <v>-66.400000000000006</v>
      </c>
      <c r="AP34" s="72" t="s">
        <v>0</v>
      </c>
      <c r="AQ34" s="72">
        <v>109.1</v>
      </c>
      <c r="AR34" s="72" t="s">
        <v>0</v>
      </c>
      <c r="AS34" s="72">
        <v>-53.4</v>
      </c>
      <c r="AT34" s="72" t="s">
        <v>0</v>
      </c>
      <c r="AU34" s="72">
        <v>8.6999999999999993</v>
      </c>
      <c r="AV34" s="72" t="s">
        <v>0</v>
      </c>
      <c r="AW34" s="71">
        <v>203.1</v>
      </c>
      <c r="AX34" s="72" t="s">
        <v>0</v>
      </c>
      <c r="AY34" s="72" t="s">
        <v>7</v>
      </c>
      <c r="AZ34" s="72" t="s">
        <v>0</v>
      </c>
      <c r="BA34" s="72" t="s">
        <v>90</v>
      </c>
      <c r="BB34" s="72" t="s">
        <v>0</v>
      </c>
      <c r="BC34" s="72" t="s">
        <v>78</v>
      </c>
      <c r="BD34" s="1"/>
      <c r="BE34" s="72" t="s">
        <v>116</v>
      </c>
      <c r="BF34" s="75">
        <v>47.085190950150498</v>
      </c>
      <c r="BG34" s="75">
        <v>-84.725945426534295</v>
      </c>
      <c r="BH34" s="1"/>
    </row>
    <row r="35" spans="1:60" s="3" customFormat="1" ht="15">
      <c r="A35" s="72" t="s">
        <v>128</v>
      </c>
      <c r="B35" s="72" t="s">
        <v>23</v>
      </c>
      <c r="C35" s="73">
        <v>104.5</v>
      </c>
      <c r="D35" s="73">
        <v>-59.6</v>
      </c>
      <c r="E35" s="73">
        <v>8.3000000000000007</v>
      </c>
      <c r="F35" s="72">
        <v>0</v>
      </c>
      <c r="G35" s="72">
        <v>5</v>
      </c>
      <c r="H35" s="38">
        <f t="shared" si="0"/>
        <v>-40.438610822901786</v>
      </c>
      <c r="I35" s="39">
        <f t="shared" si="16"/>
        <v>1.8238690683340744</v>
      </c>
      <c r="J35" s="39">
        <f t="shared" si="16"/>
        <v>-1.0402162341886205</v>
      </c>
      <c r="K35" s="39">
        <f t="shared" si="2"/>
        <v>0</v>
      </c>
      <c r="L35" s="39">
        <f t="shared" si="3"/>
        <v>0</v>
      </c>
      <c r="M35" s="39">
        <f t="shared" si="4"/>
        <v>0</v>
      </c>
      <c r="N35" s="17"/>
      <c r="O35" s="8">
        <v>47.085065592949398</v>
      </c>
      <c r="P35" s="8">
        <v>-84.725977114392407</v>
      </c>
      <c r="Q35" s="16"/>
      <c r="R35" s="41">
        <f t="shared" si="13"/>
        <v>67.707240935268942</v>
      </c>
      <c r="S35" s="42">
        <f t="shared" si="5"/>
        <v>-0.20570271157863568</v>
      </c>
      <c r="T35" s="37"/>
      <c r="U35" s="43">
        <f t="shared" si="14"/>
        <v>-37.214020496032788</v>
      </c>
      <c r="V35" s="44">
        <f t="shared" si="6"/>
        <v>27.566781950338651</v>
      </c>
      <c r="W35" s="43">
        <f t="shared" si="7"/>
        <v>37.214020496032788</v>
      </c>
      <c r="X35" s="43">
        <f t="shared" si="8"/>
        <v>207.56678195033865</v>
      </c>
      <c r="Y35" s="39">
        <f t="shared" si="15"/>
        <v>0.64950718556042553</v>
      </c>
      <c r="Z35" s="39">
        <f t="shared" si="15"/>
        <v>3.6227237628025466</v>
      </c>
      <c r="AA35" s="39" t="str">
        <f t="shared" si="10"/>
        <v/>
      </c>
      <c r="AB35" s="39" t="str">
        <f t="shared" si="11"/>
        <v/>
      </c>
      <c r="AC35" s="39" t="str">
        <f t="shared" si="12"/>
        <v/>
      </c>
      <c r="AD35" s="17"/>
      <c r="AE35" s="72" t="s">
        <v>128</v>
      </c>
      <c r="AF35" s="72" t="s">
        <v>0</v>
      </c>
      <c r="AG35" s="72" t="s">
        <v>23</v>
      </c>
      <c r="AH35" s="72" t="s">
        <v>0</v>
      </c>
      <c r="AI35" s="71">
        <v>1113.1360000000002</v>
      </c>
      <c r="AJ35" s="72" t="s">
        <v>0</v>
      </c>
      <c r="AK35" s="72">
        <v>5</v>
      </c>
      <c r="AL35" s="72" t="s">
        <v>0</v>
      </c>
      <c r="AM35" s="72">
        <v>237.4</v>
      </c>
      <c r="AN35" s="72" t="s">
        <v>0</v>
      </c>
      <c r="AO35" s="72">
        <v>-77.7</v>
      </c>
      <c r="AP35" s="72" t="s">
        <v>0</v>
      </c>
      <c r="AQ35" s="72">
        <v>104.5</v>
      </c>
      <c r="AR35" s="72" t="s">
        <v>0</v>
      </c>
      <c r="AS35" s="72">
        <v>-59.6</v>
      </c>
      <c r="AT35" s="72" t="s">
        <v>0</v>
      </c>
      <c r="AU35" s="72">
        <v>8.3000000000000007</v>
      </c>
      <c r="AV35" s="72" t="s">
        <v>0</v>
      </c>
      <c r="AW35" s="71">
        <v>86.6</v>
      </c>
      <c r="AX35" s="72" t="s">
        <v>0</v>
      </c>
      <c r="AY35" s="72" t="s">
        <v>2</v>
      </c>
      <c r="AZ35" s="72" t="s">
        <v>0</v>
      </c>
      <c r="BA35" s="72" t="s">
        <v>90</v>
      </c>
      <c r="BB35" s="72" t="s">
        <v>0</v>
      </c>
      <c r="BC35" s="72" t="s">
        <v>78</v>
      </c>
      <c r="BD35" s="1"/>
      <c r="BE35" s="72" t="s">
        <v>116</v>
      </c>
      <c r="BF35" s="75">
        <v>47.085065592949398</v>
      </c>
      <c r="BG35" s="75">
        <v>-84.725977114392407</v>
      </c>
      <c r="BH35" s="1"/>
    </row>
    <row r="36" spans="1:60" s="3" customFormat="1" ht="15">
      <c r="A36" s="72" t="s">
        <v>129</v>
      </c>
      <c r="B36" s="72" t="s">
        <v>24</v>
      </c>
      <c r="C36" s="73">
        <v>107.1</v>
      </c>
      <c r="D36" s="73">
        <v>-70.599999999999994</v>
      </c>
      <c r="E36" s="73">
        <v>6.8</v>
      </c>
      <c r="F36" s="72">
        <v>0</v>
      </c>
      <c r="G36" s="72">
        <v>4</v>
      </c>
      <c r="H36" s="38">
        <f t="shared" si="0"/>
        <v>-54.842535182517629</v>
      </c>
      <c r="I36" s="39">
        <f t="shared" si="16"/>
        <v>1.8692476288859268</v>
      </c>
      <c r="J36" s="39">
        <f t="shared" si="16"/>
        <v>-1.2322024519079966</v>
      </c>
      <c r="K36" s="39">
        <f t="shared" si="2"/>
        <v>0</v>
      </c>
      <c r="L36" s="39">
        <f t="shared" si="3"/>
        <v>0</v>
      </c>
      <c r="M36" s="39">
        <f t="shared" si="4"/>
        <v>0</v>
      </c>
      <c r="N36" s="17"/>
      <c r="O36" s="8">
        <v>47.0842881381231</v>
      </c>
      <c r="P36" s="8">
        <v>-84.727156438727803</v>
      </c>
      <c r="Q36" s="16"/>
      <c r="R36" s="41">
        <f t="shared" si="13"/>
        <v>51.825411542491722</v>
      </c>
      <c r="S36" s="42">
        <f t="shared" si="5"/>
        <v>-0.29463713120662005</v>
      </c>
      <c r="T36" s="37"/>
      <c r="U36" s="43">
        <f t="shared" si="14"/>
        <v>-45.565009176970932</v>
      </c>
      <c r="V36" s="44">
        <f t="shared" si="6"/>
        <v>43.447432018780475</v>
      </c>
      <c r="W36" s="43">
        <f t="shared" si="7"/>
        <v>45.565009176970932</v>
      </c>
      <c r="X36" s="43">
        <f t="shared" si="8"/>
        <v>223.44743201878049</v>
      </c>
      <c r="Y36" s="39">
        <f t="shared" si="15"/>
        <v>0.79525943383957443</v>
      </c>
      <c r="Z36" s="39">
        <f t="shared" si="15"/>
        <v>3.8998933938539198</v>
      </c>
      <c r="AA36" s="39" t="str">
        <f t="shared" si="10"/>
        <v/>
      </c>
      <c r="AB36" s="39" t="str">
        <f t="shared" si="11"/>
        <v/>
      </c>
      <c r="AC36" s="39" t="str">
        <f t="shared" si="12"/>
        <v/>
      </c>
      <c r="AD36" s="17"/>
      <c r="AE36" s="72" t="s">
        <v>129</v>
      </c>
      <c r="AF36" s="72" t="s">
        <v>0</v>
      </c>
      <c r="AG36" s="72" t="s">
        <v>24</v>
      </c>
      <c r="AH36" s="72" t="s">
        <v>0</v>
      </c>
      <c r="AI36" s="71">
        <v>1181.5999999999999</v>
      </c>
      <c r="AJ36" s="72" t="s">
        <v>0</v>
      </c>
      <c r="AK36" s="72">
        <v>4</v>
      </c>
      <c r="AL36" s="72" t="s">
        <v>0</v>
      </c>
      <c r="AM36" s="72">
        <v>267.7</v>
      </c>
      <c r="AN36" s="72" t="s">
        <v>0</v>
      </c>
      <c r="AO36" s="72">
        <v>-68.8</v>
      </c>
      <c r="AP36" s="72" t="s">
        <v>0</v>
      </c>
      <c r="AQ36" s="72">
        <v>107.1</v>
      </c>
      <c r="AR36" s="72" t="s">
        <v>0</v>
      </c>
      <c r="AS36" s="72">
        <v>-70.599999999999994</v>
      </c>
      <c r="AT36" s="72" t="s">
        <v>0</v>
      </c>
      <c r="AU36" s="72">
        <v>6.8</v>
      </c>
      <c r="AV36" s="72" t="s">
        <v>0</v>
      </c>
      <c r="AW36" s="71">
        <v>181.5</v>
      </c>
      <c r="AX36" s="72" t="s">
        <v>0</v>
      </c>
      <c r="AY36" s="72" t="s">
        <v>7</v>
      </c>
      <c r="AZ36" s="72" t="s">
        <v>0</v>
      </c>
      <c r="BA36" s="72" t="s">
        <v>90</v>
      </c>
      <c r="BB36" s="72" t="s">
        <v>0</v>
      </c>
      <c r="BC36" s="72" t="s">
        <v>78</v>
      </c>
      <c r="BD36" s="1"/>
      <c r="BE36" s="72" t="s">
        <v>116</v>
      </c>
      <c r="BF36" s="75">
        <v>47.0842881381231</v>
      </c>
      <c r="BG36" s="75">
        <v>-84.727156438727803</v>
      </c>
      <c r="BH36" s="1"/>
    </row>
    <row r="37" spans="1:60" s="3" customFormat="1" ht="15">
      <c r="A37" s="72" t="s">
        <v>129</v>
      </c>
      <c r="B37" s="72" t="s">
        <v>25</v>
      </c>
      <c r="C37" s="73">
        <v>101.1</v>
      </c>
      <c r="D37" s="73">
        <v>-61.9</v>
      </c>
      <c r="E37" s="73">
        <v>4.5</v>
      </c>
      <c r="F37" s="72">
        <v>0</v>
      </c>
      <c r="G37" s="72">
        <v>4</v>
      </c>
      <c r="H37" s="38">
        <f t="shared" si="0"/>
        <v>-43.119340176274342</v>
      </c>
      <c r="I37" s="39">
        <f t="shared" si="16"/>
        <v>1.7645278737662671</v>
      </c>
      <c r="J37" s="39">
        <f t="shared" si="16"/>
        <v>-1.08035880698449</v>
      </c>
      <c r="K37" s="39">
        <f t="shared" si="2"/>
        <v>0</v>
      </c>
      <c r="L37" s="39">
        <f t="shared" si="3"/>
        <v>0</v>
      </c>
      <c r="M37" s="39">
        <f t="shared" si="4"/>
        <v>0</v>
      </c>
      <c r="N37" s="17"/>
      <c r="O37" s="8">
        <v>47.083840829993598</v>
      </c>
      <c r="P37" s="8">
        <v>-84.727741992587994</v>
      </c>
      <c r="Q37" s="16"/>
      <c r="R37" s="41">
        <f t="shared" si="13"/>
        <v>63.155747542276742</v>
      </c>
      <c r="S37" s="42">
        <f t="shared" si="5"/>
        <v>-0.24684433750665902</v>
      </c>
      <c r="T37" s="37"/>
      <c r="U37" s="43">
        <f t="shared" si="14"/>
        <v>-36.60292828735534</v>
      </c>
      <c r="V37" s="44">
        <f t="shared" si="6"/>
        <v>32.116510465135264</v>
      </c>
      <c r="W37" s="43">
        <f t="shared" si="7"/>
        <v>36.60292828735534</v>
      </c>
      <c r="X37" s="43">
        <f t="shared" si="8"/>
        <v>212.11651046513526</v>
      </c>
      <c r="Y37" s="39">
        <f t="shared" si="15"/>
        <v>0.63884161448571986</v>
      </c>
      <c r="Z37" s="39">
        <f t="shared" si="15"/>
        <v>3.7021315054576189</v>
      </c>
      <c r="AA37" s="39" t="str">
        <f t="shared" si="10"/>
        <v/>
      </c>
      <c r="AB37" s="39" t="str">
        <f t="shared" si="11"/>
        <v/>
      </c>
      <c r="AC37" s="39" t="str">
        <f t="shared" si="12"/>
        <v/>
      </c>
      <c r="AD37" s="17"/>
      <c r="AE37" s="72" t="s">
        <v>129</v>
      </c>
      <c r="AF37" s="72" t="s">
        <v>0</v>
      </c>
      <c r="AG37" s="72" t="s">
        <v>25</v>
      </c>
      <c r="AH37" s="72" t="s">
        <v>0</v>
      </c>
      <c r="AI37" s="71">
        <v>1194.3</v>
      </c>
      <c r="AJ37" s="72" t="s">
        <v>0</v>
      </c>
      <c r="AK37" s="72">
        <v>4</v>
      </c>
      <c r="AL37" s="72" t="s">
        <v>0</v>
      </c>
      <c r="AM37" s="72">
        <v>267.8</v>
      </c>
      <c r="AN37" s="72" t="s">
        <v>0</v>
      </c>
      <c r="AO37" s="72">
        <v>-77.900000000000006</v>
      </c>
      <c r="AP37" s="72" t="s">
        <v>0</v>
      </c>
      <c r="AQ37" s="72">
        <v>101.1</v>
      </c>
      <c r="AR37" s="72" t="s">
        <v>0</v>
      </c>
      <c r="AS37" s="72">
        <v>-61.9</v>
      </c>
      <c r="AT37" s="72" t="s">
        <v>0</v>
      </c>
      <c r="AU37" s="72">
        <v>4.5</v>
      </c>
      <c r="AV37" s="72" t="s">
        <v>0</v>
      </c>
      <c r="AW37" s="71">
        <v>421.6</v>
      </c>
      <c r="AX37" s="72" t="s">
        <v>0</v>
      </c>
      <c r="AY37" s="72" t="s">
        <v>12</v>
      </c>
      <c r="AZ37" s="72" t="s">
        <v>0</v>
      </c>
      <c r="BA37" s="72" t="s">
        <v>90</v>
      </c>
      <c r="BB37" s="72" t="s">
        <v>0</v>
      </c>
      <c r="BC37" s="72" t="s">
        <v>78</v>
      </c>
      <c r="BD37" s="1"/>
      <c r="BE37" s="72" t="s">
        <v>116</v>
      </c>
      <c r="BF37" s="75">
        <v>47.083840829993598</v>
      </c>
      <c r="BG37" s="75">
        <v>-84.727741992587994</v>
      </c>
      <c r="BH37" s="1"/>
    </row>
    <row r="38" spans="1:60" s="3" customFormat="1" ht="15">
      <c r="A38" s="72" t="s">
        <v>129</v>
      </c>
      <c r="B38" s="72" t="s">
        <v>26</v>
      </c>
      <c r="C38" s="73">
        <v>110.3</v>
      </c>
      <c r="D38" s="73">
        <v>-62.6</v>
      </c>
      <c r="E38" s="73">
        <v>9.1999999999999993</v>
      </c>
      <c r="F38" s="72">
        <v>0</v>
      </c>
      <c r="G38" s="72">
        <v>4</v>
      </c>
      <c r="H38" s="38">
        <f t="shared" si="0"/>
        <v>-43.967637004662869</v>
      </c>
      <c r="I38" s="39">
        <f t="shared" si="16"/>
        <v>1.9250981649497454</v>
      </c>
      <c r="J38" s="39">
        <f t="shared" si="16"/>
        <v>-1.0925761117484503</v>
      </c>
      <c r="K38" s="39">
        <f t="shared" si="2"/>
        <v>0</v>
      </c>
      <c r="L38" s="39">
        <f t="shared" si="3"/>
        <v>0</v>
      </c>
      <c r="M38" s="39">
        <f t="shared" si="4"/>
        <v>0</v>
      </c>
      <c r="N38" s="17"/>
      <c r="O38" s="8">
        <v>47.083635333830799</v>
      </c>
      <c r="P38" s="8">
        <v>-84.727816609016898</v>
      </c>
      <c r="Q38" s="16"/>
      <c r="R38" s="41">
        <f t="shared" si="13"/>
        <v>66.760471573313694</v>
      </c>
      <c r="S38" s="42">
        <f t="shared" si="5"/>
        <v>-0.19738058555482302</v>
      </c>
      <c r="T38" s="37"/>
      <c r="U38" s="43">
        <f t="shared" si="14"/>
        <v>-42.723657117117142</v>
      </c>
      <c r="V38" s="44">
        <f t="shared" si="6"/>
        <v>28.511711817669408</v>
      </c>
      <c r="W38" s="43">
        <f t="shared" si="7"/>
        <v>42.723657117117142</v>
      </c>
      <c r="X38" s="43">
        <f t="shared" si="8"/>
        <v>208.51171181766941</v>
      </c>
      <c r="Y38" s="39">
        <f t="shared" si="15"/>
        <v>0.74566848518680273</v>
      </c>
      <c r="Z38" s="39">
        <f t="shared" si="15"/>
        <v>3.6392159001879016</v>
      </c>
      <c r="AA38" s="39" t="str">
        <f t="shared" si="10"/>
        <v/>
      </c>
      <c r="AB38" s="39" t="str">
        <f t="shared" si="11"/>
        <v/>
      </c>
      <c r="AC38" s="39" t="str">
        <f t="shared" si="12"/>
        <v/>
      </c>
      <c r="AD38" s="17"/>
      <c r="AE38" s="72" t="s">
        <v>129</v>
      </c>
      <c r="AF38" s="72" t="s">
        <v>0</v>
      </c>
      <c r="AG38" s="72" t="s">
        <v>26</v>
      </c>
      <c r="AH38" s="72" t="s">
        <v>0</v>
      </c>
      <c r="AI38" s="71">
        <v>1198.5999999999999</v>
      </c>
      <c r="AJ38" s="72" t="s">
        <v>0</v>
      </c>
      <c r="AK38" s="72">
        <v>4</v>
      </c>
      <c r="AL38" s="72" t="s">
        <v>0</v>
      </c>
      <c r="AM38" s="72">
        <v>252</v>
      </c>
      <c r="AN38" s="72" t="s">
        <v>0</v>
      </c>
      <c r="AO38" s="72">
        <v>-75.5</v>
      </c>
      <c r="AP38" s="72" t="s">
        <v>0</v>
      </c>
      <c r="AQ38" s="72">
        <v>110.3</v>
      </c>
      <c r="AR38" s="72" t="s">
        <v>0</v>
      </c>
      <c r="AS38" s="72">
        <v>-62.6</v>
      </c>
      <c r="AT38" s="72" t="s">
        <v>0</v>
      </c>
      <c r="AU38" s="72">
        <v>9.1999999999999993</v>
      </c>
      <c r="AV38" s="72" t="s">
        <v>0</v>
      </c>
      <c r="AW38" s="71">
        <v>101.2</v>
      </c>
      <c r="AX38" s="72" t="s">
        <v>0</v>
      </c>
      <c r="AY38" s="72" t="s">
        <v>12</v>
      </c>
      <c r="AZ38" s="72" t="s">
        <v>0</v>
      </c>
      <c r="BA38" s="72" t="s">
        <v>90</v>
      </c>
      <c r="BB38" s="72" t="s">
        <v>0</v>
      </c>
      <c r="BC38" s="72" t="s">
        <v>78</v>
      </c>
      <c r="BD38" s="1"/>
      <c r="BE38" s="72" t="s">
        <v>116</v>
      </c>
      <c r="BF38" s="75">
        <v>47.083635333830799</v>
      </c>
      <c r="BG38" s="75">
        <v>-84.727816609016898</v>
      </c>
      <c r="BH38" s="1"/>
    </row>
    <row r="39" spans="1:60" s="3" customFormat="1" ht="15">
      <c r="A39" s="72" t="s">
        <v>129</v>
      </c>
      <c r="B39" s="72" t="s">
        <v>27</v>
      </c>
      <c r="C39" s="73">
        <v>112.6</v>
      </c>
      <c r="D39" s="73">
        <v>-69.8</v>
      </c>
      <c r="E39" s="73">
        <v>2.4</v>
      </c>
      <c r="F39" s="72">
        <v>0</v>
      </c>
      <c r="G39" s="72">
        <v>4</v>
      </c>
      <c r="H39" s="38">
        <f t="shared" si="0"/>
        <v>-53.652256926864929</v>
      </c>
      <c r="I39" s="39">
        <f t="shared" si="16"/>
        <v>1.9652407377456149</v>
      </c>
      <c r="J39" s="39">
        <f t="shared" si="16"/>
        <v>-1.2182398178920419</v>
      </c>
      <c r="K39" s="39">
        <f t="shared" si="2"/>
        <v>0</v>
      </c>
      <c r="L39" s="39">
        <f t="shared" si="3"/>
        <v>0</v>
      </c>
      <c r="M39" s="39">
        <f t="shared" si="4"/>
        <v>0</v>
      </c>
      <c r="N39" s="17"/>
      <c r="O39" s="8">
        <v>47.083521323749402</v>
      </c>
      <c r="P39" s="8">
        <v>-84.727966381745702</v>
      </c>
      <c r="Q39" s="16"/>
      <c r="R39" s="41">
        <f t="shared" si="13"/>
        <v>55.10497150005164</v>
      </c>
      <c r="S39" s="42">
        <f t="shared" si="5"/>
        <v>-0.25987219549847229</v>
      </c>
      <c r="T39" s="37"/>
      <c r="U39" s="43">
        <f t="shared" si="14"/>
        <v>-48.154867170289037</v>
      </c>
      <c r="V39" s="44">
        <f t="shared" si="6"/>
        <v>40.167062118202658</v>
      </c>
      <c r="W39" s="43">
        <f t="shared" si="7"/>
        <v>48.154867170289037</v>
      </c>
      <c r="X39" s="43">
        <f t="shared" si="8"/>
        <v>220.16706211820267</v>
      </c>
      <c r="Y39" s="39">
        <f t="shared" ref="Y39:Z84" si="17">W39*PI()/180</f>
        <v>0.84046098298206862</v>
      </c>
      <c r="Z39" s="39">
        <f t="shared" si="17"/>
        <v>3.8426401384055175</v>
      </c>
      <c r="AA39" s="39" t="str">
        <f t="shared" si="10"/>
        <v/>
      </c>
      <c r="AB39" s="39" t="str">
        <f t="shared" si="11"/>
        <v/>
      </c>
      <c r="AC39" s="39" t="str">
        <f t="shared" si="12"/>
        <v/>
      </c>
      <c r="AD39" s="17"/>
      <c r="AE39" s="72" t="s">
        <v>129</v>
      </c>
      <c r="AF39" s="72" t="s">
        <v>0</v>
      </c>
      <c r="AG39" s="72" t="s">
        <v>27</v>
      </c>
      <c r="AH39" s="72" t="s">
        <v>0</v>
      </c>
      <c r="AI39" s="71">
        <v>1205.0999999999999</v>
      </c>
      <c r="AJ39" s="72" t="s">
        <v>0</v>
      </c>
      <c r="AK39" s="72">
        <v>4</v>
      </c>
      <c r="AL39" s="72" t="s">
        <v>0</v>
      </c>
      <c r="AM39" s="72">
        <v>262</v>
      </c>
      <c r="AN39" s="72" t="s">
        <v>0</v>
      </c>
      <c r="AO39" s="72">
        <v>-68.900000000000006</v>
      </c>
      <c r="AP39" s="72" t="s">
        <v>0</v>
      </c>
      <c r="AQ39" s="72">
        <v>112.6</v>
      </c>
      <c r="AR39" s="72" t="s">
        <v>0</v>
      </c>
      <c r="AS39" s="72">
        <v>-69.8</v>
      </c>
      <c r="AT39" s="72" t="s">
        <v>0</v>
      </c>
      <c r="AU39" s="72">
        <v>2.4</v>
      </c>
      <c r="AV39" s="72" t="s">
        <v>0</v>
      </c>
      <c r="AW39" s="71">
        <v>1512</v>
      </c>
      <c r="AX39" s="72" t="s">
        <v>0</v>
      </c>
      <c r="AY39" s="72" t="s">
        <v>7</v>
      </c>
      <c r="AZ39" s="72" t="s">
        <v>0</v>
      </c>
      <c r="BA39" s="72" t="s">
        <v>90</v>
      </c>
      <c r="BB39" s="72" t="s">
        <v>0</v>
      </c>
      <c r="BC39" s="72" t="s">
        <v>78</v>
      </c>
      <c r="BD39" s="1"/>
      <c r="BE39" s="72" t="s">
        <v>116</v>
      </c>
      <c r="BF39" s="75">
        <v>47.083521323749402</v>
      </c>
      <c r="BG39" s="75">
        <v>-84.727966381745702</v>
      </c>
      <c r="BH39" s="1"/>
    </row>
    <row r="40" spans="1:60" s="3" customFormat="1" ht="15">
      <c r="A40" s="72" t="s">
        <v>130</v>
      </c>
      <c r="B40" s="77" t="s">
        <v>102</v>
      </c>
      <c r="C40" s="73">
        <v>105.4</v>
      </c>
      <c r="D40" s="73">
        <v>-58.6</v>
      </c>
      <c r="E40" s="73">
        <v>3.3</v>
      </c>
      <c r="F40" s="72">
        <v>0</v>
      </c>
      <c r="G40" s="72">
        <v>6</v>
      </c>
      <c r="H40" s="38">
        <f t="shared" si="0"/>
        <v>-39.321985306145734</v>
      </c>
      <c r="I40" s="39">
        <f t="shared" si="16"/>
        <v>1.8395770316020235</v>
      </c>
      <c r="J40" s="39">
        <f t="shared" si="16"/>
        <v>-1.0227629416686772</v>
      </c>
      <c r="K40" s="39">
        <f t="shared" si="2"/>
        <v>0</v>
      </c>
      <c r="L40" s="39">
        <f t="shared" si="3"/>
        <v>0</v>
      </c>
      <c r="M40" s="39">
        <f t="shared" si="4"/>
        <v>0</v>
      </c>
      <c r="N40" s="17"/>
      <c r="O40" s="8">
        <v>47.083849000000001</v>
      </c>
      <c r="P40" s="8">
        <v>-84.730072000000007</v>
      </c>
      <c r="Q40" s="16"/>
      <c r="R40" s="41">
        <f t="shared" si="13"/>
        <v>69.352675190752848</v>
      </c>
      <c r="S40" s="42">
        <f t="shared" si="5"/>
        <v>-0.19136722236235992</v>
      </c>
      <c r="T40" s="37"/>
      <c r="U40" s="43">
        <f t="shared" si="14"/>
        <v>-37.154025546657877</v>
      </c>
      <c r="V40" s="44">
        <f t="shared" si="6"/>
        <v>25.917252809247145</v>
      </c>
      <c r="W40" s="43">
        <f t="shared" si="7"/>
        <v>37.154025546657877</v>
      </c>
      <c r="X40" s="43">
        <f t="shared" si="8"/>
        <v>205.91725280924715</v>
      </c>
      <c r="Y40" s="39">
        <f t="shared" si="17"/>
        <v>0.64846007615926604</v>
      </c>
      <c r="Z40" s="39">
        <f t="shared" si="17"/>
        <v>3.5939340481829056</v>
      </c>
      <c r="AA40" s="39" t="str">
        <f t="shared" si="10"/>
        <v/>
      </c>
      <c r="AB40" s="39" t="str">
        <f t="shared" si="11"/>
        <v/>
      </c>
      <c r="AC40" s="39" t="str">
        <f t="shared" si="12"/>
        <v/>
      </c>
      <c r="AD40" s="17"/>
      <c r="AE40" s="72" t="s">
        <v>130</v>
      </c>
      <c r="AF40" s="72" t="s">
        <v>0</v>
      </c>
      <c r="AG40" s="77" t="s">
        <v>102</v>
      </c>
      <c r="AH40" s="72" t="s">
        <v>0</v>
      </c>
      <c r="AI40" s="71">
        <f>AI41-1.6</f>
        <v>1288.8000000000002</v>
      </c>
      <c r="AJ40" s="72" t="s">
        <v>0</v>
      </c>
      <c r="AK40" s="72">
        <v>6</v>
      </c>
      <c r="AL40" s="72" t="s">
        <v>0</v>
      </c>
      <c r="AM40" s="72">
        <v>207.3</v>
      </c>
      <c r="AN40" s="72" t="s">
        <v>0</v>
      </c>
      <c r="AO40" s="72">
        <v>-72.400000000000006</v>
      </c>
      <c r="AP40" s="72" t="s">
        <v>0</v>
      </c>
      <c r="AQ40" s="72">
        <v>105.4</v>
      </c>
      <c r="AR40" s="72" t="s">
        <v>0</v>
      </c>
      <c r="AS40" s="72">
        <v>-58.6</v>
      </c>
      <c r="AT40" s="72" t="s">
        <v>0</v>
      </c>
      <c r="AU40" s="72">
        <v>3.3</v>
      </c>
      <c r="AV40" s="72" t="s">
        <v>0</v>
      </c>
      <c r="AW40" s="71">
        <v>336</v>
      </c>
      <c r="AX40" s="72" t="s">
        <v>0</v>
      </c>
      <c r="AY40" s="72" t="s">
        <v>12</v>
      </c>
      <c r="AZ40" s="72" t="s">
        <v>0</v>
      </c>
      <c r="BA40" s="72" t="s">
        <v>100</v>
      </c>
      <c r="BB40" s="72" t="s">
        <v>0</v>
      </c>
      <c r="BC40" s="72" t="s">
        <v>92</v>
      </c>
      <c r="BD40" s="1"/>
      <c r="BE40" s="72" t="s">
        <v>116</v>
      </c>
      <c r="BF40" s="75">
        <v>47.083849000000001</v>
      </c>
      <c r="BG40" s="75">
        <v>-84.730072000000007</v>
      </c>
      <c r="BH40" s="1"/>
    </row>
    <row r="41" spans="1:60" s="3" customFormat="1" ht="15">
      <c r="A41" s="72" t="s">
        <v>130</v>
      </c>
      <c r="B41" s="72" t="s">
        <v>103</v>
      </c>
      <c r="C41" s="73">
        <v>104</v>
      </c>
      <c r="D41" s="73">
        <v>-49.3</v>
      </c>
      <c r="E41" s="73">
        <v>5.4</v>
      </c>
      <c r="F41" s="72">
        <v>0</v>
      </c>
      <c r="G41" s="72">
        <v>3</v>
      </c>
      <c r="H41" s="38">
        <f t="shared" si="0"/>
        <v>-30.16959227676309</v>
      </c>
      <c r="I41" s="39">
        <f t="shared" si="16"/>
        <v>1.8151424220741028</v>
      </c>
      <c r="J41" s="39">
        <f t="shared" si="16"/>
        <v>-0.86044732123320433</v>
      </c>
      <c r="K41" s="39">
        <f t="shared" si="2"/>
        <v>0</v>
      </c>
      <c r="L41" s="39">
        <f t="shared" si="3"/>
        <v>0</v>
      </c>
      <c r="M41" s="39">
        <f t="shared" si="4"/>
        <v>0</v>
      </c>
      <c r="N41" s="17"/>
      <c r="O41" s="8">
        <v>47.083626394106602</v>
      </c>
      <c r="P41" s="8">
        <v>-84.730083056236893</v>
      </c>
      <c r="Q41" s="16"/>
      <c r="R41" s="41">
        <f t="shared" si="13"/>
        <v>77.300533757114238</v>
      </c>
      <c r="S41" s="42">
        <f t="shared" si="5"/>
        <v>-0.12872119819828109</v>
      </c>
      <c r="T41" s="37"/>
      <c r="U41" s="43">
        <f t="shared" si="14"/>
        <v>-30.694971914924011</v>
      </c>
      <c r="V41" s="44">
        <f t="shared" si="6"/>
        <v>17.969383186648869</v>
      </c>
      <c r="W41" s="43">
        <f t="shared" si="7"/>
        <v>30.694971914924011</v>
      </c>
      <c r="X41" s="43">
        <f t="shared" si="8"/>
        <v>197.96938318664888</v>
      </c>
      <c r="Y41" s="39">
        <f t="shared" si="17"/>
        <v>0.5357283237226127</v>
      </c>
      <c r="Z41" s="39">
        <f t="shared" si="17"/>
        <v>3.4552175547493271</v>
      </c>
      <c r="AA41" s="39" t="str">
        <f t="shared" si="10"/>
        <v/>
      </c>
      <c r="AB41" s="39" t="str">
        <f t="shared" si="11"/>
        <v/>
      </c>
      <c r="AC41" s="39" t="str">
        <f t="shared" si="12"/>
        <v/>
      </c>
      <c r="AD41" s="17"/>
      <c r="AE41" s="72" t="s">
        <v>130</v>
      </c>
      <c r="AF41" s="72" t="s">
        <v>0</v>
      </c>
      <c r="AG41" s="72" t="s">
        <v>103</v>
      </c>
      <c r="AH41" s="72" t="s">
        <v>0</v>
      </c>
      <c r="AI41" s="71">
        <v>1290.4000000000001</v>
      </c>
      <c r="AJ41" s="72" t="s">
        <v>0</v>
      </c>
      <c r="AK41" s="72">
        <v>3</v>
      </c>
      <c r="AL41" s="72" t="s">
        <v>0</v>
      </c>
      <c r="AM41" s="72">
        <v>175.2</v>
      </c>
      <c r="AN41" s="72" t="s">
        <v>0</v>
      </c>
      <c r="AO41" s="72">
        <v>-73.599999999999994</v>
      </c>
      <c r="AP41" s="72" t="s">
        <v>0</v>
      </c>
      <c r="AQ41" s="72">
        <v>104</v>
      </c>
      <c r="AR41" s="72" t="s">
        <v>0</v>
      </c>
      <c r="AS41" s="72">
        <v>-49.3</v>
      </c>
      <c r="AT41" s="72" t="s">
        <v>0</v>
      </c>
      <c r="AU41" s="72">
        <v>5.4</v>
      </c>
      <c r="AV41" s="72" t="s">
        <v>0</v>
      </c>
      <c r="AW41" s="71">
        <v>513</v>
      </c>
      <c r="AX41" s="72" t="s">
        <v>0</v>
      </c>
      <c r="AY41" s="72" t="s">
        <v>2</v>
      </c>
      <c r="AZ41" s="72" t="s">
        <v>0</v>
      </c>
      <c r="BA41" s="72" t="s">
        <v>90</v>
      </c>
      <c r="BB41" s="72" t="s">
        <v>0</v>
      </c>
      <c r="BC41" s="72" t="s">
        <v>78</v>
      </c>
      <c r="BD41" s="1"/>
      <c r="BE41" s="72" t="s">
        <v>116</v>
      </c>
      <c r="BF41" s="75">
        <v>47.083626394106602</v>
      </c>
      <c r="BG41" s="75">
        <v>-84.730083056236893</v>
      </c>
      <c r="BH41" s="72" t="s">
        <v>165</v>
      </c>
    </row>
    <row r="42" spans="1:60" s="3" customFormat="1" ht="15">
      <c r="A42" s="72" t="s">
        <v>130</v>
      </c>
      <c r="B42" s="72" t="s">
        <v>101</v>
      </c>
      <c r="C42" s="73">
        <v>111.4</v>
      </c>
      <c r="D42" s="73">
        <v>-58.3</v>
      </c>
      <c r="E42" s="73">
        <v>7.6</v>
      </c>
      <c r="F42" s="72">
        <v>0</v>
      </c>
      <c r="G42" s="72">
        <v>5</v>
      </c>
      <c r="H42" s="38">
        <f t="shared" si="0"/>
        <v>-38.992557894555489</v>
      </c>
      <c r="I42" s="39">
        <f t="shared" si="16"/>
        <v>1.9442967867216832</v>
      </c>
      <c r="J42" s="39">
        <f t="shared" si="16"/>
        <v>-1.0175269539126941</v>
      </c>
      <c r="K42" s="39">
        <f t="shared" si="2"/>
        <v>0</v>
      </c>
      <c r="L42" s="39">
        <f t="shared" si="3"/>
        <v>0</v>
      </c>
      <c r="M42" s="39">
        <f t="shared" si="4"/>
        <v>0</v>
      </c>
      <c r="N42" s="17"/>
      <c r="O42" s="8">
        <f>AVERAGE(O41,O43)</f>
        <v>47.083685362265356</v>
      </c>
      <c r="P42" s="8">
        <f>AVERAGE(P41,P43)</f>
        <v>-84.730106899824506</v>
      </c>
      <c r="Q42" s="16"/>
      <c r="R42" s="41">
        <f t="shared" si="13"/>
        <v>73.034343819423668</v>
      </c>
      <c r="S42" s="42">
        <f t="shared" si="5"/>
        <v>-0.15032569608819729</v>
      </c>
      <c r="T42" s="37"/>
      <c r="U42" s="43">
        <f t="shared" si="14"/>
        <v>-40.837402256256809</v>
      </c>
      <c r="V42" s="44">
        <f t="shared" si="6"/>
        <v>22.235549280751826</v>
      </c>
      <c r="W42" s="43">
        <f t="shared" si="7"/>
        <v>40.837402256256809</v>
      </c>
      <c r="X42" s="43">
        <f t="shared" si="8"/>
        <v>202.23554928075183</v>
      </c>
      <c r="Y42" s="39">
        <f t="shared" si="17"/>
        <v>0.71274712733304235</v>
      </c>
      <c r="Z42" s="39">
        <f t="shared" si="17"/>
        <v>3.5296761995283696</v>
      </c>
      <c r="AA42" s="39" t="str">
        <f t="shared" si="10"/>
        <v/>
      </c>
      <c r="AB42" s="39" t="str">
        <f t="shared" si="11"/>
        <v/>
      </c>
      <c r="AC42" s="39" t="str">
        <f t="shared" si="12"/>
        <v/>
      </c>
      <c r="AD42" s="17"/>
      <c r="AE42" s="72" t="s">
        <v>130</v>
      </c>
      <c r="AF42" s="72" t="s">
        <v>0</v>
      </c>
      <c r="AG42" s="72" t="s">
        <v>101</v>
      </c>
      <c r="AH42" s="72" t="s">
        <v>0</v>
      </c>
      <c r="AI42" s="71">
        <f>AI41+(5.4-1.5)</f>
        <v>1294.3000000000002</v>
      </c>
      <c r="AJ42" s="72" t="s">
        <v>0</v>
      </c>
      <c r="AK42" s="72">
        <v>5</v>
      </c>
      <c r="AL42" s="72" t="s">
        <v>0</v>
      </c>
      <c r="AM42" s="72">
        <v>204.3</v>
      </c>
      <c r="AN42" s="72" t="s">
        <v>0</v>
      </c>
      <c r="AO42" s="72">
        <v>-69.3</v>
      </c>
      <c r="AP42" s="72" t="s">
        <v>0</v>
      </c>
      <c r="AQ42" s="72">
        <v>111.6</v>
      </c>
      <c r="AR42" s="72" t="s">
        <v>0</v>
      </c>
      <c r="AS42" s="72">
        <v>-58.3</v>
      </c>
      <c r="AT42" s="72" t="s">
        <v>0</v>
      </c>
      <c r="AU42" s="72">
        <v>7.6</v>
      </c>
      <c r="AV42" s="72" t="s">
        <v>0</v>
      </c>
      <c r="AW42" s="71">
        <v>82</v>
      </c>
      <c r="AX42" s="72" t="s">
        <v>0</v>
      </c>
      <c r="AY42" s="72" t="s">
        <v>12</v>
      </c>
      <c r="AZ42" s="72" t="s">
        <v>0</v>
      </c>
      <c r="BA42" s="72" t="s">
        <v>100</v>
      </c>
      <c r="BB42" s="72" t="s">
        <v>0</v>
      </c>
      <c r="BC42" s="72" t="s">
        <v>92</v>
      </c>
      <c r="BD42" s="1"/>
      <c r="BE42" s="72" t="s">
        <v>116</v>
      </c>
      <c r="BF42" s="75">
        <f>AVERAGE(BF41,BF43)</f>
        <v>47.083685362265356</v>
      </c>
      <c r="BG42" s="75">
        <f>AVERAGE(BG41,BG43)</f>
        <v>-84.730106899824506</v>
      </c>
      <c r="BH42" s="1"/>
    </row>
    <row r="43" spans="1:60" s="3" customFormat="1" ht="15">
      <c r="A43" s="72" t="s">
        <v>130</v>
      </c>
      <c r="B43" s="72" t="s">
        <v>28</v>
      </c>
      <c r="C43" s="73">
        <v>99.7</v>
      </c>
      <c r="D43" s="73">
        <v>-53.9</v>
      </c>
      <c r="E43" s="73">
        <v>8.5</v>
      </c>
      <c r="F43" s="72">
        <v>0</v>
      </c>
      <c r="G43" s="72">
        <v>4</v>
      </c>
      <c r="H43" s="38">
        <f t="shared" si="0"/>
        <v>-34.43730808915182</v>
      </c>
      <c r="I43" s="39">
        <f t="shared" si="16"/>
        <v>1.7400932642383464</v>
      </c>
      <c r="J43" s="39">
        <f t="shared" si="16"/>
        <v>-0.9407324668249436</v>
      </c>
      <c r="K43" s="39">
        <f t="shared" si="2"/>
        <v>0</v>
      </c>
      <c r="L43" s="39">
        <f t="shared" si="3"/>
        <v>0</v>
      </c>
      <c r="M43" s="39">
        <f t="shared" si="4"/>
        <v>0</v>
      </c>
      <c r="N43" s="17"/>
      <c r="O43" s="8">
        <v>47.083744330424103</v>
      </c>
      <c r="P43" s="8">
        <v>-84.730130743412104</v>
      </c>
      <c r="Q43" s="16"/>
      <c r="R43" s="41">
        <f t="shared" si="13"/>
        <v>70.787469779688251</v>
      </c>
      <c r="S43" s="42">
        <f t="shared" si="5"/>
        <v>-0.19290713051477232</v>
      </c>
      <c r="T43" s="37"/>
      <c r="U43" s="43">
        <f t="shared" si="14"/>
        <v>-30.581884614670329</v>
      </c>
      <c r="V43" s="44">
        <f t="shared" si="6"/>
        <v>24.482399476899644</v>
      </c>
      <c r="W43" s="43">
        <f t="shared" si="7"/>
        <v>30.581884614670329</v>
      </c>
      <c r="X43" s="43">
        <f t="shared" si="8"/>
        <v>204.48239947689964</v>
      </c>
      <c r="Y43" s="39">
        <f t="shared" si="17"/>
        <v>0.53375457799099457</v>
      </c>
      <c r="Z43" s="39">
        <f t="shared" si="17"/>
        <v>3.5688911332502293</v>
      </c>
      <c r="AA43" s="39" t="str">
        <f t="shared" si="10"/>
        <v/>
      </c>
      <c r="AB43" s="39" t="str">
        <f t="shared" si="11"/>
        <v/>
      </c>
      <c r="AC43" s="39" t="str">
        <f t="shared" si="12"/>
        <v/>
      </c>
      <c r="AD43" s="17"/>
      <c r="AE43" s="72" t="s">
        <v>130</v>
      </c>
      <c r="AF43" s="72" t="s">
        <v>0</v>
      </c>
      <c r="AG43" s="72" t="s">
        <v>28</v>
      </c>
      <c r="AH43" s="72" t="s">
        <v>0</v>
      </c>
      <c r="AI43" s="71">
        <v>1297</v>
      </c>
      <c r="AJ43" s="72" t="s">
        <v>0</v>
      </c>
      <c r="AK43" s="72">
        <v>4</v>
      </c>
      <c r="AL43" s="72" t="s">
        <v>0</v>
      </c>
      <c r="AM43" s="72">
        <v>192.6</v>
      </c>
      <c r="AN43" s="72" t="s">
        <v>0</v>
      </c>
      <c r="AO43" s="72">
        <v>-76.5</v>
      </c>
      <c r="AP43" s="72" t="s">
        <v>0</v>
      </c>
      <c r="AQ43" s="72">
        <v>99.7</v>
      </c>
      <c r="AR43" s="72" t="s">
        <v>0</v>
      </c>
      <c r="AS43" s="72">
        <v>-53.9</v>
      </c>
      <c r="AT43" s="72" t="s">
        <v>0</v>
      </c>
      <c r="AU43" s="72">
        <v>8.5</v>
      </c>
      <c r="AV43" s="72" t="s">
        <v>0</v>
      </c>
      <c r="AW43" s="71">
        <v>118</v>
      </c>
      <c r="AX43" s="72" t="s">
        <v>0</v>
      </c>
      <c r="AY43" s="72" t="s">
        <v>2</v>
      </c>
      <c r="AZ43" s="72" t="s">
        <v>0</v>
      </c>
      <c r="BA43" s="72" t="s">
        <v>90</v>
      </c>
      <c r="BB43" s="72" t="s">
        <v>0</v>
      </c>
      <c r="BC43" s="72" t="s">
        <v>78</v>
      </c>
      <c r="BD43" s="1"/>
      <c r="BE43" s="72" t="s">
        <v>116</v>
      </c>
      <c r="BF43" s="75">
        <v>47.083744330424103</v>
      </c>
      <c r="BG43" s="75">
        <v>-84.730130743412104</v>
      </c>
      <c r="BH43" s="72" t="s">
        <v>165</v>
      </c>
    </row>
    <row r="44" spans="1:60" s="3" customFormat="1" ht="15">
      <c r="A44" s="72" t="s">
        <v>130</v>
      </c>
      <c r="B44" s="72" t="s">
        <v>29</v>
      </c>
      <c r="C44" s="73">
        <v>97.3</v>
      </c>
      <c r="D44" s="73">
        <v>-48.3</v>
      </c>
      <c r="E44" s="73">
        <v>16.399999999999999</v>
      </c>
      <c r="F44" s="72">
        <v>0</v>
      </c>
      <c r="G44" s="72">
        <v>4</v>
      </c>
      <c r="H44" s="38">
        <f t="shared" si="0"/>
        <v>-29.300604356244026</v>
      </c>
      <c r="I44" s="39">
        <f t="shared" si="16"/>
        <v>1.6982053621904827</v>
      </c>
      <c r="J44" s="39">
        <f t="shared" si="16"/>
        <v>-0.84299402871326112</v>
      </c>
      <c r="K44" s="39">
        <f t="shared" si="2"/>
        <v>0</v>
      </c>
      <c r="L44" s="39">
        <f t="shared" si="3"/>
        <v>0</v>
      </c>
      <c r="M44" s="39">
        <f t="shared" si="4"/>
        <v>0</v>
      </c>
      <c r="N44" s="17"/>
      <c r="O44" s="8">
        <v>47.083628748014597</v>
      </c>
      <c r="P44" s="8">
        <v>-84.730201529464907</v>
      </c>
      <c r="Q44" s="16"/>
      <c r="R44" s="41">
        <f t="shared" si="13"/>
        <v>73.751959226913002</v>
      </c>
      <c r="S44" s="42">
        <f t="shared" si="5"/>
        <v>-0.17165644355575344</v>
      </c>
      <c r="T44" s="37"/>
      <c r="U44" s="43">
        <f t="shared" si="14"/>
        <v>-25.71264973758187</v>
      </c>
      <c r="V44" s="44">
        <f t="shared" si="6"/>
        <v>21.517839243622092</v>
      </c>
      <c r="W44" s="43">
        <f t="shared" si="7"/>
        <v>25.71264973758187</v>
      </c>
      <c r="X44" s="43">
        <f t="shared" si="8"/>
        <v>201.51783924362209</v>
      </c>
      <c r="Y44" s="39">
        <f t="shared" si="17"/>
        <v>0.44877039733285956</v>
      </c>
      <c r="Z44" s="39">
        <f t="shared" si="17"/>
        <v>3.5171497963058447</v>
      </c>
      <c r="AA44" s="39" t="str">
        <f t="shared" si="10"/>
        <v/>
      </c>
      <c r="AB44" s="39" t="str">
        <f t="shared" si="11"/>
        <v/>
      </c>
      <c r="AC44" s="39" t="str">
        <f t="shared" si="12"/>
        <v/>
      </c>
      <c r="AD44" s="17"/>
      <c r="AE44" s="72" t="s">
        <v>130</v>
      </c>
      <c r="AF44" s="72" t="s">
        <v>0</v>
      </c>
      <c r="AG44" s="72" t="s">
        <v>29</v>
      </c>
      <c r="AH44" s="72" t="s">
        <v>0</v>
      </c>
      <c r="AI44" s="71">
        <v>1301.4000000000001</v>
      </c>
      <c r="AJ44" s="72" t="s">
        <v>0</v>
      </c>
      <c r="AK44" s="72">
        <v>4</v>
      </c>
      <c r="AL44" s="72" t="s">
        <v>0</v>
      </c>
      <c r="AM44" s="72">
        <v>167.1</v>
      </c>
      <c r="AN44" s="72" t="s">
        <v>0</v>
      </c>
      <c r="AO44" s="72">
        <v>-77.599999999999994</v>
      </c>
      <c r="AP44" s="72" t="s">
        <v>0</v>
      </c>
      <c r="AQ44" s="72">
        <v>97.3</v>
      </c>
      <c r="AR44" s="72" t="s">
        <v>0</v>
      </c>
      <c r="AS44" s="72">
        <v>-48.3</v>
      </c>
      <c r="AT44" s="72" t="s">
        <v>0</v>
      </c>
      <c r="AU44" s="72">
        <v>16.399999999999999</v>
      </c>
      <c r="AV44" s="72" t="s">
        <v>0</v>
      </c>
      <c r="AW44" s="71">
        <v>32</v>
      </c>
      <c r="AX44" s="72" t="s">
        <v>0</v>
      </c>
      <c r="AY44" s="72" t="s">
        <v>12</v>
      </c>
      <c r="AZ44" s="72" t="s">
        <v>0</v>
      </c>
      <c r="BA44" s="72" t="s">
        <v>90</v>
      </c>
      <c r="BB44" s="72" t="s">
        <v>0</v>
      </c>
      <c r="BC44" s="72" t="s">
        <v>78</v>
      </c>
      <c r="BD44" s="1"/>
      <c r="BE44" s="72" t="s">
        <v>116</v>
      </c>
      <c r="BF44" s="75">
        <v>47.083628748014597</v>
      </c>
      <c r="BG44" s="75">
        <v>-84.730201529464907</v>
      </c>
      <c r="BH44" s="72" t="s">
        <v>165</v>
      </c>
    </row>
    <row r="45" spans="1:60" s="3" customFormat="1" ht="15">
      <c r="A45" s="72" t="s">
        <v>130</v>
      </c>
      <c r="B45" s="72" t="s">
        <v>30</v>
      </c>
      <c r="C45" s="73">
        <v>287.7</v>
      </c>
      <c r="D45" s="73">
        <v>53.6</v>
      </c>
      <c r="E45" s="73">
        <v>5.2</v>
      </c>
      <c r="F45" s="72">
        <v>0</v>
      </c>
      <c r="G45" s="72">
        <v>5</v>
      </c>
      <c r="H45" s="38">
        <f t="shared" si="0"/>
        <v>34.144472921454771</v>
      </c>
      <c r="I45" s="39">
        <f t="shared" si="16"/>
        <v>5.0213122579876854</v>
      </c>
      <c r="J45" s="39">
        <f t="shared" si="16"/>
        <v>0.93549647906896072</v>
      </c>
      <c r="K45" s="39">
        <f t="shared" si="2"/>
        <v>0</v>
      </c>
      <c r="L45" s="39">
        <f t="shared" si="3"/>
        <v>0</v>
      </c>
      <c r="M45" s="39">
        <f t="shared" si="4"/>
        <v>0</v>
      </c>
      <c r="N45" s="17"/>
      <c r="O45" s="8">
        <v>47.083481282378202</v>
      </c>
      <c r="P45" s="8">
        <v>-84.730932408612802</v>
      </c>
      <c r="Q45" s="16"/>
      <c r="R45" s="41">
        <f t="shared" si="13"/>
        <v>-75.908640967814421</v>
      </c>
      <c r="S45" s="42">
        <f t="shared" si="5"/>
        <v>0.13476845933494846</v>
      </c>
      <c r="T45" s="37"/>
      <c r="U45" s="43">
        <f t="shared" si="14"/>
        <v>35.61898827571973</v>
      </c>
      <c r="V45" s="44">
        <f t="shared" si="6"/>
        <v>-160.63957337642722</v>
      </c>
      <c r="W45" s="43">
        <f t="shared" si="7"/>
        <v>35.61898827571973</v>
      </c>
      <c r="X45" s="43">
        <f t="shared" si="8"/>
        <v>-160.63957337642722</v>
      </c>
      <c r="Y45" s="39">
        <f t="shared" si="17"/>
        <v>0.62166862164056713</v>
      </c>
      <c r="Z45" s="39">
        <f t="shared" si="17"/>
        <v>-2.8036894644176793</v>
      </c>
      <c r="AA45" s="39" t="str">
        <f t="shared" si="10"/>
        <v/>
      </c>
      <c r="AB45" s="39" t="str">
        <f t="shared" si="11"/>
        <v/>
      </c>
      <c r="AC45" s="39" t="str">
        <f t="shared" si="12"/>
        <v/>
      </c>
      <c r="AD45" s="17"/>
      <c r="AE45" s="72" t="s">
        <v>130</v>
      </c>
      <c r="AF45" s="72" t="s">
        <v>0</v>
      </c>
      <c r="AG45" s="72" t="s">
        <v>30</v>
      </c>
      <c r="AH45" s="72" t="s">
        <v>0</v>
      </c>
      <c r="AI45" s="71">
        <v>1350.7</v>
      </c>
      <c r="AJ45" s="72" t="s">
        <v>0</v>
      </c>
      <c r="AK45" s="72">
        <v>5</v>
      </c>
      <c r="AL45" s="72" t="s">
        <v>0</v>
      </c>
      <c r="AM45" s="72">
        <v>10.6</v>
      </c>
      <c r="AN45" s="72" t="s">
        <v>0</v>
      </c>
      <c r="AO45" s="72">
        <v>71.8</v>
      </c>
      <c r="AP45" s="72" t="s">
        <v>0</v>
      </c>
      <c r="AQ45" s="72">
        <v>287.7</v>
      </c>
      <c r="AR45" s="72" t="s">
        <v>0</v>
      </c>
      <c r="AS45" s="72">
        <v>53.6</v>
      </c>
      <c r="AT45" s="72" t="s">
        <v>0</v>
      </c>
      <c r="AU45" s="72">
        <v>5.2</v>
      </c>
      <c r="AV45" s="72" t="s">
        <v>0</v>
      </c>
      <c r="AW45" s="71">
        <v>218</v>
      </c>
      <c r="AX45" s="72" t="s">
        <v>0</v>
      </c>
      <c r="AY45" s="72" t="s">
        <v>2</v>
      </c>
      <c r="AZ45" s="72" t="s">
        <v>0</v>
      </c>
      <c r="BA45" s="72" t="s">
        <v>90</v>
      </c>
      <c r="BB45" s="72" t="s">
        <v>0</v>
      </c>
      <c r="BC45" s="72" t="s">
        <v>78</v>
      </c>
      <c r="BD45" s="1"/>
      <c r="BE45" s="72" t="s">
        <v>116</v>
      </c>
      <c r="BF45" s="75">
        <v>47.083481282378202</v>
      </c>
      <c r="BG45" s="75">
        <v>-84.730932408612802</v>
      </c>
      <c r="BH45" s="72" t="s">
        <v>165</v>
      </c>
    </row>
    <row r="46" spans="1:60" s="3" customFormat="1" ht="15">
      <c r="A46" s="72" t="s">
        <v>130</v>
      </c>
      <c r="B46" s="72" t="s">
        <v>31</v>
      </c>
      <c r="C46" s="73">
        <v>283.7</v>
      </c>
      <c r="D46" s="73">
        <v>44.5</v>
      </c>
      <c r="E46" s="73">
        <v>6.1</v>
      </c>
      <c r="F46" s="72">
        <v>0</v>
      </c>
      <c r="G46" s="72">
        <v>5</v>
      </c>
      <c r="H46" s="38">
        <f t="shared" si="0"/>
        <v>26.167131012142576</v>
      </c>
      <c r="I46" s="39">
        <f t="shared" si="16"/>
        <v>4.951499087907913</v>
      </c>
      <c r="J46" s="39">
        <f t="shared" si="16"/>
        <v>0.77667151713747673</v>
      </c>
      <c r="K46" s="39">
        <f t="shared" si="2"/>
        <v>0</v>
      </c>
      <c r="L46" s="39">
        <f t="shared" si="3"/>
        <v>0</v>
      </c>
      <c r="M46" s="39">
        <f t="shared" si="4"/>
        <v>0</v>
      </c>
      <c r="N46" s="17"/>
      <c r="O46" s="8">
        <v>47.083361936463398</v>
      </c>
      <c r="P46" s="8">
        <v>-84.731266847249998</v>
      </c>
      <c r="Q46" s="16"/>
      <c r="R46" s="41">
        <f t="shared" si="13"/>
        <v>-80.58337863251397</v>
      </c>
      <c r="S46" s="42">
        <f t="shared" si="5"/>
        <v>9.8472988259917293E-2</v>
      </c>
      <c r="T46" s="37"/>
      <c r="U46" s="43">
        <f t="shared" si="14"/>
        <v>27.885120658131697</v>
      </c>
      <c r="V46" s="44">
        <f t="shared" si="6"/>
        <v>-165.31464547976395</v>
      </c>
      <c r="W46" s="43">
        <f t="shared" si="7"/>
        <v>27.885120658131697</v>
      </c>
      <c r="X46" s="43">
        <f t="shared" si="8"/>
        <v>-165.31464547976395</v>
      </c>
      <c r="Y46" s="39">
        <f t="shared" si="17"/>
        <v>0.4866871678002862</v>
      </c>
      <c r="Z46" s="39">
        <f t="shared" si="17"/>
        <v>-2.8852848653890417</v>
      </c>
      <c r="AA46" s="39" t="str">
        <f t="shared" si="10"/>
        <v/>
      </c>
      <c r="AB46" s="39" t="str">
        <f t="shared" si="11"/>
        <v/>
      </c>
      <c r="AC46" s="39" t="str">
        <f t="shared" si="12"/>
        <v/>
      </c>
      <c r="AD46" s="17"/>
      <c r="AE46" s="72" t="s">
        <v>130</v>
      </c>
      <c r="AF46" s="72" t="s">
        <v>0</v>
      </c>
      <c r="AG46" s="72" t="s">
        <v>31</v>
      </c>
      <c r="AH46" s="72" t="s">
        <v>0</v>
      </c>
      <c r="AI46" s="71">
        <v>1363.8</v>
      </c>
      <c r="AJ46" s="72" t="s">
        <v>0</v>
      </c>
      <c r="AK46" s="72">
        <v>5</v>
      </c>
      <c r="AL46" s="72" t="s">
        <v>0</v>
      </c>
      <c r="AM46" s="72">
        <v>339.8</v>
      </c>
      <c r="AN46" s="72" t="s">
        <v>0</v>
      </c>
      <c r="AO46" s="72">
        <v>72.099999999999994</v>
      </c>
      <c r="AP46" s="72" t="s">
        <v>0</v>
      </c>
      <c r="AQ46" s="72">
        <v>283.7</v>
      </c>
      <c r="AR46" s="72" t="s">
        <v>0</v>
      </c>
      <c r="AS46" s="72">
        <v>44.5</v>
      </c>
      <c r="AT46" s="72" t="s">
        <v>0</v>
      </c>
      <c r="AU46" s="72">
        <v>6.1</v>
      </c>
      <c r="AV46" s="72" t="s">
        <v>0</v>
      </c>
      <c r="AW46" s="72">
        <v>129</v>
      </c>
      <c r="AX46" s="72" t="s">
        <v>0</v>
      </c>
      <c r="AY46" s="72" t="s">
        <v>2</v>
      </c>
      <c r="AZ46" s="72" t="s">
        <v>0</v>
      </c>
      <c r="BA46" s="72" t="s">
        <v>90</v>
      </c>
      <c r="BB46" s="72" t="s">
        <v>0</v>
      </c>
      <c r="BC46" s="72" t="s">
        <v>99</v>
      </c>
      <c r="BD46" s="1"/>
      <c r="BE46" s="72" t="s">
        <v>116</v>
      </c>
      <c r="BF46" s="75">
        <v>47.083361936463398</v>
      </c>
      <c r="BG46" s="75">
        <v>-84.731266847249998</v>
      </c>
      <c r="BH46" s="72" t="s">
        <v>166</v>
      </c>
    </row>
    <row r="47" spans="1:60" s="3" customFormat="1" ht="15">
      <c r="A47" s="72" t="s">
        <v>130</v>
      </c>
      <c r="B47" s="72" t="s">
        <v>32</v>
      </c>
      <c r="C47" s="73">
        <v>271.8</v>
      </c>
      <c r="D47" s="73">
        <v>42.7</v>
      </c>
      <c r="E47" s="73">
        <v>6.7</v>
      </c>
      <c r="F47" s="72">
        <v>0</v>
      </c>
      <c r="G47" s="72">
        <v>5</v>
      </c>
      <c r="H47" s="38">
        <f t="shared" si="0"/>
        <v>24.767972808376065</v>
      </c>
      <c r="I47" s="39">
        <f t="shared" si="16"/>
        <v>4.7438049069205883</v>
      </c>
      <c r="J47" s="39">
        <f t="shared" si="16"/>
        <v>0.74525559060157875</v>
      </c>
      <c r="K47" s="39">
        <f t="shared" si="2"/>
        <v>0</v>
      </c>
      <c r="L47" s="39">
        <f t="shared" si="3"/>
        <v>0</v>
      </c>
      <c r="M47" s="39">
        <f t="shared" si="4"/>
        <v>0</v>
      </c>
      <c r="N47" s="17"/>
      <c r="O47" s="8">
        <v>47.083657769416497</v>
      </c>
      <c r="P47" s="8">
        <v>-84.731662700504899</v>
      </c>
      <c r="Q47" s="16"/>
      <c r="R47" s="41">
        <f t="shared" si="13"/>
        <v>-73.758520871911188</v>
      </c>
      <c r="S47" s="42">
        <f t="shared" si="5"/>
        <v>0.18002712988521011</v>
      </c>
      <c r="T47" s="37"/>
      <c r="U47" s="43">
        <f t="shared" si="14"/>
        <v>19.04038709269247</v>
      </c>
      <c r="V47" s="44">
        <f t="shared" si="6"/>
        <v>-158.49018357241607</v>
      </c>
      <c r="W47" s="43">
        <f t="shared" si="7"/>
        <v>19.04038709269247</v>
      </c>
      <c r="X47" s="43">
        <f t="shared" si="8"/>
        <v>-158.49018357241607</v>
      </c>
      <c r="Y47" s="39">
        <f t="shared" si="17"/>
        <v>0.33231744562171434</v>
      </c>
      <c r="Z47" s="39">
        <f t="shared" si="17"/>
        <v>-2.7661755354288893</v>
      </c>
      <c r="AA47" s="39" t="str">
        <f t="shared" si="10"/>
        <v/>
      </c>
      <c r="AB47" s="39" t="str">
        <f t="shared" si="11"/>
        <v/>
      </c>
      <c r="AC47" s="39" t="str">
        <f t="shared" si="12"/>
        <v/>
      </c>
      <c r="AD47" s="17"/>
      <c r="AE47" s="72" t="s">
        <v>130</v>
      </c>
      <c r="AF47" s="72" t="s">
        <v>0</v>
      </c>
      <c r="AG47" s="72" t="s">
        <v>32</v>
      </c>
      <c r="AH47" s="72" t="s">
        <v>0</v>
      </c>
      <c r="AI47" s="71">
        <v>1369.5</v>
      </c>
      <c r="AJ47" s="72" t="s">
        <v>0</v>
      </c>
      <c r="AK47" s="72">
        <v>5</v>
      </c>
      <c r="AL47" s="72" t="s">
        <v>0</v>
      </c>
      <c r="AM47" s="72">
        <v>314.2</v>
      </c>
      <c r="AN47" s="72" t="s">
        <v>0</v>
      </c>
      <c r="AO47" s="72">
        <v>78.2</v>
      </c>
      <c r="AP47" s="72" t="s">
        <v>0</v>
      </c>
      <c r="AQ47" s="72">
        <v>271.8</v>
      </c>
      <c r="AR47" s="72" t="s">
        <v>0</v>
      </c>
      <c r="AS47" s="72">
        <v>42.7</v>
      </c>
      <c r="AT47" s="72" t="s">
        <v>0</v>
      </c>
      <c r="AU47" s="72">
        <v>6.7</v>
      </c>
      <c r="AV47" s="72" t="s">
        <v>0</v>
      </c>
      <c r="AW47" s="72">
        <v>131</v>
      </c>
      <c r="AX47" s="72" t="s">
        <v>0</v>
      </c>
      <c r="AY47" s="72" t="s">
        <v>2</v>
      </c>
      <c r="AZ47" s="72" t="s">
        <v>0</v>
      </c>
      <c r="BA47" s="72" t="s">
        <v>90</v>
      </c>
      <c r="BB47" s="72" t="s">
        <v>0</v>
      </c>
      <c r="BC47" s="72" t="s">
        <v>78</v>
      </c>
      <c r="BD47" s="1"/>
      <c r="BE47" s="72" t="s">
        <v>116</v>
      </c>
      <c r="BF47" s="75">
        <v>47.083657769416497</v>
      </c>
      <c r="BG47" s="75">
        <v>-84.731662700504899</v>
      </c>
      <c r="BH47" s="72" t="s">
        <v>165</v>
      </c>
    </row>
    <row r="48" spans="1:60" s="3" customFormat="1" ht="15">
      <c r="A48" s="72" t="s">
        <v>130</v>
      </c>
      <c r="B48" s="72" t="s">
        <v>105</v>
      </c>
      <c r="C48" s="73">
        <v>294.5</v>
      </c>
      <c r="D48" s="73">
        <v>42.6</v>
      </c>
      <c r="E48" s="73">
        <v>7.7</v>
      </c>
      <c r="F48" s="72">
        <v>0</v>
      </c>
      <c r="G48" s="72">
        <v>6</v>
      </c>
      <c r="H48" s="38">
        <f t="shared" si="0"/>
        <v>24.691721529717043</v>
      </c>
      <c r="I48" s="39">
        <f t="shared" ref="I48:J84" si="18">C48*PI()/180</f>
        <v>5.1399946471233005</v>
      </c>
      <c r="J48" s="39">
        <f t="shared" si="18"/>
        <v>0.74351026134958442</v>
      </c>
      <c r="K48" s="39">
        <f t="shared" si="2"/>
        <v>0</v>
      </c>
      <c r="L48" s="39">
        <f t="shared" si="3"/>
        <v>0</v>
      </c>
      <c r="M48" s="39">
        <f t="shared" si="4"/>
        <v>0</v>
      </c>
      <c r="N48" s="17"/>
      <c r="O48" s="48">
        <v>47.083120152142499</v>
      </c>
      <c r="P48" s="8">
        <v>-84.732686808081695</v>
      </c>
      <c r="Q48" s="16"/>
      <c r="R48" s="41">
        <f t="shared" si="13"/>
        <v>-89.409454879904075</v>
      </c>
      <c r="S48" s="42">
        <f t="shared" si="5"/>
        <v>5.8027404997190724E-3</v>
      </c>
      <c r="T48" s="37"/>
      <c r="U48" s="43">
        <f t="shared" si="14"/>
        <v>34.22796799347099</v>
      </c>
      <c r="V48" s="44">
        <f t="shared" si="6"/>
        <v>-174.14214168798577</v>
      </c>
      <c r="W48" s="43">
        <f t="shared" si="7"/>
        <v>34.22796799347099</v>
      </c>
      <c r="X48" s="43">
        <f t="shared" si="8"/>
        <v>-174.14214168798577</v>
      </c>
      <c r="Y48" s="39">
        <f t="shared" si="17"/>
        <v>0.59739073775330576</v>
      </c>
      <c r="Z48" s="39">
        <f t="shared" si="17"/>
        <v>-3.0393537389298273</v>
      </c>
      <c r="AA48" s="39" t="str">
        <f t="shared" si="10"/>
        <v/>
      </c>
      <c r="AB48" s="39" t="str">
        <f t="shared" si="11"/>
        <v/>
      </c>
      <c r="AC48" s="39" t="str">
        <f t="shared" si="12"/>
        <v/>
      </c>
      <c r="AD48" s="17"/>
      <c r="AE48" s="72" t="s">
        <v>130</v>
      </c>
      <c r="AF48" s="72" t="s">
        <v>0</v>
      </c>
      <c r="AG48" s="72" t="s">
        <v>105</v>
      </c>
      <c r="AH48" s="72" t="s">
        <v>0</v>
      </c>
      <c r="AI48" s="71">
        <f>AI41+129</f>
        <v>1419.4</v>
      </c>
      <c r="AJ48" s="72" t="s">
        <v>0</v>
      </c>
      <c r="AK48" s="72">
        <v>6</v>
      </c>
      <c r="AL48" s="72" t="s">
        <v>0</v>
      </c>
      <c r="AM48" s="72">
        <v>345.3</v>
      </c>
      <c r="AN48" s="72" t="s">
        <v>0</v>
      </c>
      <c r="AO48" s="72">
        <v>64.3</v>
      </c>
      <c r="AP48" s="72" t="s">
        <v>0</v>
      </c>
      <c r="AQ48" s="72">
        <v>294.5</v>
      </c>
      <c r="AR48" s="72" t="s">
        <v>0</v>
      </c>
      <c r="AS48" s="72">
        <v>42.6</v>
      </c>
      <c r="AT48" s="72" t="s">
        <v>0</v>
      </c>
      <c r="AU48" s="72">
        <v>7.7</v>
      </c>
      <c r="AV48" s="72" t="s">
        <v>0</v>
      </c>
      <c r="AW48" s="71">
        <v>64</v>
      </c>
      <c r="AX48" s="72" t="s">
        <v>0</v>
      </c>
      <c r="AY48" s="72" t="s">
        <v>2</v>
      </c>
      <c r="AZ48" s="72" t="s">
        <v>0</v>
      </c>
      <c r="BA48" s="72" t="s">
        <v>100</v>
      </c>
      <c r="BB48" s="72" t="s">
        <v>0</v>
      </c>
      <c r="BC48" s="72" t="s">
        <v>92</v>
      </c>
      <c r="BD48" s="1"/>
      <c r="BE48" s="72" t="s">
        <v>116</v>
      </c>
      <c r="BF48" s="76">
        <v>47.083120152142499</v>
      </c>
      <c r="BG48" s="75">
        <v>-84.732686808081695</v>
      </c>
      <c r="BH48" s="1"/>
    </row>
    <row r="49" spans="1:60" s="3" customFormat="1" ht="15">
      <c r="A49" s="72" t="s">
        <v>130</v>
      </c>
      <c r="B49" s="72" t="s">
        <v>104</v>
      </c>
      <c r="C49" s="73">
        <v>300.5</v>
      </c>
      <c r="D49" s="73">
        <v>39.6</v>
      </c>
      <c r="E49" s="73">
        <v>2.4</v>
      </c>
      <c r="F49" s="72">
        <v>0</v>
      </c>
      <c r="G49" s="72">
        <v>8</v>
      </c>
      <c r="H49" s="38">
        <f t="shared" si="0"/>
        <v>22.471747219893999</v>
      </c>
      <c r="I49" s="39">
        <f t="shared" si="18"/>
        <v>5.2447144022429608</v>
      </c>
      <c r="J49" s="39">
        <f t="shared" si="18"/>
        <v>0.69115038378975457</v>
      </c>
      <c r="K49" s="39">
        <f t="shared" si="2"/>
        <v>0</v>
      </c>
      <c r="L49" s="39">
        <f t="shared" si="3"/>
        <v>0</v>
      </c>
      <c r="M49" s="39">
        <f t="shared" si="4"/>
        <v>0</v>
      </c>
      <c r="N49" s="17"/>
      <c r="O49" s="48">
        <v>47.083013971686903</v>
      </c>
      <c r="P49" s="48">
        <v>-84.733231476146997</v>
      </c>
      <c r="Q49" s="16"/>
      <c r="R49" s="41">
        <f t="shared" si="13"/>
        <v>-84.034870333602683</v>
      </c>
      <c r="S49" s="42">
        <f t="shared" si="5"/>
        <v>-5.6650313382365758E-2</v>
      </c>
      <c r="T49" s="37"/>
      <c r="U49" s="43">
        <f t="shared" si="14"/>
        <v>36.818425145294867</v>
      </c>
      <c r="V49" s="44">
        <f t="shared" si="6"/>
        <v>179.30163885745569</v>
      </c>
      <c r="W49" s="43">
        <f t="shared" si="7"/>
        <v>36.818425145294867</v>
      </c>
      <c r="X49" s="43">
        <f t="shared" si="8"/>
        <v>179.30163885745569</v>
      </c>
      <c r="Y49" s="39">
        <f t="shared" si="17"/>
        <v>0.64260274418446706</v>
      </c>
      <c r="Z49" s="39">
        <f t="shared" si="17"/>
        <v>3.1294039522844055</v>
      </c>
      <c r="AA49" s="39" t="str">
        <f t="shared" si="10"/>
        <v/>
      </c>
      <c r="AB49" s="39" t="str">
        <f t="shared" si="11"/>
        <v/>
      </c>
      <c r="AC49" s="39" t="str">
        <f t="shared" si="12"/>
        <v/>
      </c>
      <c r="AD49" s="17"/>
      <c r="AE49" s="72" t="s">
        <v>130</v>
      </c>
      <c r="AF49" s="72" t="s">
        <v>0</v>
      </c>
      <c r="AG49" s="72" t="s">
        <v>104</v>
      </c>
      <c r="AH49" s="72" t="s">
        <v>0</v>
      </c>
      <c r="AI49" s="71">
        <f>AI41+156.5</f>
        <v>1446.9</v>
      </c>
      <c r="AJ49" s="72" t="s">
        <v>0</v>
      </c>
      <c r="AK49" s="72">
        <v>8</v>
      </c>
      <c r="AL49" s="72" t="s">
        <v>0</v>
      </c>
      <c r="AM49" s="72">
        <v>344.9</v>
      </c>
      <c r="AN49" s="72" t="s">
        <v>0</v>
      </c>
      <c r="AO49" s="72">
        <v>58.9</v>
      </c>
      <c r="AP49" s="72" t="s">
        <v>0</v>
      </c>
      <c r="AQ49" s="72">
        <v>300.5</v>
      </c>
      <c r="AR49" s="72" t="s">
        <v>0</v>
      </c>
      <c r="AS49" s="72">
        <v>39.5</v>
      </c>
      <c r="AT49" s="72" t="s">
        <v>0</v>
      </c>
      <c r="AU49" s="72">
        <v>2.4</v>
      </c>
      <c r="AV49" s="72" t="s">
        <v>0</v>
      </c>
      <c r="AW49" s="72">
        <v>478</v>
      </c>
      <c r="AX49" s="72" t="s">
        <v>0</v>
      </c>
      <c r="AY49" s="72" t="s">
        <v>2</v>
      </c>
      <c r="AZ49" s="72" t="s">
        <v>0</v>
      </c>
      <c r="BA49" s="72" t="s">
        <v>100</v>
      </c>
      <c r="BB49" s="72" t="s">
        <v>0</v>
      </c>
      <c r="BC49" s="72" t="s">
        <v>92</v>
      </c>
      <c r="BD49" s="1"/>
      <c r="BE49" s="72" t="s">
        <v>116</v>
      </c>
      <c r="BF49" s="76">
        <v>47.083013971686903</v>
      </c>
      <c r="BG49" s="76">
        <v>-84.733231476146997</v>
      </c>
      <c r="BH49" s="1"/>
    </row>
    <row r="50" spans="1:60" s="3" customFormat="1" ht="15">
      <c r="A50" s="72" t="s">
        <v>131</v>
      </c>
      <c r="B50" s="72" t="s">
        <v>33</v>
      </c>
      <c r="C50" s="73">
        <v>283.5</v>
      </c>
      <c r="D50" s="73">
        <v>39.4</v>
      </c>
      <c r="E50" s="73">
        <v>5.5</v>
      </c>
      <c r="F50" s="72">
        <v>0</v>
      </c>
      <c r="G50" s="72">
        <v>8</v>
      </c>
      <c r="H50" s="38">
        <f t="shared" si="0"/>
        <v>22.32818301055622</v>
      </c>
      <c r="I50" s="39">
        <f t="shared" si="18"/>
        <v>4.9480084294039237</v>
      </c>
      <c r="J50" s="39">
        <f t="shared" si="18"/>
        <v>0.6876597252857658</v>
      </c>
      <c r="K50" s="39">
        <f t="shared" si="2"/>
        <v>0</v>
      </c>
      <c r="L50" s="39">
        <f t="shared" si="3"/>
        <v>0</v>
      </c>
      <c r="M50" s="39">
        <f t="shared" si="4"/>
        <v>0</v>
      </c>
      <c r="N50" s="17"/>
      <c r="O50" s="8">
        <v>47.078209599262202</v>
      </c>
      <c r="P50" s="8">
        <v>-84.733290433833702</v>
      </c>
      <c r="Q50" s="16"/>
      <c r="R50" s="41">
        <f t="shared" si="13"/>
        <v>-83.619055213076663</v>
      </c>
      <c r="S50" s="42">
        <f t="shared" si="5"/>
        <v>6.8500516337774653E-2</v>
      </c>
      <c r="T50" s="37"/>
      <c r="U50" s="43">
        <f t="shared" si="14"/>
        <v>25.167088762128401</v>
      </c>
      <c r="V50" s="44">
        <f>IF(S50&lt;0,P50+180-R50,P50+R50)</f>
        <v>-168.35234564691035</v>
      </c>
      <c r="W50" s="43">
        <f t="shared" si="7"/>
        <v>25.167088762128401</v>
      </c>
      <c r="X50" s="43">
        <f t="shared" si="8"/>
        <v>-168.35234564691035</v>
      </c>
      <c r="Y50" s="39">
        <f t="shared" si="17"/>
        <v>0.43924856204080454</v>
      </c>
      <c r="Z50" s="39">
        <f t="shared" si="17"/>
        <v>-2.9383027349941289</v>
      </c>
      <c r="AA50" s="39" t="str">
        <f t="shared" si="10"/>
        <v/>
      </c>
      <c r="AB50" s="39" t="str">
        <f t="shared" si="11"/>
        <v/>
      </c>
      <c r="AC50" s="39" t="str">
        <f t="shared" si="12"/>
        <v/>
      </c>
      <c r="AD50" s="17"/>
      <c r="AE50" s="72" t="s">
        <v>131</v>
      </c>
      <c r="AF50" s="72" t="s">
        <v>0</v>
      </c>
      <c r="AG50" s="72" t="s">
        <v>33</v>
      </c>
      <c r="AH50" s="72" t="s">
        <v>0</v>
      </c>
      <c r="AI50" s="71">
        <v>1384</v>
      </c>
      <c r="AJ50" s="72" t="s">
        <v>0</v>
      </c>
      <c r="AK50" s="72">
        <v>8</v>
      </c>
      <c r="AL50" s="72" t="s">
        <v>0</v>
      </c>
      <c r="AM50" s="72">
        <v>324.60000000000002</v>
      </c>
      <c r="AN50" s="72" t="s">
        <v>0</v>
      </c>
      <c r="AO50" s="72">
        <v>72.099999999999994</v>
      </c>
      <c r="AP50" s="72" t="s">
        <v>0</v>
      </c>
      <c r="AQ50" s="72">
        <v>280.2</v>
      </c>
      <c r="AR50" s="72" t="s">
        <v>0</v>
      </c>
      <c r="AS50" s="72">
        <v>40.6</v>
      </c>
      <c r="AT50" s="72" t="s">
        <v>0</v>
      </c>
      <c r="AU50" s="72">
        <v>5.5</v>
      </c>
      <c r="AV50" s="72" t="s">
        <v>0</v>
      </c>
      <c r="AW50" s="72">
        <v>103</v>
      </c>
      <c r="AX50" s="72" t="s">
        <v>0</v>
      </c>
      <c r="AY50" s="72" t="s">
        <v>2</v>
      </c>
      <c r="AZ50" s="72" t="s">
        <v>0</v>
      </c>
      <c r="BA50" s="72" t="s">
        <v>90</v>
      </c>
      <c r="BB50" s="72" t="s">
        <v>0</v>
      </c>
      <c r="BC50" s="72" t="s">
        <v>78</v>
      </c>
      <c r="BD50" s="1"/>
      <c r="BE50" s="72" t="s">
        <v>116</v>
      </c>
      <c r="BF50" s="75">
        <v>47.078209599262202</v>
      </c>
      <c r="BG50" s="75">
        <v>-84.733290433833702</v>
      </c>
      <c r="BH50" s="72" t="s">
        <v>165</v>
      </c>
    </row>
    <row r="51" spans="1:60" s="3" customFormat="1" ht="15">
      <c r="A51" s="72" t="s">
        <v>131</v>
      </c>
      <c r="B51" s="72" t="s">
        <v>34</v>
      </c>
      <c r="C51" s="73">
        <v>282.8</v>
      </c>
      <c r="D51" s="73">
        <v>36.299999999999997</v>
      </c>
      <c r="E51" s="73">
        <v>16.2</v>
      </c>
      <c r="F51" s="72">
        <v>0</v>
      </c>
      <c r="G51" s="72">
        <v>3</v>
      </c>
      <c r="H51" s="38">
        <f t="shared" si="0"/>
        <v>20.167602911182414</v>
      </c>
      <c r="I51" s="39">
        <f t="shared" si="18"/>
        <v>4.9357911246399642</v>
      </c>
      <c r="J51" s="39">
        <f t="shared" si="18"/>
        <v>0.63355451847394151</v>
      </c>
      <c r="K51" s="39">
        <f t="shared" si="2"/>
        <v>0</v>
      </c>
      <c r="L51" s="39">
        <f t="shared" si="3"/>
        <v>0</v>
      </c>
      <c r="M51" s="39">
        <f t="shared" si="4"/>
        <v>0</v>
      </c>
      <c r="N51" s="17"/>
      <c r="O51" s="8">
        <v>47.0780405873749</v>
      </c>
      <c r="P51" s="8">
        <v>-84.733389819059596</v>
      </c>
      <c r="Q51" s="16"/>
      <c r="R51" s="41">
        <f t="shared" si="13"/>
        <v>-84.850049858706001</v>
      </c>
      <c r="S51" s="42">
        <f t="shared" si="5"/>
        <v>5.6181423649015572E-2</v>
      </c>
      <c r="T51" s="37"/>
      <c r="U51" s="43">
        <f t="shared" si="14"/>
        <v>23.209322797915789</v>
      </c>
      <c r="V51" s="44">
        <f t="shared" si="6"/>
        <v>-169.5834396777656</v>
      </c>
      <c r="W51" s="43">
        <f t="shared" si="7"/>
        <v>23.209322797915789</v>
      </c>
      <c r="X51" s="43">
        <f t="shared" si="8"/>
        <v>-169.5834396777656</v>
      </c>
      <c r="Y51" s="39">
        <f t="shared" si="17"/>
        <v>0.40507909998181302</v>
      </c>
      <c r="Z51" s="39">
        <f t="shared" si="17"/>
        <v>-2.9597893792342012</v>
      </c>
      <c r="AA51" s="39" t="str">
        <f t="shared" si="10"/>
        <v/>
      </c>
      <c r="AB51" s="39" t="str">
        <f t="shared" si="11"/>
        <v/>
      </c>
      <c r="AC51" s="39" t="str">
        <f t="shared" si="12"/>
        <v/>
      </c>
      <c r="AD51" s="17"/>
      <c r="AE51" s="72" t="s">
        <v>131</v>
      </c>
      <c r="AF51" s="72" t="s">
        <v>0</v>
      </c>
      <c r="AG51" s="72" t="s">
        <v>34</v>
      </c>
      <c r="AH51" s="72" t="s">
        <v>0</v>
      </c>
      <c r="AI51" s="71">
        <v>1387</v>
      </c>
      <c r="AJ51" s="72" t="s">
        <v>0</v>
      </c>
      <c r="AK51" s="72">
        <v>3</v>
      </c>
      <c r="AL51" s="72" t="s">
        <v>0</v>
      </c>
      <c r="AM51" s="72">
        <v>316.60000000000002</v>
      </c>
      <c r="AN51" s="72" t="s">
        <v>0</v>
      </c>
      <c r="AO51" s="72">
        <v>70.2</v>
      </c>
      <c r="AP51" s="72" t="s">
        <v>0</v>
      </c>
      <c r="AQ51" s="72">
        <v>279.7</v>
      </c>
      <c r="AR51" s="72" t="s">
        <v>0</v>
      </c>
      <c r="AS51" s="72">
        <v>37.5</v>
      </c>
      <c r="AT51" s="72" t="s">
        <v>0</v>
      </c>
      <c r="AU51" s="72">
        <v>16.2</v>
      </c>
      <c r="AV51" s="72" t="s">
        <v>0</v>
      </c>
      <c r="AW51" s="72">
        <v>59</v>
      </c>
      <c r="AX51" s="72" t="s">
        <v>0</v>
      </c>
      <c r="AY51" s="72" t="s">
        <v>7</v>
      </c>
      <c r="AZ51" s="72" t="s">
        <v>0</v>
      </c>
      <c r="BA51" s="72" t="s">
        <v>90</v>
      </c>
      <c r="BB51" s="72" t="s">
        <v>0</v>
      </c>
      <c r="BC51" s="72" t="s">
        <v>78</v>
      </c>
      <c r="BD51" s="1"/>
      <c r="BE51" s="72" t="s">
        <v>116</v>
      </c>
      <c r="BF51" s="75">
        <v>47.0780405873749</v>
      </c>
      <c r="BG51" s="75">
        <v>-84.733389819059596</v>
      </c>
      <c r="BH51" s="72" t="s">
        <v>165</v>
      </c>
    </row>
    <row r="52" spans="1:60" s="3" customFormat="1" ht="15">
      <c r="A52" s="72" t="s">
        <v>132</v>
      </c>
      <c r="B52" s="72" t="s">
        <v>35</v>
      </c>
      <c r="C52" s="73">
        <v>310.89999999999998</v>
      </c>
      <c r="D52" s="73">
        <v>34.799999999999997</v>
      </c>
      <c r="E52" s="73">
        <v>11.7</v>
      </c>
      <c r="F52" s="72">
        <v>0</v>
      </c>
      <c r="G52" s="72">
        <v>3</v>
      </c>
      <c r="H52" s="38">
        <f t="shared" si="0"/>
        <v>19.162802152830437</v>
      </c>
      <c r="I52" s="39">
        <f t="shared" si="18"/>
        <v>5.4262286444503696</v>
      </c>
      <c r="J52" s="39">
        <f t="shared" si="18"/>
        <v>0.60737457969402664</v>
      </c>
      <c r="K52" s="39">
        <f t="shared" si="2"/>
        <v>0</v>
      </c>
      <c r="L52" s="39">
        <f t="shared" si="3"/>
        <v>0</v>
      </c>
      <c r="M52" s="39">
        <f t="shared" si="4"/>
        <v>0</v>
      </c>
      <c r="N52" s="17"/>
      <c r="O52" s="8">
        <v>47.074545402592001</v>
      </c>
      <c r="P52" s="8">
        <v>-84.739571133393994</v>
      </c>
      <c r="Q52" s="16"/>
      <c r="R52" s="41">
        <f t="shared" si="13"/>
        <v>-72.194506580935652</v>
      </c>
      <c r="S52" s="42">
        <f t="shared" si="5"/>
        <v>-0.15616843138803466</v>
      </c>
      <c r="T52" s="37"/>
      <c r="U52" s="43">
        <f t="shared" si="14"/>
        <v>41.419053494954952</v>
      </c>
      <c r="V52" s="44">
        <f t="shared" si="6"/>
        <v>167.45493544754166</v>
      </c>
      <c r="W52" s="43">
        <f t="shared" si="7"/>
        <v>41.419053494954952</v>
      </c>
      <c r="X52" s="43">
        <f t="shared" si="8"/>
        <v>167.45493544754166</v>
      </c>
      <c r="Y52" s="39">
        <f t="shared" si="17"/>
        <v>0.72289885654662844</v>
      </c>
      <c r="Z52" s="39">
        <f t="shared" si="17"/>
        <v>2.9226399722741663</v>
      </c>
      <c r="AA52" s="39" t="str">
        <f t="shared" si="10"/>
        <v/>
      </c>
      <c r="AB52" s="39" t="str">
        <f t="shared" si="11"/>
        <v/>
      </c>
      <c r="AC52" s="39" t="str">
        <f t="shared" si="12"/>
        <v/>
      </c>
      <c r="AD52" s="17"/>
      <c r="AE52" s="72" t="s">
        <v>132</v>
      </c>
      <c r="AF52" s="72" t="s">
        <v>0</v>
      </c>
      <c r="AG52" s="72" t="s">
        <v>35</v>
      </c>
      <c r="AH52" s="72" t="s">
        <v>0</v>
      </c>
      <c r="AI52" s="71">
        <v>1776.047</v>
      </c>
      <c r="AJ52" s="72" t="s">
        <v>0</v>
      </c>
      <c r="AK52" s="72">
        <v>3</v>
      </c>
      <c r="AL52" s="72" t="s">
        <v>0</v>
      </c>
      <c r="AM52" s="72">
        <v>345.5</v>
      </c>
      <c r="AN52" s="72" t="s">
        <v>0</v>
      </c>
      <c r="AO52" s="72">
        <v>57.4</v>
      </c>
      <c r="AP52" s="72" t="s">
        <v>0</v>
      </c>
      <c r="AQ52" s="72">
        <v>310.89999999999998</v>
      </c>
      <c r="AR52" s="72" t="s">
        <v>0</v>
      </c>
      <c r="AS52" s="72">
        <v>34.799999999999997</v>
      </c>
      <c r="AT52" s="72" t="s">
        <v>0</v>
      </c>
      <c r="AU52" s="72">
        <v>11.7</v>
      </c>
      <c r="AV52" s="72" t="s">
        <v>0</v>
      </c>
      <c r="AW52" s="72">
        <v>113</v>
      </c>
      <c r="AX52" s="72" t="s">
        <v>0</v>
      </c>
      <c r="AY52" s="72" t="s">
        <v>2</v>
      </c>
      <c r="AZ52" s="72" t="s">
        <v>0</v>
      </c>
      <c r="BA52" s="72" t="s">
        <v>90</v>
      </c>
      <c r="BB52" s="72" t="s">
        <v>0</v>
      </c>
      <c r="BC52" s="72" t="s">
        <v>78</v>
      </c>
      <c r="BD52" s="1"/>
      <c r="BE52" s="72" t="s">
        <v>116</v>
      </c>
      <c r="BF52" s="75">
        <v>47.074545402592001</v>
      </c>
      <c r="BG52" s="75">
        <v>-84.739571133393994</v>
      </c>
      <c r="BH52" s="1"/>
    </row>
    <row r="53" spans="1:60" s="3" customFormat="1" ht="15">
      <c r="A53" s="72" t="s">
        <v>132</v>
      </c>
      <c r="B53" s="72" t="s">
        <v>36</v>
      </c>
      <c r="C53" s="73">
        <v>307.7</v>
      </c>
      <c r="D53" s="73">
        <v>36.200000000000003</v>
      </c>
      <c r="E53" s="73">
        <v>3.1</v>
      </c>
      <c r="F53" s="72">
        <v>0</v>
      </c>
      <c r="G53" s="72">
        <v>5</v>
      </c>
      <c r="H53" s="38">
        <f t="shared" si="0"/>
        <v>20.09983060177581</v>
      </c>
      <c r="I53" s="39">
        <f t="shared" si="18"/>
        <v>5.3703781083865518</v>
      </c>
      <c r="J53" s="39">
        <f t="shared" si="18"/>
        <v>0.63180918922194729</v>
      </c>
      <c r="K53" s="39">
        <f t="shared" si="2"/>
        <v>0</v>
      </c>
      <c r="L53" s="39">
        <f t="shared" si="3"/>
        <v>0</v>
      </c>
      <c r="M53" s="39">
        <f t="shared" si="4"/>
        <v>0</v>
      </c>
      <c r="N53" s="17"/>
      <c r="O53" s="8">
        <v>47.074501746550801</v>
      </c>
      <c r="P53" s="8">
        <v>-84.739638843108295</v>
      </c>
      <c r="Q53" s="16"/>
      <c r="R53" s="41">
        <f t="shared" si="13"/>
        <v>-75.912437364339652</v>
      </c>
      <c r="S53" s="42">
        <f t="shared" si="5"/>
        <v>-0.12699197132842505</v>
      </c>
      <c r="T53" s="37"/>
      <c r="U53" s="43">
        <f t="shared" si="14"/>
        <v>39.997360975718436</v>
      </c>
      <c r="V53" s="44">
        <f t="shared" si="6"/>
        <v>171.17279852123136</v>
      </c>
      <c r="W53" s="43">
        <f t="shared" si="7"/>
        <v>39.997360975718436</v>
      </c>
      <c r="X53" s="43">
        <f t="shared" si="8"/>
        <v>171.17279852123136</v>
      </c>
      <c r="Y53" s="39">
        <f t="shared" si="17"/>
        <v>0.69808564113497851</v>
      </c>
      <c r="Z53" s="39">
        <f t="shared" si="17"/>
        <v>2.9875289240483678</v>
      </c>
      <c r="AA53" s="39" t="str">
        <f t="shared" si="10"/>
        <v/>
      </c>
      <c r="AB53" s="39" t="str">
        <f t="shared" si="11"/>
        <v/>
      </c>
      <c r="AC53" s="39" t="str">
        <f t="shared" si="12"/>
        <v/>
      </c>
      <c r="AD53" s="17"/>
      <c r="AE53" s="72" t="s">
        <v>132</v>
      </c>
      <c r="AF53" s="72" t="s">
        <v>0</v>
      </c>
      <c r="AG53" s="72" t="s">
        <v>36</v>
      </c>
      <c r="AH53" s="72" t="s">
        <v>0</v>
      </c>
      <c r="AI53" s="71">
        <v>1778.047</v>
      </c>
      <c r="AJ53" s="72" t="s">
        <v>0</v>
      </c>
      <c r="AK53" s="72">
        <v>5</v>
      </c>
      <c r="AL53" s="72" t="s">
        <v>0</v>
      </c>
      <c r="AM53" s="72">
        <v>344</v>
      </c>
      <c r="AN53" s="72" t="s">
        <v>0</v>
      </c>
      <c r="AO53" s="72">
        <v>60.4</v>
      </c>
      <c r="AP53" s="72" t="s">
        <v>0</v>
      </c>
      <c r="AQ53" s="72">
        <v>307.7</v>
      </c>
      <c r="AR53" s="72" t="s">
        <v>0</v>
      </c>
      <c r="AS53" s="72">
        <v>36.200000000000003</v>
      </c>
      <c r="AT53" s="72" t="s">
        <v>0</v>
      </c>
      <c r="AU53" s="72">
        <v>3.1</v>
      </c>
      <c r="AV53" s="72" t="s">
        <v>0</v>
      </c>
      <c r="AW53" s="72">
        <v>599</v>
      </c>
      <c r="AX53" s="72" t="s">
        <v>0</v>
      </c>
      <c r="AY53" s="72" t="s">
        <v>2</v>
      </c>
      <c r="AZ53" s="72" t="s">
        <v>0</v>
      </c>
      <c r="BA53" s="72" t="s">
        <v>90</v>
      </c>
      <c r="BB53" s="72" t="s">
        <v>0</v>
      </c>
      <c r="BC53" s="72" t="s">
        <v>78</v>
      </c>
      <c r="BD53" s="1"/>
      <c r="BE53" s="72" t="s">
        <v>116</v>
      </c>
      <c r="BF53" s="75">
        <v>47.074501746550801</v>
      </c>
      <c r="BG53" s="75">
        <v>-84.739638843108295</v>
      </c>
      <c r="BH53" s="1"/>
    </row>
    <row r="54" spans="1:60" s="3" customFormat="1" ht="15">
      <c r="A54" s="72" t="s">
        <v>133</v>
      </c>
      <c r="B54" s="72" t="s">
        <v>37</v>
      </c>
      <c r="C54" s="73">
        <v>301.3</v>
      </c>
      <c r="D54" s="73">
        <v>51.2</v>
      </c>
      <c r="E54" s="73">
        <v>6.4</v>
      </c>
      <c r="F54" s="72">
        <v>0</v>
      </c>
      <c r="G54" s="72">
        <v>4</v>
      </c>
      <c r="H54" s="38">
        <f t="shared" si="0"/>
        <v>31.876430451869254</v>
      </c>
      <c r="I54" s="39">
        <f t="shared" si="18"/>
        <v>5.2586770362589155</v>
      </c>
      <c r="J54" s="39">
        <f t="shared" si="18"/>
        <v>0.89360857702109675</v>
      </c>
      <c r="K54" s="39">
        <f t="shared" si="2"/>
        <v>0</v>
      </c>
      <c r="L54" s="39">
        <f t="shared" si="3"/>
        <v>0</v>
      </c>
      <c r="M54" s="39">
        <f t="shared" si="4"/>
        <v>0</v>
      </c>
      <c r="N54" s="17"/>
      <c r="O54" s="8">
        <v>47.072726751131498</v>
      </c>
      <c r="P54" s="8">
        <v>-84.739529523204197</v>
      </c>
      <c r="Q54" s="16"/>
      <c r="R54" s="41">
        <f t="shared" si="13"/>
        <v>-87.109823167440524</v>
      </c>
      <c r="S54" s="42">
        <f t="shared" si="5"/>
        <v>2.4949237777936784E-2</v>
      </c>
      <c r="T54" s="37"/>
      <c r="U54" s="43">
        <f t="shared" si="14"/>
        <v>43.404462038557973</v>
      </c>
      <c r="V54" s="44">
        <f t="shared" si="6"/>
        <v>-171.84935269064471</v>
      </c>
      <c r="W54" s="43">
        <f t="shared" si="7"/>
        <v>43.404462038557973</v>
      </c>
      <c r="X54" s="43">
        <f t="shared" si="8"/>
        <v>-171.84935269064471</v>
      </c>
      <c r="Y54" s="39">
        <f t="shared" si="17"/>
        <v>0.75755077262972648</v>
      </c>
      <c r="Z54" s="39">
        <f t="shared" si="17"/>
        <v>-2.9993370218727264</v>
      </c>
      <c r="AA54" s="39" t="str">
        <f t="shared" si="10"/>
        <v/>
      </c>
      <c r="AB54" s="39" t="str">
        <f t="shared" si="11"/>
        <v/>
      </c>
      <c r="AC54" s="39" t="str">
        <f t="shared" si="12"/>
        <v/>
      </c>
      <c r="AD54" s="17"/>
      <c r="AE54" s="72" t="s">
        <v>133</v>
      </c>
      <c r="AF54" s="72" t="s">
        <v>0</v>
      </c>
      <c r="AG54" s="72" t="s">
        <v>37</v>
      </c>
      <c r="AH54" s="72" t="s">
        <v>0</v>
      </c>
      <c r="AI54" s="71">
        <v>1764.193</v>
      </c>
      <c r="AJ54" s="72" t="s">
        <v>0</v>
      </c>
      <c r="AK54" s="72">
        <v>4</v>
      </c>
      <c r="AL54" s="72" t="s">
        <v>0</v>
      </c>
      <c r="AM54" s="72">
        <v>357.8</v>
      </c>
      <c r="AN54" s="72" t="s">
        <v>0</v>
      </c>
      <c r="AO54" s="72">
        <v>64.2</v>
      </c>
      <c r="AP54" s="72" t="s">
        <v>0</v>
      </c>
      <c r="AQ54" s="72">
        <v>301.3</v>
      </c>
      <c r="AR54" s="72" t="s">
        <v>0</v>
      </c>
      <c r="AS54" s="72">
        <v>51.2</v>
      </c>
      <c r="AT54" s="72" t="s">
        <v>0</v>
      </c>
      <c r="AU54" s="72">
        <v>6.4</v>
      </c>
      <c r="AV54" s="72" t="s">
        <v>0</v>
      </c>
      <c r="AW54" s="72">
        <v>89</v>
      </c>
      <c r="AX54" s="72" t="s">
        <v>0</v>
      </c>
      <c r="AY54" s="72" t="s">
        <v>2</v>
      </c>
      <c r="AZ54" s="72" t="s">
        <v>0</v>
      </c>
      <c r="BA54" s="72" t="s">
        <v>90</v>
      </c>
      <c r="BB54" s="72" t="s">
        <v>0</v>
      </c>
      <c r="BC54" s="72" t="s">
        <v>78</v>
      </c>
      <c r="BD54" s="1"/>
      <c r="BE54" s="72" t="s">
        <v>116</v>
      </c>
      <c r="BF54" s="75">
        <v>47.072726751131498</v>
      </c>
      <c r="BG54" s="75">
        <v>-84.739529523204197</v>
      </c>
      <c r="BH54" s="1"/>
    </row>
    <row r="55" spans="1:60" s="3" customFormat="1" ht="15">
      <c r="A55" s="72" t="s">
        <v>133</v>
      </c>
      <c r="B55" s="72" t="s">
        <v>38</v>
      </c>
      <c r="C55" s="73">
        <v>286.10000000000002</v>
      </c>
      <c r="D55" s="73">
        <v>56.9</v>
      </c>
      <c r="E55" s="73">
        <v>8.3000000000000007</v>
      </c>
      <c r="F55" s="72">
        <v>0</v>
      </c>
      <c r="G55" s="72">
        <v>5</v>
      </c>
      <c r="H55" s="38">
        <f t="shared" si="0"/>
        <v>37.48815026031717</v>
      </c>
      <c r="I55" s="39">
        <f t="shared" si="18"/>
        <v>4.993386989955777</v>
      </c>
      <c r="J55" s="39">
        <f t="shared" si="18"/>
        <v>0.99309234438477345</v>
      </c>
      <c r="K55" s="39">
        <f t="shared" si="2"/>
        <v>0</v>
      </c>
      <c r="L55" s="39">
        <f t="shared" si="3"/>
        <v>0</v>
      </c>
      <c r="M55" s="39">
        <f t="shared" si="4"/>
        <v>0</v>
      </c>
      <c r="N55" s="17"/>
      <c r="O55" s="8">
        <v>47.072719321965899</v>
      </c>
      <c r="P55" s="8">
        <v>-84.739608870147293</v>
      </c>
      <c r="Q55" s="16"/>
      <c r="R55" s="41">
        <f t="shared" si="13"/>
        <v>-71.615268684783715</v>
      </c>
      <c r="S55" s="42">
        <f t="shared" si="5"/>
        <v>0.17256752478094001</v>
      </c>
      <c r="T55" s="37"/>
      <c r="U55" s="43">
        <f t="shared" si="14"/>
        <v>36.54765856392811</v>
      </c>
      <c r="V55" s="44">
        <f t="shared" si="6"/>
        <v>-156.35487755493102</v>
      </c>
      <c r="W55" s="43">
        <f t="shared" si="7"/>
        <v>36.54765856392811</v>
      </c>
      <c r="X55" s="43">
        <f t="shared" si="8"/>
        <v>-156.35487755493102</v>
      </c>
      <c r="Y55" s="39">
        <f t="shared" si="17"/>
        <v>0.63787697583524805</v>
      </c>
      <c r="Z55" s="39">
        <f t="shared" si="17"/>
        <v>-2.7289074148861272</v>
      </c>
      <c r="AA55" s="39" t="str">
        <f t="shared" si="10"/>
        <v/>
      </c>
      <c r="AB55" s="39" t="str">
        <f t="shared" si="11"/>
        <v/>
      </c>
      <c r="AC55" s="39" t="str">
        <f t="shared" si="12"/>
        <v/>
      </c>
      <c r="AD55" s="17"/>
      <c r="AE55" s="72" t="s">
        <v>133</v>
      </c>
      <c r="AF55" s="72" t="s">
        <v>0</v>
      </c>
      <c r="AG55" s="72" t="s">
        <v>38</v>
      </c>
      <c r="AH55" s="72" t="s">
        <v>0</v>
      </c>
      <c r="AI55" s="71">
        <v>1775.2929999999999</v>
      </c>
      <c r="AJ55" s="72" t="s">
        <v>0</v>
      </c>
      <c r="AK55" s="72">
        <v>5</v>
      </c>
      <c r="AL55" s="72" t="s">
        <v>0</v>
      </c>
      <c r="AM55" s="72">
        <v>6.4</v>
      </c>
      <c r="AN55" s="72" t="s">
        <v>0</v>
      </c>
      <c r="AO55" s="72">
        <v>74.3</v>
      </c>
      <c r="AP55" s="72" t="s">
        <v>0</v>
      </c>
      <c r="AQ55" s="72">
        <v>286.10000000000002</v>
      </c>
      <c r="AR55" s="72" t="s">
        <v>0</v>
      </c>
      <c r="AS55" s="72">
        <v>56.9</v>
      </c>
      <c r="AT55" s="72" t="s">
        <v>0</v>
      </c>
      <c r="AU55" s="72">
        <v>8.3000000000000007</v>
      </c>
      <c r="AV55" s="72" t="s">
        <v>0</v>
      </c>
      <c r="AW55" s="72">
        <v>86</v>
      </c>
      <c r="AX55" s="72" t="s">
        <v>0</v>
      </c>
      <c r="AY55" s="72" t="s">
        <v>2</v>
      </c>
      <c r="AZ55" s="72" t="s">
        <v>0</v>
      </c>
      <c r="BA55" s="72" t="s">
        <v>90</v>
      </c>
      <c r="BB55" s="72" t="s">
        <v>0</v>
      </c>
      <c r="BC55" s="72" t="s">
        <v>78</v>
      </c>
      <c r="BD55" s="1"/>
      <c r="BE55" s="72" t="s">
        <v>116</v>
      </c>
      <c r="BF55" s="75">
        <v>47.072719321965899</v>
      </c>
      <c r="BG55" s="75">
        <v>-84.739608870147293</v>
      </c>
      <c r="BH55" s="1"/>
    </row>
    <row r="56" spans="1:60" s="3" customFormat="1" ht="15">
      <c r="A56" s="72" t="s">
        <v>171</v>
      </c>
      <c r="B56" s="72" t="s">
        <v>39</v>
      </c>
      <c r="C56" s="73">
        <v>321.39999999999998</v>
      </c>
      <c r="D56" s="73">
        <v>58.4</v>
      </c>
      <c r="E56" s="73">
        <v>11.6</v>
      </c>
      <c r="F56" s="72">
        <v>0</v>
      </c>
      <c r="G56" s="49">
        <v>6</v>
      </c>
      <c r="H56" s="38">
        <f t="shared" si="0"/>
        <v>39.102085669373473</v>
      </c>
      <c r="I56" s="39">
        <f t="shared" si="18"/>
        <v>5.6094882159097743</v>
      </c>
      <c r="J56" s="39">
        <f t="shared" si="18"/>
        <v>1.0192722831646883</v>
      </c>
      <c r="K56" s="39">
        <f t="shared" si="2"/>
        <v>0</v>
      </c>
      <c r="L56" s="39">
        <f t="shared" si="3"/>
        <v>0</v>
      </c>
      <c r="M56" s="39">
        <f t="shared" si="4"/>
        <v>0</v>
      </c>
      <c r="N56" s="17"/>
      <c r="O56" s="8">
        <v>47.071982666822301</v>
      </c>
      <c r="P56" s="8">
        <v>-84.7392185313917</v>
      </c>
      <c r="Q56" s="16"/>
      <c r="R56" s="41">
        <f t="shared" si="13"/>
        <v>-88.283328700961249</v>
      </c>
      <c r="S56" s="42">
        <f t="shared" si="5"/>
        <v>-9.8825179264608876E-3</v>
      </c>
      <c r="T56" s="37"/>
      <c r="U56" s="43">
        <f t="shared" si="14"/>
        <v>61.029280843449982</v>
      </c>
      <c r="V56" s="44">
        <f t="shared" si="6"/>
        <v>183.54411016956954</v>
      </c>
      <c r="W56" s="43">
        <f t="shared" si="7"/>
        <v>61.029280843449982</v>
      </c>
      <c r="X56" s="43">
        <f t="shared" si="8"/>
        <v>183.54411016956954</v>
      </c>
      <c r="Y56" s="39">
        <f t="shared" si="17"/>
        <v>1.0651618908425042</v>
      </c>
      <c r="Z56" s="39">
        <f t="shared" si="17"/>
        <v>3.2034490451021957</v>
      </c>
      <c r="AA56" s="39" t="str">
        <f t="shared" si="10"/>
        <v/>
      </c>
      <c r="AB56" s="39" t="str">
        <f t="shared" si="11"/>
        <v/>
      </c>
      <c r="AC56" s="39" t="str">
        <f t="shared" si="12"/>
        <v/>
      </c>
      <c r="AD56" s="17"/>
      <c r="AE56" s="72" t="s">
        <v>171</v>
      </c>
      <c r="AF56" s="72" t="s">
        <v>0</v>
      </c>
      <c r="AG56" s="49" t="s">
        <v>39</v>
      </c>
      <c r="AH56" s="72" t="s">
        <v>0</v>
      </c>
      <c r="AI56" s="71">
        <v>1782.4740000000002</v>
      </c>
      <c r="AJ56" s="72" t="s">
        <v>0</v>
      </c>
      <c r="AK56" s="49">
        <v>6</v>
      </c>
      <c r="AL56" s="72" t="s">
        <v>0</v>
      </c>
      <c r="AM56" s="72">
        <v>30</v>
      </c>
      <c r="AN56" s="72" t="s">
        <v>0</v>
      </c>
      <c r="AO56" s="72">
        <v>60.3</v>
      </c>
      <c r="AP56" s="72" t="s">
        <v>0</v>
      </c>
      <c r="AQ56" s="72">
        <v>321.39999999999998</v>
      </c>
      <c r="AR56" s="72" t="s">
        <v>0</v>
      </c>
      <c r="AS56" s="72">
        <v>58.4</v>
      </c>
      <c r="AT56" s="72" t="s">
        <v>0</v>
      </c>
      <c r="AU56" s="72">
        <v>11.6</v>
      </c>
      <c r="AV56" s="72" t="s">
        <v>0</v>
      </c>
      <c r="AW56" s="72">
        <v>45</v>
      </c>
      <c r="AX56" s="72" t="s">
        <v>0</v>
      </c>
      <c r="AY56" s="72" t="s">
        <v>7</v>
      </c>
      <c r="AZ56" s="72" t="s">
        <v>0</v>
      </c>
      <c r="BA56" s="72" t="s">
        <v>90</v>
      </c>
      <c r="BB56" s="72" t="s">
        <v>0</v>
      </c>
      <c r="BC56" s="72" t="s">
        <v>78</v>
      </c>
      <c r="BD56" s="1"/>
      <c r="BE56" s="72" t="s">
        <v>116</v>
      </c>
      <c r="BF56" s="75">
        <v>47.071982666822301</v>
      </c>
      <c r="BG56" s="75">
        <v>-84.7392185313917</v>
      </c>
      <c r="BH56" s="1"/>
    </row>
    <row r="57" spans="1:60" s="3" customFormat="1" ht="15">
      <c r="A57" s="72" t="s">
        <v>171</v>
      </c>
      <c r="B57" s="72" t="s">
        <v>40</v>
      </c>
      <c r="C57" s="73">
        <v>301.3</v>
      </c>
      <c r="D57" s="73">
        <v>54.8</v>
      </c>
      <c r="E57" s="73">
        <v>11.9</v>
      </c>
      <c r="F57" s="72">
        <v>0</v>
      </c>
      <c r="G57" s="49">
        <v>6</v>
      </c>
      <c r="H57" s="38">
        <f t="shared" si="0"/>
        <v>35.32883057376808</v>
      </c>
      <c r="I57" s="39">
        <f t="shared" si="18"/>
        <v>5.2586770362589155</v>
      </c>
      <c r="J57" s="39">
        <f t="shared" si="18"/>
        <v>0.95644043009289248</v>
      </c>
      <c r="K57" s="39">
        <f t="shared" si="2"/>
        <v>0</v>
      </c>
      <c r="L57" s="39">
        <f t="shared" si="3"/>
        <v>0</v>
      </c>
      <c r="M57" s="39">
        <f t="shared" si="4"/>
        <v>0</v>
      </c>
      <c r="N57" s="17"/>
      <c r="O57" s="8">
        <v>47.072014329497897</v>
      </c>
      <c r="P57" s="8">
        <v>-84.739454286550099</v>
      </c>
      <c r="Q57" s="16"/>
      <c r="R57" s="41">
        <f t="shared" si="13"/>
        <v>-83.169594035822684</v>
      </c>
      <c r="S57" s="42">
        <f t="shared" si="5"/>
        <v>5.6870236995720913E-2</v>
      </c>
      <c r="T57" s="37"/>
      <c r="U57" s="43">
        <f t="shared" si="14"/>
        <v>45.405033813788108</v>
      </c>
      <c r="V57" s="44">
        <f t="shared" si="6"/>
        <v>-167.90904832237277</v>
      </c>
      <c r="W57" s="43">
        <f t="shared" si="7"/>
        <v>45.405033813788108</v>
      </c>
      <c r="X57" s="43">
        <f t="shared" si="8"/>
        <v>-167.90904832237277</v>
      </c>
      <c r="Y57" s="39">
        <f t="shared" si="17"/>
        <v>0.79246733702996042</v>
      </c>
      <c r="Z57" s="39">
        <f t="shared" si="17"/>
        <v>-2.9305657371156664</v>
      </c>
      <c r="AA57" s="39" t="str">
        <f t="shared" si="10"/>
        <v/>
      </c>
      <c r="AB57" s="39" t="str">
        <f t="shared" si="11"/>
        <v/>
      </c>
      <c r="AC57" s="39" t="str">
        <f t="shared" si="12"/>
        <v/>
      </c>
      <c r="AD57" s="17"/>
      <c r="AE57" s="72" t="s">
        <v>171</v>
      </c>
      <c r="AF57" s="72" t="s">
        <v>0</v>
      </c>
      <c r="AG57" s="49" t="s">
        <v>40</v>
      </c>
      <c r="AH57" s="72" t="s">
        <v>0</v>
      </c>
      <c r="AI57" s="71">
        <v>1787.7740000000001</v>
      </c>
      <c r="AJ57" s="72" t="s">
        <v>0</v>
      </c>
      <c r="AK57" s="49">
        <v>6</v>
      </c>
      <c r="AL57" s="72" t="s">
        <v>0</v>
      </c>
      <c r="AM57" s="72">
        <v>16.8</v>
      </c>
      <c r="AN57" s="72" t="s">
        <v>0</v>
      </c>
      <c r="AO57" s="72">
        <v>70.5</v>
      </c>
      <c r="AP57" s="72" t="s">
        <v>0</v>
      </c>
      <c r="AQ57" s="72">
        <v>301.3</v>
      </c>
      <c r="AR57" s="72" t="s">
        <v>0</v>
      </c>
      <c r="AS57" s="72">
        <v>54.8</v>
      </c>
      <c r="AT57" s="72" t="s">
        <v>0</v>
      </c>
      <c r="AU57" s="72">
        <v>11.9</v>
      </c>
      <c r="AV57" s="72" t="s">
        <v>0</v>
      </c>
      <c r="AW57" s="72">
        <v>33</v>
      </c>
      <c r="AX57" s="72" t="s">
        <v>0</v>
      </c>
      <c r="AY57" s="72" t="s">
        <v>12</v>
      </c>
      <c r="AZ57" s="72" t="s">
        <v>0</v>
      </c>
      <c r="BA57" s="72" t="s">
        <v>90</v>
      </c>
      <c r="BB57" s="72" t="s">
        <v>0</v>
      </c>
      <c r="BC57" s="72" t="s">
        <v>78</v>
      </c>
      <c r="BD57" s="1"/>
      <c r="BE57" s="72" t="s">
        <v>116</v>
      </c>
      <c r="BF57" s="75">
        <v>47.072014329497897</v>
      </c>
      <c r="BG57" s="75">
        <v>-84.739454286550099</v>
      </c>
      <c r="BH57" s="1"/>
    </row>
    <row r="58" spans="1:60" s="3" customFormat="1" ht="15">
      <c r="A58" s="72" t="s">
        <v>171</v>
      </c>
      <c r="B58" s="72" t="s">
        <v>41</v>
      </c>
      <c r="C58" s="73">
        <v>300.8</v>
      </c>
      <c r="D58" s="73">
        <v>64.5</v>
      </c>
      <c r="E58" s="73">
        <v>6.4</v>
      </c>
      <c r="F58" s="72">
        <v>0</v>
      </c>
      <c r="G58" s="49">
        <v>4</v>
      </c>
      <c r="H58" s="38">
        <f t="shared" si="0"/>
        <v>46.350044711486568</v>
      </c>
      <c r="I58" s="39">
        <f t="shared" si="18"/>
        <v>5.2499503899989435</v>
      </c>
      <c r="J58" s="39">
        <f t="shared" si="18"/>
        <v>1.1257373675363425</v>
      </c>
      <c r="K58" s="39">
        <f t="shared" si="2"/>
        <v>0</v>
      </c>
      <c r="L58" s="39">
        <f t="shared" si="3"/>
        <v>0</v>
      </c>
      <c r="M58" s="39">
        <f t="shared" si="4"/>
        <v>0</v>
      </c>
      <c r="N58" s="17"/>
      <c r="O58" s="8">
        <v>47.072108933069302</v>
      </c>
      <c r="P58" s="8">
        <v>-84.739687379483001</v>
      </c>
      <c r="Q58" s="16"/>
      <c r="R58" s="41">
        <f t="shared" si="13"/>
        <v>-68.460902481910651</v>
      </c>
      <c r="S58" s="42">
        <f t="shared" si="5"/>
        <v>0.15938305917609874</v>
      </c>
      <c r="T58" s="37"/>
      <c r="U58" s="43">
        <f t="shared" si="14"/>
        <v>50.40106128929073</v>
      </c>
      <c r="V58" s="44">
        <f t="shared" si="6"/>
        <v>-153.20058986139367</v>
      </c>
      <c r="W58" s="43">
        <f t="shared" si="7"/>
        <v>50.40106128929073</v>
      </c>
      <c r="X58" s="43">
        <f t="shared" si="8"/>
        <v>-153.20058986139367</v>
      </c>
      <c r="Y58" s="39">
        <f t="shared" si="17"/>
        <v>0.87966446599758141</v>
      </c>
      <c r="Z58" s="39">
        <f t="shared" si="17"/>
        <v>-2.6738547090787628</v>
      </c>
      <c r="AA58" s="39" t="str">
        <f t="shared" si="10"/>
        <v/>
      </c>
      <c r="AB58" s="39" t="str">
        <f t="shared" si="11"/>
        <v/>
      </c>
      <c r="AC58" s="39" t="str">
        <f t="shared" si="12"/>
        <v/>
      </c>
      <c r="AD58" s="17"/>
      <c r="AE58" s="72" t="s">
        <v>171</v>
      </c>
      <c r="AF58" s="72" t="s">
        <v>0</v>
      </c>
      <c r="AG58" s="49" t="s">
        <v>41</v>
      </c>
      <c r="AH58" s="72" t="s">
        <v>0</v>
      </c>
      <c r="AI58" s="71">
        <v>1800.6740000000002</v>
      </c>
      <c r="AJ58" s="72" t="s">
        <v>0</v>
      </c>
      <c r="AK58" s="49">
        <v>4</v>
      </c>
      <c r="AL58" s="72" t="s">
        <v>0</v>
      </c>
      <c r="AM58" s="72">
        <v>45.6</v>
      </c>
      <c r="AN58" s="72" t="s">
        <v>0</v>
      </c>
      <c r="AO58" s="72">
        <v>69.8</v>
      </c>
      <c r="AP58" s="72" t="s">
        <v>0</v>
      </c>
      <c r="AQ58" s="72">
        <v>300.8</v>
      </c>
      <c r="AR58" s="72" t="s">
        <v>0</v>
      </c>
      <c r="AS58" s="72">
        <v>64.5</v>
      </c>
      <c r="AT58" s="72" t="s">
        <v>0</v>
      </c>
      <c r="AU58" s="72">
        <v>6.4</v>
      </c>
      <c r="AV58" s="72" t="s">
        <v>0</v>
      </c>
      <c r="AW58" s="72">
        <v>145</v>
      </c>
      <c r="AX58" s="72" t="s">
        <v>0</v>
      </c>
      <c r="AY58" s="72" t="s">
        <v>12</v>
      </c>
      <c r="AZ58" s="72" t="s">
        <v>0</v>
      </c>
      <c r="BA58" s="72" t="s">
        <v>90</v>
      </c>
      <c r="BB58" s="72" t="s">
        <v>0</v>
      </c>
      <c r="BC58" s="72" t="s">
        <v>78</v>
      </c>
      <c r="BD58" s="1"/>
      <c r="BE58" s="72" t="s">
        <v>116</v>
      </c>
      <c r="BF58" s="75">
        <v>47.072108933069302</v>
      </c>
      <c r="BG58" s="75">
        <v>-84.739687379483001</v>
      </c>
      <c r="BH58" s="1"/>
    </row>
    <row r="59" spans="1:60" s="3" customFormat="1" ht="15">
      <c r="A59" s="49" t="s">
        <v>172</v>
      </c>
      <c r="B59" s="72" t="s">
        <v>42</v>
      </c>
      <c r="C59" s="73">
        <v>328.7</v>
      </c>
      <c r="D59" s="73">
        <v>24.4</v>
      </c>
      <c r="E59" s="73">
        <v>3.6</v>
      </c>
      <c r="F59" s="72">
        <v>0</v>
      </c>
      <c r="G59" s="49">
        <v>6</v>
      </c>
      <c r="H59" s="38">
        <f t="shared" si="0"/>
        <v>12.779056622178325</v>
      </c>
      <c r="I59" s="39">
        <f t="shared" si="18"/>
        <v>5.7368972513053613</v>
      </c>
      <c r="J59" s="39">
        <f t="shared" si="18"/>
        <v>0.42586033748661634</v>
      </c>
      <c r="K59" s="39">
        <f t="shared" si="2"/>
        <v>0</v>
      </c>
      <c r="L59" s="39">
        <f t="shared" si="3"/>
        <v>0</v>
      </c>
      <c r="M59" s="39">
        <f t="shared" si="4"/>
        <v>0</v>
      </c>
      <c r="N59" s="17"/>
      <c r="O59" s="8">
        <v>47.070864999999998</v>
      </c>
      <c r="P59" s="8">
        <v>-84.740131000000005</v>
      </c>
      <c r="Q59" s="16"/>
      <c r="R59" s="41">
        <f t="shared" si="13"/>
        <v>-47.79504185382573</v>
      </c>
      <c r="S59" s="42">
        <f t="shared" si="5"/>
        <v>-0.31295061843844307</v>
      </c>
      <c r="T59" s="37"/>
      <c r="U59" s="43">
        <f t="shared" si="14"/>
        <v>46.845087795484218</v>
      </c>
      <c r="V59" s="44">
        <f t="shared" si="6"/>
        <v>143.05491085382573</v>
      </c>
      <c r="W59" s="43">
        <f t="shared" si="7"/>
        <v>46.845087795484218</v>
      </c>
      <c r="X59" s="43">
        <f t="shared" si="8"/>
        <v>143.05491085382573</v>
      </c>
      <c r="Y59" s="39">
        <f t="shared" si="17"/>
        <v>0.81760102041701166</v>
      </c>
      <c r="Z59" s="39">
        <f t="shared" si="17"/>
        <v>2.4967792055462317</v>
      </c>
      <c r="AA59" s="39" t="str">
        <f t="shared" si="10"/>
        <v/>
      </c>
      <c r="AB59" s="39" t="str">
        <f t="shared" si="11"/>
        <v/>
      </c>
      <c r="AC59" s="39" t="str">
        <f t="shared" si="12"/>
        <v/>
      </c>
      <c r="AD59" s="17"/>
      <c r="AE59" s="49" t="s">
        <v>172</v>
      </c>
      <c r="AF59" s="72" t="s">
        <v>0</v>
      </c>
      <c r="AG59" s="49" t="s">
        <v>42</v>
      </c>
      <c r="AH59" s="72" t="s">
        <v>0</v>
      </c>
      <c r="AI59" s="71">
        <v>1820.0740000000001</v>
      </c>
      <c r="AJ59" s="72" t="s">
        <v>0</v>
      </c>
      <c r="AK59" s="49">
        <v>6</v>
      </c>
      <c r="AL59" s="72" t="s">
        <v>0</v>
      </c>
      <c r="AM59" s="72">
        <v>350.2</v>
      </c>
      <c r="AN59" s="72" t="s">
        <v>0</v>
      </c>
      <c r="AO59" s="72">
        <v>36.700000000000003</v>
      </c>
      <c r="AP59" s="72" t="s">
        <v>0</v>
      </c>
      <c r="AQ59" s="72">
        <v>328.7</v>
      </c>
      <c r="AR59" s="72" t="s">
        <v>0</v>
      </c>
      <c r="AS59" s="72">
        <v>24.4</v>
      </c>
      <c r="AT59" s="72" t="s">
        <v>0</v>
      </c>
      <c r="AU59" s="72">
        <v>3.6</v>
      </c>
      <c r="AV59" s="72" t="s">
        <v>0</v>
      </c>
      <c r="AW59" s="72">
        <v>341.4</v>
      </c>
      <c r="AX59" s="72" t="s">
        <v>0</v>
      </c>
      <c r="AY59" s="72" t="s">
        <v>7</v>
      </c>
      <c r="AZ59" s="72" t="s">
        <v>0</v>
      </c>
      <c r="BA59" s="72" t="s">
        <v>90</v>
      </c>
      <c r="BB59" s="72" t="s">
        <v>0</v>
      </c>
      <c r="BC59" s="72" t="s">
        <v>78</v>
      </c>
      <c r="BD59" s="1"/>
      <c r="BE59" s="72" t="s">
        <v>116</v>
      </c>
      <c r="BF59" s="75">
        <v>47.070864999999998</v>
      </c>
      <c r="BG59" s="75">
        <v>-84.740131000000005</v>
      </c>
      <c r="BH59" s="1"/>
    </row>
    <row r="60" spans="1:60" s="3" customFormat="1" ht="15">
      <c r="A60" s="49" t="s">
        <v>172</v>
      </c>
      <c r="B60" s="72" t="s">
        <v>43</v>
      </c>
      <c r="C60" s="73">
        <v>325.5</v>
      </c>
      <c r="D60" s="73">
        <v>27.6</v>
      </c>
      <c r="E60" s="73">
        <v>23.1</v>
      </c>
      <c r="F60" s="72">
        <v>0</v>
      </c>
      <c r="G60" s="49">
        <v>6</v>
      </c>
      <c r="H60" s="38">
        <f t="shared" si="0"/>
        <v>14.648986731143856</v>
      </c>
      <c r="I60" s="39">
        <f t="shared" si="18"/>
        <v>5.6810467152415427</v>
      </c>
      <c r="J60" s="39">
        <f t="shared" si="18"/>
        <v>0.48171087355043496</v>
      </c>
      <c r="K60" s="39">
        <f t="shared" si="2"/>
        <v>0</v>
      </c>
      <c r="L60" s="39">
        <f t="shared" si="3"/>
        <v>0</v>
      </c>
      <c r="M60" s="39">
        <f t="shared" si="4"/>
        <v>0</v>
      </c>
      <c r="N60" s="17"/>
      <c r="O60" s="8">
        <v>47.070430999999999</v>
      </c>
      <c r="P60" s="8">
        <v>-84.740133</v>
      </c>
      <c r="Q60" s="16"/>
      <c r="R60" s="41">
        <f t="shared" si="13"/>
        <v>-53.092663317038699</v>
      </c>
      <c r="S60" s="42">
        <f t="shared" si="5"/>
        <v>-0.28030993561541473</v>
      </c>
      <c r="T60" s="37"/>
      <c r="U60" s="43">
        <f t="shared" si="14"/>
        <v>46.738528290903446</v>
      </c>
      <c r="V60" s="44">
        <f t="shared" si="6"/>
        <v>148.35253031703871</v>
      </c>
      <c r="W60" s="43">
        <f t="shared" si="7"/>
        <v>46.738528290903446</v>
      </c>
      <c r="X60" s="43">
        <f t="shared" si="8"/>
        <v>148.35253031703871</v>
      </c>
      <c r="Y60" s="39">
        <f t="shared" si="17"/>
        <v>0.81574120621278323</v>
      </c>
      <c r="Z60" s="39">
        <f t="shared" si="17"/>
        <v>2.5892401076970324</v>
      </c>
      <c r="AA60" s="39" t="str">
        <f t="shared" si="10"/>
        <v/>
      </c>
      <c r="AB60" s="39" t="str">
        <f t="shared" si="11"/>
        <v/>
      </c>
      <c r="AC60" s="39" t="str">
        <f t="shared" si="12"/>
        <v/>
      </c>
      <c r="AD60" s="17"/>
      <c r="AE60" s="49" t="s">
        <v>172</v>
      </c>
      <c r="AF60" s="72" t="s">
        <v>0</v>
      </c>
      <c r="AG60" s="49" t="s">
        <v>43</v>
      </c>
      <c r="AH60" s="72" t="s">
        <v>0</v>
      </c>
      <c r="AI60" s="71">
        <v>1832.8740000000003</v>
      </c>
      <c r="AJ60" s="72" t="s">
        <v>0</v>
      </c>
      <c r="AK60" s="49">
        <v>6</v>
      </c>
      <c r="AL60" s="72" t="s">
        <v>0</v>
      </c>
      <c r="AM60" s="72">
        <v>350.3</v>
      </c>
      <c r="AN60" s="72" t="s">
        <v>0</v>
      </c>
      <c r="AO60" s="72">
        <v>41</v>
      </c>
      <c r="AP60" s="72" t="s">
        <v>0</v>
      </c>
      <c r="AQ60" s="72">
        <v>325.5</v>
      </c>
      <c r="AR60" s="72" t="s">
        <v>0</v>
      </c>
      <c r="AS60" s="72">
        <v>27.6</v>
      </c>
      <c r="AT60" s="72" t="s">
        <v>0</v>
      </c>
      <c r="AU60" s="72">
        <v>23.1</v>
      </c>
      <c r="AV60" s="72" t="s">
        <v>0</v>
      </c>
      <c r="AW60" s="72">
        <v>17</v>
      </c>
      <c r="AX60" s="72" t="s">
        <v>0</v>
      </c>
      <c r="AY60" s="72" t="s">
        <v>12</v>
      </c>
      <c r="AZ60" s="72" t="s">
        <v>0</v>
      </c>
      <c r="BA60" s="72" t="s">
        <v>90</v>
      </c>
      <c r="BB60" s="72" t="s">
        <v>0</v>
      </c>
      <c r="BC60" s="72" t="s">
        <v>78</v>
      </c>
      <c r="BD60" s="1"/>
      <c r="BE60" s="72" t="s">
        <v>116</v>
      </c>
      <c r="BF60" s="75">
        <v>47.070430999999999</v>
      </c>
      <c r="BG60" s="75">
        <v>-84.740133</v>
      </c>
      <c r="BH60" s="1"/>
    </row>
    <row r="61" spans="1:60" s="3" customFormat="1" ht="15">
      <c r="A61" s="49" t="s">
        <v>172</v>
      </c>
      <c r="B61" s="72" t="s">
        <v>44</v>
      </c>
      <c r="C61" s="73">
        <v>316.7</v>
      </c>
      <c r="D61" s="73">
        <v>20.8</v>
      </c>
      <c r="E61" s="73">
        <v>13</v>
      </c>
      <c r="F61" s="72">
        <v>0</v>
      </c>
      <c r="G61" s="49">
        <v>5</v>
      </c>
      <c r="H61" s="38">
        <f t="shared" si="0"/>
        <v>10.754216783591669</v>
      </c>
      <c r="I61" s="39">
        <f t="shared" si="18"/>
        <v>5.5274577410660415</v>
      </c>
      <c r="J61" s="39">
        <f t="shared" si="18"/>
        <v>0.36302848441482055</v>
      </c>
      <c r="K61" s="39">
        <f t="shared" si="2"/>
        <v>0</v>
      </c>
      <c r="L61" s="39">
        <f t="shared" si="3"/>
        <v>0</v>
      </c>
      <c r="M61" s="39">
        <f t="shared" si="4"/>
        <v>0</v>
      </c>
      <c r="N61" s="17"/>
      <c r="O61" s="8">
        <v>47.070039276057798</v>
      </c>
      <c r="P61" s="8">
        <v>-84.740604725704799</v>
      </c>
      <c r="Q61" s="16"/>
      <c r="R61" s="41">
        <f t="shared" si="13"/>
        <v>-59.529518629984246</v>
      </c>
      <c r="S61" s="42">
        <f t="shared" si="5"/>
        <v>-0.26999995077979688</v>
      </c>
      <c r="T61" s="37"/>
      <c r="U61" s="43">
        <f t="shared" si="14"/>
        <v>38.579963013984234</v>
      </c>
      <c r="V61" s="44">
        <f t="shared" si="6"/>
        <v>154.78891390427944</v>
      </c>
      <c r="W61" s="43">
        <f t="shared" si="7"/>
        <v>38.579963013984234</v>
      </c>
      <c r="X61" s="43">
        <f t="shared" si="8"/>
        <v>154.78891390427944</v>
      </c>
      <c r="Y61" s="39">
        <f t="shared" si="17"/>
        <v>0.67334737989166005</v>
      </c>
      <c r="Z61" s="39">
        <f t="shared" si="17"/>
        <v>2.7015761932157072</v>
      </c>
      <c r="AA61" s="39" t="str">
        <f t="shared" si="10"/>
        <v/>
      </c>
      <c r="AB61" s="39" t="str">
        <f t="shared" si="11"/>
        <v/>
      </c>
      <c r="AC61" s="39" t="str">
        <f t="shared" si="12"/>
        <v/>
      </c>
      <c r="AD61" s="17"/>
      <c r="AE61" s="49" t="s">
        <v>172</v>
      </c>
      <c r="AF61" s="72" t="s">
        <v>0</v>
      </c>
      <c r="AG61" s="49" t="s">
        <v>44</v>
      </c>
      <c r="AH61" s="72" t="s">
        <v>0</v>
      </c>
      <c r="AI61" s="71">
        <v>1857.9740000000002</v>
      </c>
      <c r="AJ61" s="72" t="s">
        <v>0</v>
      </c>
      <c r="AK61" s="49">
        <v>5</v>
      </c>
      <c r="AL61" s="72" t="s">
        <v>0</v>
      </c>
      <c r="AM61" s="72">
        <v>336.3</v>
      </c>
      <c r="AN61" s="72" t="s">
        <v>0</v>
      </c>
      <c r="AO61" s="72">
        <v>40.9</v>
      </c>
      <c r="AP61" s="72" t="s">
        <v>0</v>
      </c>
      <c r="AQ61" s="72">
        <v>316.7</v>
      </c>
      <c r="AR61" s="72" t="s">
        <v>0</v>
      </c>
      <c r="AS61" s="72">
        <v>20.8</v>
      </c>
      <c r="AT61" s="72" t="s">
        <v>0</v>
      </c>
      <c r="AU61" s="72">
        <v>13</v>
      </c>
      <c r="AV61" s="72" t="s">
        <v>0</v>
      </c>
      <c r="AW61" s="72">
        <v>36</v>
      </c>
      <c r="AX61" s="72" t="s">
        <v>0</v>
      </c>
      <c r="AY61" s="72" t="s">
        <v>12</v>
      </c>
      <c r="AZ61" s="72" t="s">
        <v>0</v>
      </c>
      <c r="BA61" s="72" t="s">
        <v>90</v>
      </c>
      <c r="BB61" s="72" t="s">
        <v>0</v>
      </c>
      <c r="BC61" s="72" t="s">
        <v>78</v>
      </c>
      <c r="BD61" s="1"/>
      <c r="BE61" s="72" t="s">
        <v>116</v>
      </c>
      <c r="BF61" s="75">
        <v>47.070039276057798</v>
      </c>
      <c r="BG61" s="75">
        <v>-84.740604725704799</v>
      </c>
      <c r="BH61" s="1"/>
    </row>
    <row r="62" spans="1:60" s="3" customFormat="1" ht="15">
      <c r="A62" s="72" t="s">
        <v>45</v>
      </c>
      <c r="B62" s="72" t="s">
        <v>46</v>
      </c>
      <c r="C62" s="73">
        <v>106.7</v>
      </c>
      <c r="D62" s="73">
        <v>-39</v>
      </c>
      <c r="E62" s="73">
        <v>3.4</v>
      </c>
      <c r="F62" s="72">
        <v>0</v>
      </c>
      <c r="G62" s="72">
        <v>9</v>
      </c>
      <c r="H62" s="38">
        <f t="shared" si="0"/>
        <v>-22.042632091758751</v>
      </c>
      <c r="I62" s="39">
        <f t="shared" si="18"/>
        <v>1.8622663118779497</v>
      </c>
      <c r="J62" s="39">
        <f t="shared" si="18"/>
        <v>-0.68067840827778847</v>
      </c>
      <c r="K62" s="39">
        <f t="shared" si="2"/>
        <v>0</v>
      </c>
      <c r="L62" s="39">
        <f t="shared" si="3"/>
        <v>0</v>
      </c>
      <c r="M62" s="39">
        <f t="shared" si="4"/>
        <v>0</v>
      </c>
      <c r="N62" s="17"/>
      <c r="O62" s="8">
        <v>47.068898639652502</v>
      </c>
      <c r="P62" s="8">
        <v>-84.740718807781406</v>
      </c>
      <c r="Q62" s="16"/>
      <c r="R62" s="41">
        <f t="shared" si="13"/>
        <v>86.095003000355362</v>
      </c>
      <c r="S62" s="42">
        <f t="shared" si="5"/>
        <v>-4.1277564279311674E-2</v>
      </c>
      <c r="T62" s="37"/>
      <c r="U62" s="43">
        <f t="shared" si="14"/>
        <v>-27.142290948603602</v>
      </c>
      <c r="V62" s="44">
        <f t="shared" si="6"/>
        <v>9.1642781918632323</v>
      </c>
      <c r="W62" s="43">
        <f t="shared" si="7"/>
        <v>27.142290948603602</v>
      </c>
      <c r="X62" s="43">
        <f t="shared" si="8"/>
        <v>189.16427819186322</v>
      </c>
      <c r="Y62" s="39">
        <f t="shared" si="17"/>
        <v>0.47372234358738785</v>
      </c>
      <c r="Z62" s="39">
        <f t="shared" si="17"/>
        <v>3.3015394816065187</v>
      </c>
      <c r="AA62" s="39" t="str">
        <f t="shared" si="10"/>
        <v/>
      </c>
      <c r="AB62" s="39" t="str">
        <f t="shared" si="11"/>
        <v/>
      </c>
      <c r="AC62" s="39" t="str">
        <f t="shared" si="12"/>
        <v/>
      </c>
      <c r="AD62" s="17"/>
      <c r="AE62" s="72" t="s">
        <v>45</v>
      </c>
      <c r="AF62" s="72" t="s">
        <v>0</v>
      </c>
      <c r="AG62" s="72" t="s">
        <v>46</v>
      </c>
      <c r="AH62" s="72" t="s">
        <v>0</v>
      </c>
      <c r="AI62" s="71">
        <v>1865.2740000000001</v>
      </c>
      <c r="AJ62" s="72" t="s">
        <v>0</v>
      </c>
      <c r="AK62" s="72">
        <v>9</v>
      </c>
      <c r="AL62" s="72" t="s">
        <v>0</v>
      </c>
      <c r="AM62" s="72">
        <v>146.30000000000001</v>
      </c>
      <c r="AN62" s="72" t="s">
        <v>0</v>
      </c>
      <c r="AO62" s="72">
        <v>-72.2</v>
      </c>
      <c r="AP62" s="72" t="s">
        <v>0</v>
      </c>
      <c r="AQ62" s="72">
        <v>106.7</v>
      </c>
      <c r="AR62" s="72" t="s">
        <v>0</v>
      </c>
      <c r="AS62" s="72">
        <v>-39</v>
      </c>
      <c r="AT62" s="72" t="s">
        <v>0</v>
      </c>
      <c r="AU62" s="72">
        <v>3.4</v>
      </c>
      <c r="AV62" s="72" t="s">
        <v>0</v>
      </c>
      <c r="AW62" s="72">
        <v>226</v>
      </c>
      <c r="AX62" s="72" t="s">
        <v>0</v>
      </c>
      <c r="AY62" s="72" t="s">
        <v>2</v>
      </c>
      <c r="AZ62" s="72" t="s">
        <v>0</v>
      </c>
      <c r="BA62" s="72" t="s">
        <v>90</v>
      </c>
      <c r="BB62" s="72" t="s">
        <v>0</v>
      </c>
      <c r="BC62" s="72" t="s">
        <v>78</v>
      </c>
      <c r="BD62" s="1"/>
      <c r="BE62" s="72" t="s">
        <v>116</v>
      </c>
      <c r="BF62" s="75">
        <v>47.068898639652502</v>
      </c>
      <c r="BG62" s="75">
        <v>-84.740718807781406</v>
      </c>
      <c r="BH62" s="1"/>
    </row>
    <row r="63" spans="1:60" s="3" customFormat="1" ht="15">
      <c r="A63" s="72" t="s">
        <v>47</v>
      </c>
      <c r="B63" s="72" t="s">
        <v>48</v>
      </c>
      <c r="C63" s="73">
        <v>105.7</v>
      </c>
      <c r="D63" s="73">
        <v>-42.1</v>
      </c>
      <c r="E63" s="73">
        <v>7.8</v>
      </c>
      <c r="F63" s="72">
        <v>0</v>
      </c>
      <c r="G63" s="72">
        <v>4</v>
      </c>
      <c r="H63" s="38">
        <f t="shared" si="0"/>
        <v>-24.312722999641807</v>
      </c>
      <c r="I63" s="39">
        <f t="shared" si="18"/>
        <v>1.8448130193580061</v>
      </c>
      <c r="J63" s="39">
        <f t="shared" si="18"/>
        <v>-0.73478361508961265</v>
      </c>
      <c r="K63" s="39">
        <f t="shared" si="2"/>
        <v>0</v>
      </c>
      <c r="L63" s="39">
        <f t="shared" si="3"/>
        <v>0</v>
      </c>
      <c r="M63" s="39">
        <f t="shared" si="4"/>
        <v>0</v>
      </c>
      <c r="N63" s="17"/>
      <c r="O63" s="8">
        <v>47.068662774963599</v>
      </c>
      <c r="P63" s="8">
        <v>-84.740623410658998</v>
      </c>
      <c r="Q63" s="16"/>
      <c r="R63" s="41">
        <f t="shared" si="13"/>
        <v>83.505306159602924</v>
      </c>
      <c r="S63" s="42">
        <f t="shared" si="5"/>
        <v>-6.8026881164999442E-2</v>
      </c>
      <c r="T63" s="37"/>
      <c r="U63" s="43">
        <f t="shared" si="14"/>
        <v>-27.99615655933512</v>
      </c>
      <c r="V63" s="44">
        <f t="shared" si="6"/>
        <v>11.754070429738078</v>
      </c>
      <c r="W63" s="43">
        <f t="shared" si="7"/>
        <v>27.99615655933512</v>
      </c>
      <c r="X63" s="43">
        <f t="shared" si="8"/>
        <v>191.75407042973808</v>
      </c>
      <c r="Y63" s="39">
        <f t="shared" si="17"/>
        <v>0.48862510986420504</v>
      </c>
      <c r="Z63" s="39">
        <f t="shared" si="17"/>
        <v>3.3467398831000272</v>
      </c>
      <c r="AA63" s="39" t="str">
        <f t="shared" si="10"/>
        <v/>
      </c>
      <c r="AB63" s="39" t="str">
        <f t="shared" si="11"/>
        <v/>
      </c>
      <c r="AC63" s="39" t="str">
        <f t="shared" si="12"/>
        <v/>
      </c>
      <c r="AD63" s="17"/>
      <c r="AE63" s="72" t="s">
        <v>47</v>
      </c>
      <c r="AF63" s="72" t="s">
        <v>0</v>
      </c>
      <c r="AG63" s="72" t="s">
        <v>48</v>
      </c>
      <c r="AH63" s="72" t="s">
        <v>0</v>
      </c>
      <c r="AI63" s="71">
        <v>1871.874</v>
      </c>
      <c r="AJ63" s="72" t="s">
        <v>0</v>
      </c>
      <c r="AK63" s="72">
        <v>4</v>
      </c>
      <c r="AL63" s="72" t="s">
        <v>0</v>
      </c>
      <c r="AM63" s="72">
        <v>152.6</v>
      </c>
      <c r="AN63" s="72" t="s">
        <v>0</v>
      </c>
      <c r="AO63" s="72">
        <v>-74.8</v>
      </c>
      <c r="AP63" s="72" t="s">
        <v>0</v>
      </c>
      <c r="AQ63" s="72">
        <v>105.7</v>
      </c>
      <c r="AR63" s="72" t="s">
        <v>0</v>
      </c>
      <c r="AS63" s="72">
        <v>-42.1</v>
      </c>
      <c r="AT63" s="72" t="s">
        <v>0</v>
      </c>
      <c r="AU63" s="72">
        <v>7.8</v>
      </c>
      <c r="AV63" s="72" t="s">
        <v>0</v>
      </c>
      <c r="AW63" s="72">
        <v>140</v>
      </c>
      <c r="AX63" s="72" t="s">
        <v>0</v>
      </c>
      <c r="AY63" s="72" t="s">
        <v>2</v>
      </c>
      <c r="AZ63" s="72" t="s">
        <v>0</v>
      </c>
      <c r="BA63" s="72" t="s">
        <v>90</v>
      </c>
      <c r="BB63" s="72" t="s">
        <v>0</v>
      </c>
      <c r="BC63" s="72" t="s">
        <v>78</v>
      </c>
      <c r="BD63" s="1"/>
      <c r="BE63" s="72" t="s">
        <v>116</v>
      </c>
      <c r="BF63" s="75">
        <v>47.068662774963599</v>
      </c>
      <c r="BG63" s="75">
        <v>-84.740623410658998</v>
      </c>
      <c r="BH63" s="1"/>
    </row>
    <row r="64" spans="1:60" s="3" customFormat="1" ht="15">
      <c r="A64" s="72" t="s">
        <v>171</v>
      </c>
      <c r="B64" s="72" t="s">
        <v>49</v>
      </c>
      <c r="C64" s="73">
        <v>112.7</v>
      </c>
      <c r="D64" s="73">
        <v>-33.9</v>
      </c>
      <c r="E64" s="73">
        <v>7.8</v>
      </c>
      <c r="F64" s="72">
        <v>0</v>
      </c>
      <c r="G64" s="49">
        <v>5</v>
      </c>
      <c r="H64" s="38">
        <f t="shared" si="0"/>
        <v>-18.571630645617802</v>
      </c>
      <c r="I64" s="39">
        <f t="shared" si="18"/>
        <v>1.9669860669976096</v>
      </c>
      <c r="J64" s="39">
        <f t="shared" si="18"/>
        <v>-0.59166661642607765</v>
      </c>
      <c r="K64" s="39">
        <f t="shared" si="2"/>
        <v>0</v>
      </c>
      <c r="L64" s="39">
        <f t="shared" si="3"/>
        <v>0</v>
      </c>
      <c r="M64" s="39">
        <f t="shared" si="4"/>
        <v>0</v>
      </c>
      <c r="N64" s="17"/>
      <c r="O64" s="8">
        <v>47.0688261572896</v>
      </c>
      <c r="P64" s="8">
        <v>-84.741604338962603</v>
      </c>
      <c r="Q64" s="16"/>
      <c r="R64" s="41">
        <f t="shared" si="13"/>
        <v>86.668434653992506</v>
      </c>
      <c r="S64" s="42">
        <f t="shared" si="5"/>
        <v>3.4673493381036591E-2</v>
      </c>
      <c r="T64" s="37"/>
      <c r="U64" s="43">
        <f t="shared" si="14"/>
        <v>-28.839007768693051</v>
      </c>
      <c r="V64" s="44">
        <f t="shared" si="6"/>
        <v>1.9268303150299033</v>
      </c>
      <c r="W64" s="43">
        <f t="shared" si="7"/>
        <v>28.839007768693051</v>
      </c>
      <c r="X64" s="43">
        <f t="shared" si="8"/>
        <v>181.92683031502992</v>
      </c>
      <c r="Y64" s="39">
        <f t="shared" si="17"/>
        <v>0.50333563857191699</v>
      </c>
      <c r="Z64" s="39">
        <f t="shared" si="17"/>
        <v>3.1752221867143047</v>
      </c>
      <c r="AA64" s="39" t="str">
        <f t="shared" si="10"/>
        <v/>
      </c>
      <c r="AB64" s="39" t="str">
        <f t="shared" si="11"/>
        <v/>
      </c>
      <c r="AC64" s="39" t="str">
        <f t="shared" si="12"/>
        <v/>
      </c>
      <c r="AD64" s="17"/>
      <c r="AE64" s="72" t="s">
        <v>171</v>
      </c>
      <c r="AF64" s="72" t="s">
        <v>0</v>
      </c>
      <c r="AG64" s="49" t="s">
        <v>49</v>
      </c>
      <c r="AH64" s="72" t="s">
        <v>0</v>
      </c>
      <c r="AI64" s="71">
        <v>1910.4740000000002</v>
      </c>
      <c r="AJ64" s="72" t="s">
        <v>0</v>
      </c>
      <c r="AK64" s="49">
        <v>5</v>
      </c>
      <c r="AL64" s="72" t="s">
        <v>0</v>
      </c>
      <c r="AM64" s="72">
        <v>136</v>
      </c>
      <c r="AN64" s="72" t="s">
        <v>0</v>
      </c>
      <c r="AO64" s="72">
        <v>-68.3</v>
      </c>
      <c r="AP64" s="72" t="s">
        <v>0</v>
      </c>
      <c r="AQ64" s="72">
        <v>112.7</v>
      </c>
      <c r="AR64" s="72" t="s">
        <v>0</v>
      </c>
      <c r="AS64" s="72">
        <v>-33.9</v>
      </c>
      <c r="AT64" s="72" t="s">
        <v>0</v>
      </c>
      <c r="AU64" s="72">
        <v>7.8</v>
      </c>
      <c r="AV64" s="72" t="s">
        <v>0</v>
      </c>
      <c r="AW64" s="72">
        <v>97</v>
      </c>
      <c r="AX64" s="72" t="s">
        <v>0</v>
      </c>
      <c r="AY64" s="72" t="s">
        <v>12</v>
      </c>
      <c r="AZ64" s="72" t="s">
        <v>0</v>
      </c>
      <c r="BA64" s="72" t="s">
        <v>90</v>
      </c>
      <c r="BB64" s="72" t="s">
        <v>0</v>
      </c>
      <c r="BC64" s="72" t="s">
        <v>78</v>
      </c>
      <c r="BD64" s="1"/>
      <c r="BE64" s="72" t="s">
        <v>116</v>
      </c>
      <c r="BF64" s="75">
        <v>47.0688261572896</v>
      </c>
      <c r="BG64" s="75">
        <v>-84.741604338962603</v>
      </c>
      <c r="BH64" s="1"/>
    </row>
    <row r="65" spans="1:60" s="3" customFormat="1" ht="15">
      <c r="A65" s="72" t="s">
        <v>171</v>
      </c>
      <c r="B65" s="72" t="s">
        <v>50</v>
      </c>
      <c r="C65" s="73">
        <v>113.3</v>
      </c>
      <c r="D65" s="73">
        <v>-45.9</v>
      </c>
      <c r="E65" s="73">
        <v>3.8</v>
      </c>
      <c r="F65" s="72">
        <v>0</v>
      </c>
      <c r="G65" s="49">
        <v>6</v>
      </c>
      <c r="H65" s="38">
        <f t="shared" si="0"/>
        <v>-27.291922939254338</v>
      </c>
      <c r="I65" s="39">
        <f t="shared" si="18"/>
        <v>1.9774580425095754</v>
      </c>
      <c r="J65" s="39">
        <f t="shared" si="18"/>
        <v>-0.80110612666539727</v>
      </c>
      <c r="K65" s="39">
        <f t="shared" si="2"/>
        <v>0</v>
      </c>
      <c r="L65" s="39">
        <f t="shared" si="3"/>
        <v>0</v>
      </c>
      <c r="M65" s="39">
        <f t="shared" si="4"/>
        <v>0</v>
      </c>
      <c r="N65" s="17"/>
      <c r="O65" s="8">
        <v>47.068809734924699</v>
      </c>
      <c r="P65" s="8">
        <v>-84.741684059838093</v>
      </c>
      <c r="Q65" s="16"/>
      <c r="R65" s="41">
        <f t="shared" si="13"/>
        <v>86.149082583530742</v>
      </c>
      <c r="S65" s="42">
        <f t="shared" si="5"/>
        <v>-3.7421370643899332E-2</v>
      </c>
      <c r="T65" s="37"/>
      <c r="U65" s="43">
        <f t="shared" si="14"/>
        <v>-35.109568759865454</v>
      </c>
      <c r="V65" s="44">
        <f t="shared" si="6"/>
        <v>9.1092333566311652</v>
      </c>
      <c r="W65" s="43">
        <f t="shared" si="7"/>
        <v>35.109568759865454</v>
      </c>
      <c r="X65" s="43">
        <f t="shared" si="8"/>
        <v>189.10923335663117</v>
      </c>
      <c r="Y65" s="39">
        <f t="shared" si="17"/>
        <v>0.61277757381499454</v>
      </c>
      <c r="Z65" s="39">
        <f t="shared" si="17"/>
        <v>3.3005787679955017</v>
      </c>
      <c r="AA65" s="39" t="str">
        <f t="shared" si="10"/>
        <v/>
      </c>
      <c r="AB65" s="39" t="str">
        <f t="shared" si="11"/>
        <v/>
      </c>
      <c r="AC65" s="39" t="str">
        <f t="shared" si="12"/>
        <v/>
      </c>
      <c r="AD65" s="17"/>
      <c r="AE65" s="72" t="s">
        <v>171</v>
      </c>
      <c r="AF65" s="72" t="s">
        <v>0</v>
      </c>
      <c r="AG65" s="49" t="s">
        <v>50</v>
      </c>
      <c r="AH65" s="72" t="s">
        <v>0</v>
      </c>
      <c r="AI65" s="71">
        <v>1913.1740000000002</v>
      </c>
      <c r="AJ65" s="72" t="s">
        <v>0</v>
      </c>
      <c r="AK65" s="49">
        <v>6</v>
      </c>
      <c r="AL65" s="72" t="s">
        <v>0</v>
      </c>
      <c r="AM65" s="72">
        <v>164.7</v>
      </c>
      <c r="AN65" s="72" t="s">
        <v>0</v>
      </c>
      <c r="AO65" s="72">
        <v>-77.099999999999994</v>
      </c>
      <c r="AP65" s="72" t="s">
        <v>0</v>
      </c>
      <c r="AQ65" s="72">
        <v>113.3</v>
      </c>
      <c r="AR65" s="72" t="s">
        <v>0</v>
      </c>
      <c r="AS65" s="72">
        <v>-45.9</v>
      </c>
      <c r="AT65" s="72" t="s">
        <v>0</v>
      </c>
      <c r="AU65" s="72">
        <v>3.8</v>
      </c>
      <c r="AV65" s="72" t="s">
        <v>0</v>
      </c>
      <c r="AW65" s="72">
        <v>416</v>
      </c>
      <c r="AX65" s="72" t="s">
        <v>0</v>
      </c>
      <c r="AY65" s="72" t="s">
        <v>7</v>
      </c>
      <c r="AZ65" s="72" t="s">
        <v>0</v>
      </c>
      <c r="BA65" s="72" t="s">
        <v>90</v>
      </c>
      <c r="BB65" s="72" t="s">
        <v>0</v>
      </c>
      <c r="BC65" s="72" t="s">
        <v>78</v>
      </c>
      <c r="BD65" s="1"/>
      <c r="BE65" s="72" t="s">
        <v>116</v>
      </c>
      <c r="BF65" s="75">
        <v>47.068809734924699</v>
      </c>
      <c r="BG65" s="75">
        <v>-84.741684059838093</v>
      </c>
      <c r="BH65" s="1"/>
    </row>
    <row r="66" spans="1:60" s="3" customFormat="1" ht="15">
      <c r="A66" s="72" t="s">
        <v>171</v>
      </c>
      <c r="B66" s="72" t="s">
        <v>51</v>
      </c>
      <c r="C66" s="73">
        <v>116.9</v>
      </c>
      <c r="D66" s="73">
        <v>-44.5</v>
      </c>
      <c r="E66" s="73">
        <v>4.7</v>
      </c>
      <c r="F66" s="72">
        <v>0</v>
      </c>
      <c r="G66" s="49">
        <v>5</v>
      </c>
      <c r="H66" s="38">
        <f t="shared" si="0"/>
        <v>-26.167131012142576</v>
      </c>
      <c r="I66" s="39">
        <f t="shared" si="18"/>
        <v>2.0402898955813713</v>
      </c>
      <c r="J66" s="39">
        <f t="shared" si="18"/>
        <v>-0.77667151713747673</v>
      </c>
      <c r="K66" s="39">
        <f t="shared" si="2"/>
        <v>0</v>
      </c>
      <c r="L66" s="39">
        <f t="shared" si="3"/>
        <v>0</v>
      </c>
      <c r="M66" s="39">
        <f t="shared" si="4"/>
        <v>0</v>
      </c>
      <c r="N66" s="17"/>
      <c r="O66" s="8">
        <v>47.068865245652702</v>
      </c>
      <c r="P66" s="8">
        <v>-84.741760740919304</v>
      </c>
      <c r="Q66" s="16"/>
      <c r="R66" s="41">
        <f t="shared" si="13"/>
        <v>89.781149498402556</v>
      </c>
      <c r="S66" s="42">
        <f t="shared" si="5"/>
        <v>-2.0823618749225004E-3</v>
      </c>
      <c r="T66" s="37"/>
      <c r="U66" s="43">
        <f t="shared" si="14"/>
        <v>-36.831264948172546</v>
      </c>
      <c r="V66" s="44">
        <f t="shared" si="6"/>
        <v>5.4770897606781404</v>
      </c>
      <c r="W66" s="43">
        <f t="shared" si="7"/>
        <v>36.831264948172546</v>
      </c>
      <c r="X66" s="43">
        <f t="shared" si="8"/>
        <v>185.47708976067815</v>
      </c>
      <c r="Y66" s="39">
        <f t="shared" si="17"/>
        <v>0.64282684101998955</v>
      </c>
      <c r="Z66" s="39">
        <f t="shared" si="17"/>
        <v>3.2371859033408952</v>
      </c>
      <c r="AA66" s="39" t="str">
        <f t="shared" si="10"/>
        <v/>
      </c>
      <c r="AB66" s="39" t="str">
        <f t="shared" si="11"/>
        <v/>
      </c>
      <c r="AC66" s="39" t="str">
        <f t="shared" si="12"/>
        <v/>
      </c>
      <c r="AD66" s="17"/>
      <c r="AE66" s="72" t="s">
        <v>171</v>
      </c>
      <c r="AF66" s="72" t="s">
        <v>0</v>
      </c>
      <c r="AG66" s="49" t="s">
        <v>51</v>
      </c>
      <c r="AH66" s="72" t="s">
        <v>0</v>
      </c>
      <c r="AI66" s="71">
        <v>1924.3740000000003</v>
      </c>
      <c r="AJ66" s="72" t="s">
        <v>0</v>
      </c>
      <c r="AK66" s="49">
        <v>5</v>
      </c>
      <c r="AL66" s="72" t="s">
        <v>0</v>
      </c>
      <c r="AM66" s="72">
        <v>166</v>
      </c>
      <c r="AN66" s="72" t="s">
        <v>0</v>
      </c>
      <c r="AO66" s="72">
        <v>-74.3</v>
      </c>
      <c r="AP66" s="72" t="s">
        <v>0</v>
      </c>
      <c r="AQ66" s="72">
        <v>116.9</v>
      </c>
      <c r="AR66" s="72" t="s">
        <v>0</v>
      </c>
      <c r="AS66" s="72">
        <v>-44.5</v>
      </c>
      <c r="AT66" s="72" t="s">
        <v>0</v>
      </c>
      <c r="AU66" s="72">
        <v>4.7</v>
      </c>
      <c r="AV66" s="72" t="s">
        <v>0</v>
      </c>
      <c r="AW66" s="72">
        <v>268</v>
      </c>
      <c r="AX66" s="72" t="s">
        <v>0</v>
      </c>
      <c r="AY66" s="72" t="s">
        <v>7</v>
      </c>
      <c r="AZ66" s="72" t="s">
        <v>0</v>
      </c>
      <c r="BA66" s="72" t="s">
        <v>90</v>
      </c>
      <c r="BB66" s="72" t="s">
        <v>0</v>
      </c>
      <c r="BC66" s="72" t="s">
        <v>78</v>
      </c>
      <c r="BD66" s="1"/>
      <c r="BE66" s="72" t="s">
        <v>116</v>
      </c>
      <c r="BF66" s="75">
        <v>47.068865245652702</v>
      </c>
      <c r="BG66" s="75">
        <v>-84.741760740919304</v>
      </c>
      <c r="BH66" s="1"/>
    </row>
    <row r="67" spans="1:60" s="3" customFormat="1" ht="15">
      <c r="A67" s="72" t="s">
        <v>171</v>
      </c>
      <c r="B67" s="72" t="s">
        <v>52</v>
      </c>
      <c r="C67" s="73">
        <v>129.80000000000001</v>
      </c>
      <c r="D67" s="73">
        <v>-45.4</v>
      </c>
      <c r="E67" s="73">
        <v>4.9000000000000004</v>
      </c>
      <c r="F67" s="72">
        <v>0</v>
      </c>
      <c r="G67" s="49">
        <v>6</v>
      </c>
      <c r="H67" s="38">
        <f t="shared" si="0"/>
        <v>-26.886399101504825</v>
      </c>
      <c r="I67" s="39">
        <f t="shared" si="18"/>
        <v>2.26543736908864</v>
      </c>
      <c r="J67" s="39">
        <f t="shared" si="18"/>
        <v>-0.7923794804054255</v>
      </c>
      <c r="K67" s="39">
        <f t="shared" si="2"/>
        <v>0</v>
      </c>
      <c r="L67" s="39">
        <f t="shared" si="3"/>
        <v>0</v>
      </c>
      <c r="M67" s="39">
        <f t="shared" si="4"/>
        <v>0</v>
      </c>
      <c r="N67" s="17"/>
      <c r="O67" s="8">
        <v>47.068902252777299</v>
      </c>
      <c r="P67" s="8">
        <v>-84.741811861728394</v>
      </c>
      <c r="Q67" s="16"/>
      <c r="R67" s="41">
        <f t="shared" si="13"/>
        <v>80.880778383922348</v>
      </c>
      <c r="S67" s="42">
        <f t="shared" si="5"/>
        <v>7.4918110996562537E-2</v>
      </c>
      <c r="T67" s="37"/>
      <c r="U67" s="43">
        <f t="shared" si="14"/>
        <v>-46.051810153162648</v>
      </c>
      <c r="V67" s="44">
        <f t="shared" si="6"/>
        <v>-3.8610334778060462</v>
      </c>
      <c r="W67" s="43">
        <f t="shared" si="7"/>
        <v>46.051810153162648</v>
      </c>
      <c r="X67" s="43">
        <f t="shared" si="8"/>
        <v>176.13896652219395</v>
      </c>
      <c r="Y67" s="39">
        <f t="shared" si="17"/>
        <v>0.80375571367604237</v>
      </c>
      <c r="Z67" s="39">
        <f t="shared" si="17"/>
        <v>3.07420490687235</v>
      </c>
      <c r="AA67" s="39" t="str">
        <f t="shared" si="10"/>
        <v/>
      </c>
      <c r="AB67" s="39" t="str">
        <f t="shared" si="11"/>
        <v/>
      </c>
      <c r="AC67" s="39" t="str">
        <f t="shared" si="12"/>
        <v/>
      </c>
      <c r="AD67" s="17"/>
      <c r="AE67" s="72" t="s">
        <v>171</v>
      </c>
      <c r="AF67" s="72" t="s">
        <v>0</v>
      </c>
      <c r="AG67" s="49" t="s">
        <v>52</v>
      </c>
      <c r="AH67" s="72" t="s">
        <v>0</v>
      </c>
      <c r="AI67" s="71">
        <v>1927.9740000000002</v>
      </c>
      <c r="AJ67" s="72" t="s">
        <v>0</v>
      </c>
      <c r="AK67" s="49">
        <v>6</v>
      </c>
      <c r="AL67" s="72" t="s">
        <v>0</v>
      </c>
      <c r="AM67" s="72">
        <v>183</v>
      </c>
      <c r="AN67" s="72" t="s">
        <v>0</v>
      </c>
      <c r="AO67" s="72">
        <v>-67</v>
      </c>
      <c r="AP67" s="72" t="s">
        <v>0</v>
      </c>
      <c r="AQ67" s="72">
        <v>129.80000000000001</v>
      </c>
      <c r="AR67" s="72" t="s">
        <v>0</v>
      </c>
      <c r="AS67" s="72">
        <v>-45.4</v>
      </c>
      <c r="AT67" s="72" t="s">
        <v>0</v>
      </c>
      <c r="AU67" s="72">
        <v>4.9000000000000004</v>
      </c>
      <c r="AV67" s="72" t="s">
        <v>0</v>
      </c>
      <c r="AW67" s="72">
        <v>250</v>
      </c>
      <c r="AX67" s="72" t="s">
        <v>0</v>
      </c>
      <c r="AY67" s="72" t="s">
        <v>7</v>
      </c>
      <c r="AZ67" s="72" t="s">
        <v>0</v>
      </c>
      <c r="BA67" s="72" t="s">
        <v>90</v>
      </c>
      <c r="BB67" s="72" t="s">
        <v>0</v>
      </c>
      <c r="BC67" s="72" t="s">
        <v>78</v>
      </c>
      <c r="BD67" s="1"/>
      <c r="BE67" s="72" t="s">
        <v>116</v>
      </c>
      <c r="BF67" s="75">
        <v>47.068902252777299</v>
      </c>
      <c r="BG67" s="75">
        <v>-84.741811861728394</v>
      </c>
      <c r="BH67" s="1"/>
    </row>
    <row r="68" spans="1:60" s="3" customFormat="1" ht="15">
      <c r="A68" s="72" t="s">
        <v>171</v>
      </c>
      <c r="B68" s="72" t="s">
        <v>53</v>
      </c>
      <c r="C68" s="73">
        <v>124.7</v>
      </c>
      <c r="D68" s="73">
        <v>-47.1</v>
      </c>
      <c r="E68" s="73">
        <v>5.4</v>
      </c>
      <c r="F68" s="72">
        <v>0</v>
      </c>
      <c r="G68" s="49">
        <v>3</v>
      </c>
      <c r="H68" s="38">
        <f t="shared" si="0"/>
        <v>-28.283098862266243</v>
      </c>
      <c r="I68" s="39">
        <f t="shared" si="18"/>
        <v>2.176425577236929</v>
      </c>
      <c r="J68" s="39">
        <f t="shared" si="18"/>
        <v>-0.82205007768932914</v>
      </c>
      <c r="K68" s="39">
        <f t="shared" si="2"/>
        <v>0</v>
      </c>
      <c r="L68" s="39">
        <f t="shared" si="3"/>
        <v>0</v>
      </c>
      <c r="M68" s="39">
        <f t="shared" si="4"/>
        <v>0</v>
      </c>
      <c r="N68" s="17"/>
      <c r="O68" s="8">
        <v>47.069003241893697</v>
      </c>
      <c r="P68" s="8">
        <v>-84.741912963723607</v>
      </c>
      <c r="Q68" s="16"/>
      <c r="R68" s="41">
        <f t="shared" si="13"/>
        <v>86.497024968146036</v>
      </c>
      <c r="S68" s="42">
        <f t="shared" si="5"/>
        <v>3.018650434137321E-2</v>
      </c>
      <c r="T68" s="37"/>
      <c r="U68" s="43">
        <f t="shared" si="14"/>
        <v>-43.502080507688248</v>
      </c>
      <c r="V68" s="44">
        <f t="shared" si="6"/>
        <v>1.7551120044224291</v>
      </c>
      <c r="W68" s="43">
        <f t="shared" si="7"/>
        <v>43.502080507688248</v>
      </c>
      <c r="X68" s="43">
        <f t="shared" si="8"/>
        <v>181.75511200442241</v>
      </c>
      <c r="Y68" s="39">
        <f t="shared" si="17"/>
        <v>0.75925453632680628</v>
      </c>
      <c r="Z68" s="39">
        <f t="shared" si="17"/>
        <v>3.1722251368082413</v>
      </c>
      <c r="AA68" s="39" t="str">
        <f t="shared" si="10"/>
        <v/>
      </c>
      <c r="AB68" s="39" t="str">
        <f t="shared" si="11"/>
        <v/>
      </c>
      <c r="AC68" s="39" t="str">
        <f t="shared" si="12"/>
        <v/>
      </c>
      <c r="AD68" s="17"/>
      <c r="AE68" s="72" t="s">
        <v>171</v>
      </c>
      <c r="AF68" s="72" t="s">
        <v>0</v>
      </c>
      <c r="AG68" s="49" t="s">
        <v>53</v>
      </c>
      <c r="AH68" s="72" t="s">
        <v>0</v>
      </c>
      <c r="AI68" s="71">
        <v>1929.5740000000001</v>
      </c>
      <c r="AJ68" s="72" t="s">
        <v>0</v>
      </c>
      <c r="AK68" s="49">
        <v>3</v>
      </c>
      <c r="AL68" s="72" t="s">
        <v>0</v>
      </c>
      <c r="AM68" s="72">
        <v>182.4</v>
      </c>
      <c r="AN68" s="72" t="s">
        <v>0</v>
      </c>
      <c r="AO68" s="72">
        <v>-70.900000000000006</v>
      </c>
      <c r="AP68" s="72" t="s">
        <v>0</v>
      </c>
      <c r="AQ68" s="72">
        <v>124.7</v>
      </c>
      <c r="AR68" s="72" t="s">
        <v>0</v>
      </c>
      <c r="AS68" s="72">
        <v>-47.1</v>
      </c>
      <c r="AT68" s="72" t="s">
        <v>0</v>
      </c>
      <c r="AU68" s="72">
        <v>5.4</v>
      </c>
      <c r="AV68" s="72" t="s">
        <v>0</v>
      </c>
      <c r="AW68" s="72">
        <v>155</v>
      </c>
      <c r="AX68" s="72" t="s">
        <v>0</v>
      </c>
      <c r="AY68" s="72" t="s">
        <v>12</v>
      </c>
      <c r="AZ68" s="72" t="s">
        <v>0</v>
      </c>
      <c r="BA68" s="72" t="s">
        <v>90</v>
      </c>
      <c r="BB68" s="72" t="s">
        <v>0</v>
      </c>
      <c r="BC68" s="72" t="s">
        <v>78</v>
      </c>
      <c r="BD68" s="1"/>
      <c r="BE68" s="72" t="s">
        <v>116</v>
      </c>
      <c r="BF68" s="75">
        <v>47.069003241893697</v>
      </c>
      <c r="BG68" s="75">
        <v>-84.741912963723607</v>
      </c>
      <c r="BH68" s="1"/>
    </row>
    <row r="69" spans="1:60" s="3" customFormat="1" ht="15">
      <c r="A69" s="72" t="s">
        <v>171</v>
      </c>
      <c r="B69" s="72" t="s">
        <v>54</v>
      </c>
      <c r="C69" s="73">
        <v>123.3</v>
      </c>
      <c r="D69" s="73">
        <v>-40.9</v>
      </c>
      <c r="E69" s="73">
        <v>8.6999999999999993</v>
      </c>
      <c r="F69" s="72">
        <v>0</v>
      </c>
      <c r="G69" s="49">
        <v>6</v>
      </c>
      <c r="H69" s="38">
        <f t="shared" si="0"/>
        <v>-23.418091853943647</v>
      </c>
      <c r="I69" s="39">
        <f t="shared" si="18"/>
        <v>2.1519909677090086</v>
      </c>
      <c r="J69" s="39">
        <f t="shared" si="18"/>
        <v>-0.71383966406568078</v>
      </c>
      <c r="K69" s="39">
        <f t="shared" si="2"/>
        <v>0</v>
      </c>
      <c r="L69" s="39">
        <f t="shared" si="3"/>
        <v>0</v>
      </c>
      <c r="M69" s="39">
        <f t="shared" si="4"/>
        <v>0</v>
      </c>
      <c r="N69" s="17"/>
      <c r="O69" s="8">
        <v>47.069152570481499</v>
      </c>
      <c r="P69" s="8">
        <v>-84.742183249513701</v>
      </c>
      <c r="Q69" s="16"/>
      <c r="R69" s="41">
        <f t="shared" si="13"/>
        <v>82.705943849598015</v>
      </c>
      <c r="S69" s="42">
        <f t="shared" si="5"/>
        <v>6.6864482521871604E-2</v>
      </c>
      <c r="T69" s="37"/>
      <c r="U69" s="43">
        <f t="shared" si="14"/>
        <v>-39.35621555805443</v>
      </c>
      <c r="V69" s="44">
        <f t="shared" si="6"/>
        <v>-2.0362393999156865</v>
      </c>
      <c r="W69" s="43">
        <f t="shared" si="7"/>
        <v>39.35621555805443</v>
      </c>
      <c r="X69" s="43">
        <f t="shared" si="8"/>
        <v>177.9637606000843</v>
      </c>
      <c r="Y69" s="39">
        <f t="shared" si="17"/>
        <v>0.68689554261266739</v>
      </c>
      <c r="Z69" s="39">
        <f t="shared" si="17"/>
        <v>3.1060535717024305</v>
      </c>
      <c r="AA69" s="39" t="str">
        <f t="shared" si="10"/>
        <v/>
      </c>
      <c r="AB69" s="39" t="str">
        <f t="shared" si="11"/>
        <v/>
      </c>
      <c r="AC69" s="39" t="str">
        <f t="shared" si="12"/>
        <v/>
      </c>
      <c r="AD69" s="17"/>
      <c r="AE69" s="72" t="s">
        <v>171</v>
      </c>
      <c r="AF69" s="72" t="s">
        <v>0</v>
      </c>
      <c r="AG69" s="49" t="s">
        <v>54</v>
      </c>
      <c r="AH69" s="72" t="s">
        <v>0</v>
      </c>
      <c r="AI69" s="71">
        <v>2084.7740000000003</v>
      </c>
      <c r="AJ69" s="72" t="s">
        <v>0</v>
      </c>
      <c r="AK69" s="49">
        <v>6</v>
      </c>
      <c r="AL69" s="72" t="s">
        <v>0</v>
      </c>
      <c r="AM69" s="72">
        <v>166.1</v>
      </c>
      <c r="AN69" s="72" t="s">
        <v>0</v>
      </c>
      <c r="AO69" s="72">
        <v>-68.3</v>
      </c>
      <c r="AP69" s="72" t="s">
        <v>0</v>
      </c>
      <c r="AQ69" s="72">
        <v>123.3</v>
      </c>
      <c r="AR69" s="72" t="s">
        <v>0</v>
      </c>
      <c r="AS69" s="72">
        <v>-40.9</v>
      </c>
      <c r="AT69" s="72" t="s">
        <v>0</v>
      </c>
      <c r="AU69" s="72">
        <v>8.6999999999999993</v>
      </c>
      <c r="AV69" s="72" t="s">
        <v>0</v>
      </c>
      <c r="AW69" s="72">
        <v>113</v>
      </c>
      <c r="AX69" s="72" t="s">
        <v>0</v>
      </c>
      <c r="AY69" s="72" t="s">
        <v>2</v>
      </c>
      <c r="AZ69" s="72" t="s">
        <v>0</v>
      </c>
      <c r="BA69" s="72" t="s">
        <v>90</v>
      </c>
      <c r="BB69" s="72" t="s">
        <v>0</v>
      </c>
      <c r="BC69" s="72" t="s">
        <v>78</v>
      </c>
      <c r="BD69" s="1"/>
      <c r="BE69" s="72" t="s">
        <v>116</v>
      </c>
      <c r="BF69" s="75">
        <v>47.069152570481499</v>
      </c>
      <c r="BG69" s="75">
        <v>-84.742183249513701</v>
      </c>
      <c r="BH69" s="1"/>
    </row>
    <row r="70" spans="1:60" s="3" customFormat="1" ht="15">
      <c r="A70" s="72" t="s">
        <v>171</v>
      </c>
      <c r="B70" s="72" t="s">
        <v>55</v>
      </c>
      <c r="C70" s="73">
        <v>86.9</v>
      </c>
      <c r="D70" s="73">
        <v>-51.6</v>
      </c>
      <c r="E70" s="73">
        <v>13.6</v>
      </c>
      <c r="F70" s="72">
        <v>0</v>
      </c>
      <c r="G70" s="49">
        <v>5</v>
      </c>
      <c r="H70" s="38">
        <f t="shared" si="0"/>
        <v>-32.245491353555138</v>
      </c>
      <c r="I70" s="39">
        <f t="shared" si="18"/>
        <v>1.5166911199830724</v>
      </c>
      <c r="J70" s="39">
        <f t="shared" si="18"/>
        <v>-0.90058989402907408</v>
      </c>
      <c r="K70" s="39">
        <f t="shared" si="2"/>
        <v>0</v>
      </c>
      <c r="L70" s="39">
        <f t="shared" si="3"/>
        <v>0</v>
      </c>
      <c r="M70" s="39">
        <f t="shared" si="4"/>
        <v>0</v>
      </c>
      <c r="N70" s="17"/>
      <c r="O70" s="8">
        <v>47.068885953454902</v>
      </c>
      <c r="P70" s="8">
        <v>-84.744631178664307</v>
      </c>
      <c r="Q70" s="16"/>
      <c r="R70" s="41">
        <f t="shared" si="13"/>
        <v>64.828275494064741</v>
      </c>
      <c r="S70" s="42">
        <f t="shared" si="5"/>
        <v>-0.27033441260010582</v>
      </c>
      <c r="T70" s="37"/>
      <c r="U70" s="43">
        <f t="shared" si="14"/>
        <v>-21.069266937294842</v>
      </c>
      <c r="V70" s="44">
        <f t="shared" si="6"/>
        <v>30.427093327270953</v>
      </c>
      <c r="W70" s="43">
        <f t="shared" si="7"/>
        <v>21.069266937294842</v>
      </c>
      <c r="X70" s="43">
        <f t="shared" si="8"/>
        <v>210.42709332727094</v>
      </c>
      <c r="Y70" s="39">
        <f t="shared" si="17"/>
        <v>0.36772807903737664</v>
      </c>
      <c r="Z70" s="39">
        <f t="shared" si="17"/>
        <v>3.6726456139622674</v>
      </c>
      <c r="AA70" s="39" t="str">
        <f t="shared" si="10"/>
        <v/>
      </c>
      <c r="AB70" s="39" t="str">
        <f t="shared" si="11"/>
        <v/>
      </c>
      <c r="AC70" s="39" t="str">
        <f t="shared" si="12"/>
        <v/>
      </c>
      <c r="AD70" s="17"/>
      <c r="AE70" s="72" t="s">
        <v>171</v>
      </c>
      <c r="AF70" s="72" t="s">
        <v>0</v>
      </c>
      <c r="AG70" s="72" t="s">
        <v>55</v>
      </c>
      <c r="AH70" s="72" t="s">
        <v>0</v>
      </c>
      <c r="AI70" s="71">
        <v>2056.2740000000003</v>
      </c>
      <c r="AJ70" s="72" t="s">
        <v>0</v>
      </c>
      <c r="AK70" s="49">
        <v>5</v>
      </c>
      <c r="AL70" s="72" t="s">
        <v>0</v>
      </c>
      <c r="AM70" s="72">
        <v>6.3</v>
      </c>
      <c r="AN70" s="72" t="s">
        <v>0</v>
      </c>
      <c r="AO70" s="72">
        <v>-84.4</v>
      </c>
      <c r="AP70" s="72" t="s">
        <v>0</v>
      </c>
      <c r="AQ70" s="72">
        <v>86.9</v>
      </c>
      <c r="AR70" s="72" t="s">
        <v>0</v>
      </c>
      <c r="AS70" s="72">
        <v>-51.6</v>
      </c>
      <c r="AT70" s="72" t="s">
        <v>0</v>
      </c>
      <c r="AU70" s="72">
        <v>13.6</v>
      </c>
      <c r="AV70" s="72" t="s">
        <v>0</v>
      </c>
      <c r="AW70" s="72">
        <v>32</v>
      </c>
      <c r="AX70" s="72" t="s">
        <v>0</v>
      </c>
      <c r="AY70" s="72" t="s">
        <v>12</v>
      </c>
      <c r="AZ70" s="72" t="s">
        <v>0</v>
      </c>
      <c r="BA70" s="72" t="s">
        <v>90</v>
      </c>
      <c r="BB70" s="72" t="s">
        <v>0</v>
      </c>
      <c r="BC70" s="72" t="s">
        <v>78</v>
      </c>
      <c r="BD70" s="1"/>
      <c r="BE70" s="72" t="s">
        <v>116</v>
      </c>
      <c r="BF70" s="75">
        <v>47.068885953454902</v>
      </c>
      <c r="BG70" s="75">
        <v>-84.744631178664307</v>
      </c>
      <c r="BH70" s="1"/>
    </row>
    <row r="71" spans="1:60" s="3" customFormat="1" ht="15">
      <c r="A71" s="72" t="s">
        <v>171</v>
      </c>
      <c r="B71" s="72" t="s">
        <v>56</v>
      </c>
      <c r="C71" s="73">
        <v>100.5</v>
      </c>
      <c r="D71" s="73">
        <v>-50.9</v>
      </c>
      <c r="E71" s="73">
        <v>6</v>
      </c>
      <c r="F71" s="72">
        <v>0</v>
      </c>
      <c r="G71" s="72">
        <v>3</v>
      </c>
      <c r="H71" s="38">
        <f t="shared" ref="H71:H104" si="19">ATAN(0.5*TAN(J71))/(PI()/180)</f>
        <v>-31.601901846954362</v>
      </c>
      <c r="I71" s="39">
        <f t="shared" si="18"/>
        <v>1.7540558982543013</v>
      </c>
      <c r="J71" s="39">
        <f t="shared" si="18"/>
        <v>-0.88837258926511375</v>
      </c>
      <c r="K71" s="39">
        <f t="shared" ref="K71:K104" si="20">COS(I71)*COS(J71)*F71</f>
        <v>0</v>
      </c>
      <c r="L71" s="39">
        <f t="shared" ref="L71:L104" si="21">COS(J71)*SIN(I71)*F71</f>
        <v>0</v>
      </c>
      <c r="M71" s="39">
        <f t="shared" ref="M71:M104" si="22">-1*SIN(J71)*F71</f>
        <v>0</v>
      </c>
      <c r="N71" s="17"/>
      <c r="O71" s="8">
        <v>47.068366355814199</v>
      </c>
      <c r="P71" s="8">
        <v>-84.745206290880006</v>
      </c>
      <c r="Q71" s="16"/>
      <c r="R71" s="41">
        <f t="shared" si="13"/>
        <v>73.801429141506773</v>
      </c>
      <c r="S71" s="42">
        <f t="shared" ref="S71:S104" si="23">COS((PI()/180)*(90-H71))-SIN((PI()/180)*U71)*SIN((PI()/180)*O71)</f>
        <v>-0.16570302628781602</v>
      </c>
      <c r="T71" s="37"/>
      <c r="U71" s="43">
        <f t="shared" si="14"/>
        <v>-29.300133919215497</v>
      </c>
      <c r="V71" s="44">
        <f t="shared" ref="V71:V104" si="24">IF(S71&lt;0,P71+180-R71,P71+R71)</f>
        <v>21.453364567613221</v>
      </c>
      <c r="W71" s="43">
        <f t="shared" ref="W71:W104" si="25">IF(U71&lt;0, -1*U71, U71)</f>
        <v>29.300133919215497</v>
      </c>
      <c r="X71" s="43">
        <f t="shared" ref="X71:X104" si="26">IF(U71&lt;0, MOD(V71+180, 360), V71)</f>
        <v>201.45336456761322</v>
      </c>
      <c r="Y71" s="39">
        <f t="shared" si="17"/>
        <v>0.51138380816558071</v>
      </c>
      <c r="Z71" s="39">
        <f t="shared" si="17"/>
        <v>3.516024500925333</v>
      </c>
      <c r="AA71" s="39" t="str">
        <f t="shared" ref="AA71:AA104" si="27">IF(F71&gt;0,F71*SIN(Y71),"")</f>
        <v/>
      </c>
      <c r="AB71" s="39" t="str">
        <f t="shared" ref="AB71:AB104" si="28">IF(F71&gt;0,F71*COS(Y71)*COS(Z71),"")</f>
        <v/>
      </c>
      <c r="AC71" s="39" t="str">
        <f t="shared" ref="AC71:AC104" si="29">IF(F71&gt;0,F71*COS(Y71)*SIN(Z71),"")</f>
        <v/>
      </c>
      <c r="AD71" s="17"/>
      <c r="AE71" s="72" t="s">
        <v>171</v>
      </c>
      <c r="AF71" s="72" t="s">
        <v>0</v>
      </c>
      <c r="AG71" s="72" t="s">
        <v>56</v>
      </c>
      <c r="AH71" s="72" t="s">
        <v>0</v>
      </c>
      <c r="AI71" s="71">
        <v>2084.7740000000003</v>
      </c>
      <c r="AJ71" s="72" t="s">
        <v>0</v>
      </c>
      <c r="AK71" s="72">
        <v>3</v>
      </c>
      <c r="AL71" s="72" t="s">
        <v>0</v>
      </c>
      <c r="AM71" s="72">
        <v>184.7</v>
      </c>
      <c r="AN71" s="72" t="s">
        <v>0</v>
      </c>
      <c r="AO71" s="72">
        <v>-80.900000000000006</v>
      </c>
      <c r="AP71" s="72" t="s">
        <v>0</v>
      </c>
      <c r="AQ71" s="72">
        <v>100.5</v>
      </c>
      <c r="AR71" s="72" t="s">
        <v>0</v>
      </c>
      <c r="AS71" s="72">
        <v>-50.9</v>
      </c>
      <c r="AT71" s="72" t="s">
        <v>0</v>
      </c>
      <c r="AU71" s="72">
        <v>6</v>
      </c>
      <c r="AV71" s="72" t="s">
        <v>0</v>
      </c>
      <c r="AW71" s="72">
        <v>235</v>
      </c>
      <c r="AX71" s="72" t="s">
        <v>0</v>
      </c>
      <c r="AY71" s="72" t="s">
        <v>2</v>
      </c>
      <c r="AZ71" s="72" t="s">
        <v>0</v>
      </c>
      <c r="BA71" s="72" t="s">
        <v>90</v>
      </c>
      <c r="BB71" s="72" t="s">
        <v>0</v>
      </c>
      <c r="BC71" s="72" t="s">
        <v>78</v>
      </c>
      <c r="BD71" s="1"/>
      <c r="BE71" s="72" t="s">
        <v>116</v>
      </c>
      <c r="BF71" s="75">
        <v>47.068366355814199</v>
      </c>
      <c r="BG71" s="75">
        <v>-84.745206290880006</v>
      </c>
      <c r="BH71" s="1"/>
    </row>
    <row r="72" spans="1:60" s="3" customFormat="1" ht="15">
      <c r="A72" s="72" t="s">
        <v>138</v>
      </c>
      <c r="B72" s="72" t="s">
        <v>57</v>
      </c>
      <c r="C72" s="73">
        <v>297.39999999999998</v>
      </c>
      <c r="D72" s="73">
        <v>36.700000000000003</v>
      </c>
      <c r="E72" s="73">
        <v>4.2</v>
      </c>
      <c r="F72" s="72">
        <v>1</v>
      </c>
      <c r="G72" s="49">
        <v>5</v>
      </c>
      <c r="H72" s="38">
        <f t="shared" si="19"/>
        <v>20.439846708143207</v>
      </c>
      <c r="I72" s="39">
        <f t="shared" si="18"/>
        <v>5.1906091954311355</v>
      </c>
      <c r="J72" s="39">
        <f t="shared" si="18"/>
        <v>0.64053583548191895</v>
      </c>
      <c r="K72" s="39">
        <f t="shared" si="20"/>
        <v>0.36897697892590914</v>
      </c>
      <c r="L72" s="39">
        <f t="shared" si="21"/>
        <v>-0.71182875238725507</v>
      </c>
      <c r="M72" s="39">
        <f t="shared" si="22"/>
        <v>-0.59762514697552116</v>
      </c>
      <c r="N72" s="17"/>
      <c r="O72" s="8">
        <v>47.064554699466498</v>
      </c>
      <c r="P72" s="8">
        <v>-84.752716007316707</v>
      </c>
      <c r="Q72" s="16"/>
      <c r="R72" s="41">
        <f t="shared" ref="R72:R104" si="30">ASIN(SIN(I72)*SIN((PI()/180)*(90-H72))/SIN((PI()/180)*(90-U72)))/(PI()/180)</f>
        <v>-84.655445134275752</v>
      </c>
      <c r="S72" s="42">
        <f t="shared" si="23"/>
        <v>-5.3013880985700867E-2</v>
      </c>
      <c r="T72" s="37"/>
      <c r="U72" s="43">
        <f t="shared" si="14"/>
        <v>33.326801865890602</v>
      </c>
      <c r="V72" s="44">
        <f t="shared" si="24"/>
        <v>179.90272912695906</v>
      </c>
      <c r="W72" s="43">
        <f t="shared" si="25"/>
        <v>33.326801865890602</v>
      </c>
      <c r="X72" s="43">
        <f t="shared" si="26"/>
        <v>179.90272912695906</v>
      </c>
      <c r="Y72" s="39">
        <f t="shared" si="17"/>
        <v>0.5816624217195806</v>
      </c>
      <c r="Z72" s="39">
        <f t="shared" si="17"/>
        <v>3.1398949565889396</v>
      </c>
      <c r="AA72" s="39">
        <f t="shared" si="27"/>
        <v>0.5494137325563121</v>
      </c>
      <c r="AB72" s="39">
        <f t="shared" si="28"/>
        <v>-0.83554924349533699</v>
      </c>
      <c r="AC72" s="39">
        <f t="shared" si="29"/>
        <v>1.418510807546686E-3</v>
      </c>
      <c r="AD72" s="17"/>
      <c r="AE72" s="72" t="s">
        <v>138</v>
      </c>
      <c r="AF72" s="72" t="s">
        <v>0</v>
      </c>
      <c r="AG72" s="72" t="s">
        <v>57</v>
      </c>
      <c r="AH72" s="72" t="s">
        <v>0</v>
      </c>
      <c r="AI72" s="71">
        <v>2412.8740000000007</v>
      </c>
      <c r="AJ72" s="72" t="s">
        <v>0</v>
      </c>
      <c r="AK72" s="49">
        <v>5</v>
      </c>
      <c r="AL72" s="72" t="s">
        <v>0</v>
      </c>
      <c r="AM72" s="72">
        <v>320.10000000000002</v>
      </c>
      <c r="AN72" s="72" t="s">
        <v>0</v>
      </c>
      <c r="AO72" s="72">
        <v>68.2</v>
      </c>
      <c r="AP72" s="72" t="s">
        <v>0</v>
      </c>
      <c r="AQ72" s="72">
        <v>297.39999999999998</v>
      </c>
      <c r="AR72" s="72" t="s">
        <v>0</v>
      </c>
      <c r="AS72" s="72">
        <v>36.700000000000003</v>
      </c>
      <c r="AT72" s="72" t="s">
        <v>0</v>
      </c>
      <c r="AU72" s="72">
        <v>4.2</v>
      </c>
      <c r="AV72" s="72" t="s">
        <v>0</v>
      </c>
      <c r="AW72" s="72">
        <v>336</v>
      </c>
      <c r="AX72" s="72" t="s">
        <v>0</v>
      </c>
      <c r="AY72" s="72" t="s">
        <v>2</v>
      </c>
      <c r="AZ72" s="72" t="s">
        <v>0</v>
      </c>
      <c r="BA72" s="72" t="s">
        <v>90</v>
      </c>
      <c r="BB72" s="72" t="s">
        <v>0</v>
      </c>
      <c r="BC72" s="72" t="s">
        <v>78</v>
      </c>
      <c r="BD72" s="1"/>
      <c r="BE72" s="72" t="s">
        <v>116</v>
      </c>
      <c r="BF72" s="75">
        <v>47.064554699466498</v>
      </c>
      <c r="BG72" s="75">
        <v>-84.752716007316707</v>
      </c>
      <c r="BH72" s="1"/>
    </row>
    <row r="73" spans="1:60" s="3" customFormat="1" ht="15">
      <c r="A73" s="72" t="s">
        <v>138</v>
      </c>
      <c r="B73" s="72" t="s">
        <v>58</v>
      </c>
      <c r="C73" s="73">
        <v>297.89999999999998</v>
      </c>
      <c r="D73" s="73">
        <v>37.799999999999997</v>
      </c>
      <c r="E73" s="73">
        <v>4.9000000000000004</v>
      </c>
      <c r="F73" s="72">
        <v>1</v>
      </c>
      <c r="G73" s="49">
        <v>5</v>
      </c>
      <c r="H73" s="38">
        <f t="shared" si="19"/>
        <v>21.198272704433172</v>
      </c>
      <c r="I73" s="39">
        <f t="shared" si="18"/>
        <v>5.1993358416911075</v>
      </c>
      <c r="J73" s="39">
        <f t="shared" si="18"/>
        <v>0.65973445725385649</v>
      </c>
      <c r="K73" s="39">
        <f t="shared" si="20"/>
        <v>0.36973708817801765</v>
      </c>
      <c r="L73" s="39">
        <f t="shared" si="21"/>
        <v>-0.69831184237994148</v>
      </c>
      <c r="M73" s="39">
        <f t="shared" si="22"/>
        <v>-0.61290705365297637</v>
      </c>
      <c r="N73" s="17"/>
      <c r="O73" s="8">
        <v>47.064656263662698</v>
      </c>
      <c r="P73" s="8">
        <v>-84.7533043918217</v>
      </c>
      <c r="Q73" s="16"/>
      <c r="R73" s="41">
        <f t="shared" si="30"/>
        <v>-84.930726419960195</v>
      </c>
      <c r="S73" s="42">
        <f t="shared" si="23"/>
        <v>-4.9787981405386372E-2</v>
      </c>
      <c r="T73" s="37"/>
      <c r="U73" s="43">
        <f t="shared" ref="U73:U104" si="31">90-ACOS(COS((PI()/180)*(90-O73))*COS((PI()/180)*(90-H73))+SIN((PI()/180)*(90-O73))*SIN((PI()/180)*(90-H73))*COS(I73))/(PI()/180)</f>
        <v>34.187734302285612</v>
      </c>
      <c r="V73" s="44">
        <f t="shared" si="24"/>
        <v>180.17742202813849</v>
      </c>
      <c r="W73" s="43">
        <f t="shared" si="25"/>
        <v>34.187734302285612</v>
      </c>
      <c r="X73" s="43">
        <f t="shared" si="26"/>
        <v>180.17742202813849</v>
      </c>
      <c r="Y73" s="39">
        <f t="shared" si="17"/>
        <v>0.59668852737189026</v>
      </c>
      <c r="Z73" s="39">
        <f t="shared" si="17"/>
        <v>3.1446892521463763</v>
      </c>
      <c r="AA73" s="39">
        <f t="shared" si="27"/>
        <v>0.56190630620256243</v>
      </c>
      <c r="AB73" s="39">
        <f t="shared" si="28"/>
        <v>-0.82719691835866815</v>
      </c>
      <c r="AC73" s="39">
        <f t="shared" si="29"/>
        <v>-2.5615049707622861E-3</v>
      </c>
      <c r="AD73" s="17"/>
      <c r="AE73" s="72" t="s">
        <v>138</v>
      </c>
      <c r="AF73" s="72" t="s">
        <v>0</v>
      </c>
      <c r="AG73" s="72" t="s">
        <v>58</v>
      </c>
      <c r="AH73" s="72" t="s">
        <v>0</v>
      </c>
      <c r="AI73" s="71">
        <v>2425.9740000000006</v>
      </c>
      <c r="AJ73" s="72" t="s">
        <v>0</v>
      </c>
      <c r="AK73" s="49">
        <v>5</v>
      </c>
      <c r="AL73" s="72" t="s">
        <v>0</v>
      </c>
      <c r="AM73" s="72">
        <v>322.60000000000002</v>
      </c>
      <c r="AN73" s="72" t="s">
        <v>0</v>
      </c>
      <c r="AO73" s="72">
        <v>68.900000000000006</v>
      </c>
      <c r="AP73" s="72" t="s">
        <v>0</v>
      </c>
      <c r="AQ73" s="72">
        <v>297.89999999999998</v>
      </c>
      <c r="AR73" s="72" t="s">
        <v>0</v>
      </c>
      <c r="AS73" s="72">
        <v>37.799999999999997</v>
      </c>
      <c r="AT73" s="72" t="s">
        <v>0</v>
      </c>
      <c r="AU73" s="72">
        <v>4.9000000000000004</v>
      </c>
      <c r="AV73" s="72" t="s">
        <v>0</v>
      </c>
      <c r="AW73" s="72">
        <v>248</v>
      </c>
      <c r="AX73" s="72" t="s">
        <v>0</v>
      </c>
      <c r="AY73" s="72" t="s">
        <v>2</v>
      </c>
      <c r="AZ73" s="72" t="s">
        <v>0</v>
      </c>
      <c r="BA73" s="72" t="s">
        <v>90</v>
      </c>
      <c r="BB73" s="72" t="s">
        <v>0</v>
      </c>
      <c r="BC73" s="72" t="s">
        <v>78</v>
      </c>
      <c r="BD73" s="1"/>
      <c r="BE73" s="72" t="s">
        <v>116</v>
      </c>
      <c r="BF73" s="75">
        <v>47.064656263662698</v>
      </c>
      <c r="BG73" s="75">
        <v>-84.7533043918217</v>
      </c>
      <c r="BH73" s="1"/>
    </row>
    <row r="74" spans="1:60" s="3" customFormat="1" ht="15">
      <c r="A74" s="72" t="s">
        <v>138</v>
      </c>
      <c r="B74" s="72" t="s">
        <v>59</v>
      </c>
      <c r="C74" s="73">
        <v>298.5</v>
      </c>
      <c r="D74" s="73">
        <v>44.2</v>
      </c>
      <c r="E74" s="73">
        <v>3.1</v>
      </c>
      <c r="F74" s="72">
        <v>1</v>
      </c>
      <c r="G74" s="49">
        <v>6</v>
      </c>
      <c r="H74" s="38">
        <f t="shared" si="19"/>
        <v>25.930353341702023</v>
      </c>
      <c r="I74" s="39">
        <f t="shared" si="18"/>
        <v>5.2098078172030728</v>
      </c>
      <c r="J74" s="39">
        <f t="shared" si="18"/>
        <v>0.77143552938149373</v>
      </c>
      <c r="K74" s="39">
        <f t="shared" si="20"/>
        <v>0.3420801767634663</v>
      </c>
      <c r="L74" s="39">
        <f t="shared" si="21"/>
        <v>-0.63003331025213272</v>
      </c>
      <c r="M74" s="39">
        <f t="shared" si="22"/>
        <v>-0.69716510285456457</v>
      </c>
      <c r="N74" s="17"/>
      <c r="O74" s="8">
        <v>47.0644854858242</v>
      </c>
      <c r="P74" s="8">
        <v>-84.753772522880993</v>
      </c>
      <c r="Q74" s="16"/>
      <c r="R74" s="41">
        <f t="shared" si="30"/>
        <v>-88.818084726210387</v>
      </c>
      <c r="S74" s="42">
        <f t="shared" si="23"/>
        <v>-1.1107074094945268E-2</v>
      </c>
      <c r="T74" s="37"/>
      <c r="U74" s="43">
        <f t="shared" si="31"/>
        <v>37.766663757386979</v>
      </c>
      <c r="V74" s="44">
        <f t="shared" si="24"/>
        <v>184.06431220332939</v>
      </c>
      <c r="W74" s="43">
        <f t="shared" si="25"/>
        <v>37.766663757386979</v>
      </c>
      <c r="X74" s="43">
        <f t="shared" si="26"/>
        <v>184.06431220332939</v>
      </c>
      <c r="Y74" s="39">
        <f t="shared" si="17"/>
        <v>0.65915263006001568</v>
      </c>
      <c r="Z74" s="39">
        <f t="shared" si="17"/>
        <v>3.212528283366876</v>
      </c>
      <c r="AA74" s="39">
        <f t="shared" si="27"/>
        <v>0.61244721626383636</v>
      </c>
      <c r="AB74" s="39">
        <f t="shared" si="28"/>
        <v>-0.78852344547089925</v>
      </c>
      <c r="AC74" s="39">
        <f t="shared" si="29"/>
        <v>-5.6028414517809218E-2</v>
      </c>
      <c r="AD74" s="17"/>
      <c r="AE74" s="72" t="s">
        <v>138</v>
      </c>
      <c r="AF74" s="72" t="s">
        <v>0</v>
      </c>
      <c r="AG74" s="72" t="s">
        <v>59</v>
      </c>
      <c r="AH74" s="72" t="s">
        <v>0</v>
      </c>
      <c r="AI74" s="71">
        <v>2447.8740000000007</v>
      </c>
      <c r="AJ74" s="72" t="s">
        <v>0</v>
      </c>
      <c r="AK74" s="49">
        <v>6</v>
      </c>
      <c r="AL74" s="72" t="s">
        <v>0</v>
      </c>
      <c r="AM74" s="72">
        <v>335.5</v>
      </c>
      <c r="AN74" s="72" t="s">
        <v>0</v>
      </c>
      <c r="AO74" s="72">
        <v>74</v>
      </c>
      <c r="AP74" s="72" t="s">
        <v>0</v>
      </c>
      <c r="AQ74" s="72">
        <v>298.5</v>
      </c>
      <c r="AR74" s="72" t="s">
        <v>0</v>
      </c>
      <c r="AS74" s="72">
        <v>44.2</v>
      </c>
      <c r="AT74" s="72" t="s">
        <v>0</v>
      </c>
      <c r="AU74" s="72">
        <v>3.1</v>
      </c>
      <c r="AV74" s="72" t="s">
        <v>0</v>
      </c>
      <c r="AW74" s="72">
        <v>478</v>
      </c>
      <c r="AX74" s="72" t="s">
        <v>0</v>
      </c>
      <c r="AY74" s="72" t="s">
        <v>2</v>
      </c>
      <c r="AZ74" s="72" t="s">
        <v>0</v>
      </c>
      <c r="BA74" s="72" t="s">
        <v>90</v>
      </c>
      <c r="BB74" s="72" t="s">
        <v>0</v>
      </c>
      <c r="BC74" s="72" t="s">
        <v>78</v>
      </c>
      <c r="BD74" s="1"/>
      <c r="BE74" s="72" t="s">
        <v>116</v>
      </c>
      <c r="BF74" s="75">
        <v>47.0644854858242</v>
      </c>
      <c r="BG74" s="75">
        <v>-84.753772522880993</v>
      </c>
      <c r="BH74" s="1"/>
    </row>
    <row r="75" spans="1:60" s="3" customFormat="1" ht="15">
      <c r="A75" s="72" t="s">
        <v>138</v>
      </c>
      <c r="B75" s="72" t="s">
        <v>60</v>
      </c>
      <c r="C75" s="73">
        <v>293.8</v>
      </c>
      <c r="D75" s="73">
        <v>40.4</v>
      </c>
      <c r="E75" s="73">
        <v>5.7</v>
      </c>
      <c r="F75" s="72">
        <v>1</v>
      </c>
      <c r="G75" s="49">
        <v>6</v>
      </c>
      <c r="H75" s="38">
        <f t="shared" si="19"/>
        <v>23.051370750341487</v>
      </c>
      <c r="I75" s="39">
        <f t="shared" si="18"/>
        <v>5.1277773423593409</v>
      </c>
      <c r="J75" s="39">
        <f t="shared" si="18"/>
        <v>0.70511301780570912</v>
      </c>
      <c r="K75" s="39">
        <f t="shared" si="20"/>
        <v>0.30731520199861045</v>
      </c>
      <c r="L75" s="39">
        <f t="shared" si="21"/>
        <v>-0.69677683691873016</v>
      </c>
      <c r="M75" s="39">
        <f t="shared" si="22"/>
        <v>-0.64811990106313089</v>
      </c>
      <c r="N75" s="17"/>
      <c r="O75" s="8">
        <v>47.064487296921399</v>
      </c>
      <c r="P75" s="8">
        <v>-84.753864637238095</v>
      </c>
      <c r="Q75" s="16"/>
      <c r="R75" s="41">
        <f t="shared" si="30"/>
        <v>-89.650495179563308</v>
      </c>
      <c r="S75" s="42">
        <f t="shared" si="23"/>
        <v>-3.498299813715966E-3</v>
      </c>
      <c r="T75" s="37"/>
      <c r="U75" s="43">
        <f t="shared" si="31"/>
        <v>32.656616016941605</v>
      </c>
      <c r="V75" s="44">
        <f t="shared" si="24"/>
        <v>184.89663054232523</v>
      </c>
      <c r="W75" s="43">
        <f t="shared" si="25"/>
        <v>32.656616016941605</v>
      </c>
      <c r="X75" s="43">
        <f t="shared" si="26"/>
        <v>184.89663054232523</v>
      </c>
      <c r="Y75" s="39">
        <f t="shared" si="17"/>
        <v>0.56996547205514736</v>
      </c>
      <c r="Z75" s="39">
        <f t="shared" si="17"/>
        <v>3.2270549788070841</v>
      </c>
      <c r="AA75" s="39">
        <f t="shared" si="27"/>
        <v>0.53960297930186429</v>
      </c>
      <c r="AB75" s="39">
        <f t="shared" si="28"/>
        <v>-0.83884686793930308</v>
      </c>
      <c r="AC75" s="39">
        <f t="shared" si="29"/>
        <v>-7.1864851471169278E-2</v>
      </c>
      <c r="AD75" s="17"/>
      <c r="AE75" s="72" t="s">
        <v>138</v>
      </c>
      <c r="AF75" s="72" t="s">
        <v>0</v>
      </c>
      <c r="AG75" s="72" t="s">
        <v>60</v>
      </c>
      <c r="AH75" s="72" t="s">
        <v>0</v>
      </c>
      <c r="AI75" s="71">
        <v>2450.5740000000005</v>
      </c>
      <c r="AJ75" s="72" t="s">
        <v>0</v>
      </c>
      <c r="AK75" s="49">
        <v>6</v>
      </c>
      <c r="AL75" s="72" t="s">
        <v>0</v>
      </c>
      <c r="AM75" s="72">
        <v>317.89999999999998</v>
      </c>
      <c r="AN75" s="72" t="s">
        <v>0</v>
      </c>
      <c r="AO75" s="72">
        <v>72.7</v>
      </c>
      <c r="AP75" s="72" t="s">
        <v>0</v>
      </c>
      <c r="AQ75" s="72">
        <v>293.8</v>
      </c>
      <c r="AR75" s="72" t="s">
        <v>0</v>
      </c>
      <c r="AS75" s="72">
        <v>40.4</v>
      </c>
      <c r="AT75" s="72" t="s">
        <v>0</v>
      </c>
      <c r="AU75" s="72">
        <v>5.7</v>
      </c>
      <c r="AV75" s="72" t="s">
        <v>0</v>
      </c>
      <c r="AW75" s="72">
        <v>137</v>
      </c>
      <c r="AX75" s="72" t="s">
        <v>0</v>
      </c>
      <c r="AY75" s="72" t="s">
        <v>2</v>
      </c>
      <c r="AZ75" s="72" t="s">
        <v>0</v>
      </c>
      <c r="BA75" s="72" t="s">
        <v>90</v>
      </c>
      <c r="BB75" s="72" t="s">
        <v>0</v>
      </c>
      <c r="BC75" s="72" t="s">
        <v>78</v>
      </c>
      <c r="BD75" s="1"/>
      <c r="BE75" s="72" t="s">
        <v>116</v>
      </c>
      <c r="BF75" s="75">
        <v>47.064487296921399</v>
      </c>
      <c r="BG75" s="75">
        <v>-84.753864637238095</v>
      </c>
      <c r="BH75" s="1"/>
    </row>
    <row r="76" spans="1:60" s="3" customFormat="1" ht="15">
      <c r="A76" s="72" t="s">
        <v>138</v>
      </c>
      <c r="B76" s="72" t="s">
        <v>61</v>
      </c>
      <c r="C76" s="73">
        <v>296.60000000000002</v>
      </c>
      <c r="D76" s="73">
        <v>45.2</v>
      </c>
      <c r="E76" s="73">
        <v>4.9000000000000004</v>
      </c>
      <c r="F76" s="72">
        <v>1</v>
      </c>
      <c r="G76" s="49">
        <v>7</v>
      </c>
      <c r="H76" s="38">
        <f t="shared" si="19"/>
        <v>26.725387217658614</v>
      </c>
      <c r="I76" s="39">
        <f t="shared" si="18"/>
        <v>5.1766465614151818</v>
      </c>
      <c r="J76" s="39">
        <f t="shared" si="18"/>
        <v>0.78888882190143694</v>
      </c>
      <c r="K76" s="39">
        <f t="shared" si="20"/>
        <v>0.31550637111329144</v>
      </c>
      <c r="L76" s="39">
        <f t="shared" si="21"/>
        <v>-0.63005166426090908</v>
      </c>
      <c r="M76" s="39">
        <f t="shared" si="22"/>
        <v>-0.70957073653652092</v>
      </c>
      <c r="N76" s="17"/>
      <c r="O76" s="8">
        <v>47.064258168776199</v>
      </c>
      <c r="P76" s="8">
        <v>-84.754111326443393</v>
      </c>
      <c r="Q76" s="16"/>
      <c r="R76" s="41">
        <f t="shared" si="30"/>
        <v>-89.028513313976333</v>
      </c>
      <c r="S76" s="42">
        <f t="shared" si="23"/>
        <v>9.2249476375569905E-3</v>
      </c>
      <c r="T76" s="37"/>
      <c r="U76" s="43">
        <f t="shared" si="31"/>
        <v>36.989238395135203</v>
      </c>
      <c r="V76" s="44">
        <f t="shared" si="24"/>
        <v>-173.78262464041973</v>
      </c>
      <c r="W76" s="43">
        <f t="shared" si="25"/>
        <v>36.989238395135203</v>
      </c>
      <c r="X76" s="43">
        <f t="shared" si="26"/>
        <v>-173.78262464041973</v>
      </c>
      <c r="Y76" s="39">
        <f t="shared" si="17"/>
        <v>0.64558399780021258</v>
      </c>
      <c r="Z76" s="39">
        <f t="shared" si="17"/>
        <v>-3.0330789827327509</v>
      </c>
      <c r="AA76" s="39">
        <f t="shared" si="27"/>
        <v>0.60166500847316728</v>
      </c>
      <c r="AB76" s="39">
        <f t="shared" si="28"/>
        <v>-0.7940504263936794</v>
      </c>
      <c r="AC76" s="39">
        <f t="shared" si="29"/>
        <v>-8.6505132350626845E-2</v>
      </c>
      <c r="AD76" s="17"/>
      <c r="AE76" s="72" t="s">
        <v>138</v>
      </c>
      <c r="AF76" s="72" t="s">
        <v>0</v>
      </c>
      <c r="AG76" s="72" t="s">
        <v>61</v>
      </c>
      <c r="AH76" s="72" t="s">
        <v>0</v>
      </c>
      <c r="AI76" s="71">
        <v>2459.2740000000003</v>
      </c>
      <c r="AJ76" s="72" t="s">
        <v>0</v>
      </c>
      <c r="AK76" s="49">
        <v>7</v>
      </c>
      <c r="AL76" s="72" t="s">
        <v>0</v>
      </c>
      <c r="AM76" s="72">
        <v>334.2</v>
      </c>
      <c r="AN76" s="72" t="s">
        <v>0</v>
      </c>
      <c r="AO76" s="72">
        <v>75.599999999999994</v>
      </c>
      <c r="AP76" s="72" t="s">
        <v>0</v>
      </c>
      <c r="AQ76" s="72">
        <v>296.60000000000002</v>
      </c>
      <c r="AR76" s="72" t="s">
        <v>0</v>
      </c>
      <c r="AS76" s="72">
        <v>45.2</v>
      </c>
      <c r="AT76" s="72" t="s">
        <v>0</v>
      </c>
      <c r="AU76" s="72">
        <v>4.9000000000000004</v>
      </c>
      <c r="AV76" s="72" t="s">
        <v>0</v>
      </c>
      <c r="AW76" s="72">
        <v>155</v>
      </c>
      <c r="AX76" s="72" t="s">
        <v>0</v>
      </c>
      <c r="AY76" s="72" t="s">
        <v>2</v>
      </c>
      <c r="AZ76" s="72" t="s">
        <v>0</v>
      </c>
      <c r="BA76" s="72" t="s">
        <v>90</v>
      </c>
      <c r="BB76" s="72" t="s">
        <v>0</v>
      </c>
      <c r="BC76" s="72" t="s">
        <v>78</v>
      </c>
      <c r="BD76" s="1"/>
      <c r="BE76" s="72" t="s">
        <v>116</v>
      </c>
      <c r="BF76" s="75">
        <v>47.064258168776199</v>
      </c>
      <c r="BG76" s="75">
        <v>-84.754111326443393</v>
      </c>
      <c r="BH76" s="1"/>
    </row>
    <row r="77" spans="1:60" s="3" customFormat="1" ht="15">
      <c r="A77" s="72" t="s">
        <v>138</v>
      </c>
      <c r="B77" s="72" t="s">
        <v>62</v>
      </c>
      <c r="C77" s="73">
        <v>290.89999999999998</v>
      </c>
      <c r="D77" s="73">
        <v>41.9</v>
      </c>
      <c r="E77" s="73">
        <v>9.1999999999999993</v>
      </c>
      <c r="F77" s="72">
        <v>1</v>
      </c>
      <c r="G77" s="49">
        <v>6</v>
      </c>
      <c r="H77" s="38">
        <f t="shared" si="19"/>
        <v>24.162165313707678</v>
      </c>
      <c r="I77" s="39">
        <f t="shared" si="18"/>
        <v>5.0771627940515041</v>
      </c>
      <c r="J77" s="39">
        <f t="shared" si="18"/>
        <v>0.73129295658562399</v>
      </c>
      <c r="K77" s="39">
        <f t="shared" si="20"/>
        <v>0.26552421187299818</v>
      </c>
      <c r="L77" s="39">
        <f t="shared" si="21"/>
        <v>-0.69533917677794821</v>
      </c>
      <c r="M77" s="39">
        <f t="shared" si="22"/>
        <v>-0.66783255547104659</v>
      </c>
      <c r="N77" s="17"/>
      <c r="O77" s="8">
        <v>47.064094310075802</v>
      </c>
      <c r="P77" s="8">
        <v>-84.754473800927201</v>
      </c>
      <c r="Q77" s="16"/>
      <c r="R77" s="41">
        <f t="shared" si="30"/>
        <v>-87.277712056708964</v>
      </c>
      <c r="S77" s="42">
        <f t="shared" si="23"/>
        <v>2.7607234933989866E-2</v>
      </c>
      <c r="T77" s="37"/>
      <c r="U77" s="43">
        <f t="shared" si="31"/>
        <v>31.425109984776896</v>
      </c>
      <c r="V77" s="44">
        <f t="shared" si="24"/>
        <v>-172.03218585763616</v>
      </c>
      <c r="W77" s="43">
        <f t="shared" si="25"/>
        <v>31.425109984776896</v>
      </c>
      <c r="X77" s="43">
        <f t="shared" si="26"/>
        <v>-172.03218585763616</v>
      </c>
      <c r="Y77" s="39">
        <f t="shared" si="17"/>
        <v>0.5484716370357019</v>
      </c>
      <c r="Z77" s="39">
        <f t="shared" si="17"/>
        <v>-3.002528062618576</v>
      </c>
      <c r="AA77" s="39">
        <f t="shared" si="27"/>
        <v>0.52138365206156023</v>
      </c>
      <c r="AB77" s="39">
        <f t="shared" si="28"/>
        <v>-0.84508448682044623</v>
      </c>
      <c r="AC77" s="39">
        <f t="shared" si="29"/>
        <v>-0.11828481516396352</v>
      </c>
      <c r="AD77" s="17"/>
      <c r="AE77" s="72" t="s">
        <v>138</v>
      </c>
      <c r="AF77" s="72" t="s">
        <v>0</v>
      </c>
      <c r="AG77" s="72" t="s">
        <v>62</v>
      </c>
      <c r="AH77" s="72" t="s">
        <v>0</v>
      </c>
      <c r="AI77" s="71">
        <v>2468.1740000000004</v>
      </c>
      <c r="AJ77" s="72" t="s">
        <v>0</v>
      </c>
      <c r="AK77" s="49">
        <v>6</v>
      </c>
      <c r="AL77" s="72" t="s">
        <v>0</v>
      </c>
      <c r="AM77" s="72">
        <v>310.8</v>
      </c>
      <c r="AN77" s="72" t="s">
        <v>0</v>
      </c>
      <c r="AO77" s="72">
        <v>75.3</v>
      </c>
      <c r="AP77" s="72" t="s">
        <v>0</v>
      </c>
      <c r="AQ77" s="72">
        <v>290.89999999999998</v>
      </c>
      <c r="AR77" s="72" t="s">
        <v>0</v>
      </c>
      <c r="AS77" s="72">
        <v>41.9</v>
      </c>
      <c r="AT77" s="72" t="s">
        <v>0</v>
      </c>
      <c r="AU77" s="72">
        <v>9.1999999999999993</v>
      </c>
      <c r="AV77" s="72" t="s">
        <v>0</v>
      </c>
      <c r="AW77" s="72">
        <v>54</v>
      </c>
      <c r="AX77" s="72" t="s">
        <v>0</v>
      </c>
      <c r="AY77" s="72" t="s">
        <v>2</v>
      </c>
      <c r="AZ77" s="72" t="s">
        <v>0</v>
      </c>
      <c r="BA77" s="72" t="s">
        <v>90</v>
      </c>
      <c r="BB77" s="72" t="s">
        <v>0</v>
      </c>
      <c r="BC77" s="72" t="s">
        <v>78</v>
      </c>
      <c r="BD77" s="1"/>
      <c r="BE77" s="72" t="s">
        <v>116</v>
      </c>
      <c r="BF77" s="75">
        <v>47.064094310075802</v>
      </c>
      <c r="BG77" s="75">
        <v>-84.754473800927201</v>
      </c>
      <c r="BH77" s="1"/>
    </row>
    <row r="78" spans="1:60" s="3" customFormat="1" ht="15">
      <c r="A78" s="72" t="s">
        <v>138</v>
      </c>
      <c r="B78" s="72" t="s">
        <v>63</v>
      </c>
      <c r="C78" s="73">
        <v>289.10000000000002</v>
      </c>
      <c r="D78" s="73">
        <v>40.299999999999997</v>
      </c>
      <c r="E78" s="73">
        <v>3.1</v>
      </c>
      <c r="F78" s="72">
        <v>1</v>
      </c>
      <c r="G78" s="49">
        <v>5</v>
      </c>
      <c r="H78" s="38">
        <f t="shared" si="19"/>
        <v>22.978442056445076</v>
      </c>
      <c r="I78" s="39">
        <f t="shared" si="18"/>
        <v>5.0457468675156072</v>
      </c>
      <c r="J78" s="39">
        <f t="shared" si="18"/>
        <v>0.70336768855371479</v>
      </c>
      <c r="K78" s="39">
        <f t="shared" si="20"/>
        <v>0.24955872846092594</v>
      </c>
      <c r="L78" s="39">
        <f t="shared" si="21"/>
        <v>-0.72068260848294163</v>
      </c>
      <c r="M78" s="39">
        <f t="shared" si="22"/>
        <v>-0.64678977951045957</v>
      </c>
      <c r="N78" s="17"/>
      <c r="O78" s="8">
        <v>47.064029617843502</v>
      </c>
      <c r="P78" s="8">
        <v>-84.754845277535395</v>
      </c>
      <c r="Q78" s="16"/>
      <c r="R78" s="41">
        <f t="shared" si="30"/>
        <v>-87.01465424238981</v>
      </c>
      <c r="S78" s="42">
        <f t="shared" si="23"/>
        <v>3.0905181097558576E-2</v>
      </c>
      <c r="T78" s="37"/>
      <c r="U78" s="43">
        <f t="shared" si="31"/>
        <v>29.407310297323953</v>
      </c>
      <c r="V78" s="44">
        <f t="shared" si="24"/>
        <v>-171.7694995199252</v>
      </c>
      <c r="W78" s="43">
        <f t="shared" si="25"/>
        <v>29.407310297323953</v>
      </c>
      <c r="X78" s="43">
        <f t="shared" si="26"/>
        <v>-171.7694995199252</v>
      </c>
      <c r="Y78" s="39">
        <f t="shared" si="17"/>
        <v>0.51325438884393559</v>
      </c>
      <c r="Z78" s="39">
        <f t="shared" si="17"/>
        <v>-2.997943321125514</v>
      </c>
      <c r="AA78" s="39">
        <f t="shared" si="27"/>
        <v>0.49101490670692205</v>
      </c>
      <c r="AB78" s="39">
        <f t="shared" si="28"/>
        <v>-0.86217845645223778</v>
      </c>
      <c r="AC78" s="39">
        <f t="shared" si="29"/>
        <v>-0.12471034688921984</v>
      </c>
      <c r="AD78" s="17"/>
      <c r="AE78" s="72" t="s">
        <v>138</v>
      </c>
      <c r="AF78" s="72" t="s">
        <v>0</v>
      </c>
      <c r="AG78" s="72" t="s">
        <v>63</v>
      </c>
      <c r="AH78" s="72" t="s">
        <v>0</v>
      </c>
      <c r="AI78" s="71">
        <v>2477.0740000000005</v>
      </c>
      <c r="AJ78" s="72" t="s">
        <v>0</v>
      </c>
      <c r="AK78" s="49">
        <v>5</v>
      </c>
      <c r="AL78" s="72" t="s">
        <v>0</v>
      </c>
      <c r="AM78" s="72">
        <v>306.2</v>
      </c>
      <c r="AN78" s="72" t="s">
        <v>0</v>
      </c>
      <c r="AO78" s="72">
        <v>74.099999999999994</v>
      </c>
      <c r="AP78" s="72" t="s">
        <v>0</v>
      </c>
      <c r="AQ78" s="72">
        <v>289.10000000000002</v>
      </c>
      <c r="AR78" s="72" t="s">
        <v>0</v>
      </c>
      <c r="AS78" s="72">
        <v>40.299999999999997</v>
      </c>
      <c r="AT78" s="72" t="s">
        <v>0</v>
      </c>
      <c r="AU78" s="72">
        <v>3.1</v>
      </c>
      <c r="AV78" s="72" t="s">
        <v>0</v>
      </c>
      <c r="AW78" s="72">
        <v>612</v>
      </c>
      <c r="AX78" s="72" t="s">
        <v>0</v>
      </c>
      <c r="AY78" s="72" t="s">
        <v>2</v>
      </c>
      <c r="AZ78" s="72" t="s">
        <v>0</v>
      </c>
      <c r="BA78" s="72" t="s">
        <v>90</v>
      </c>
      <c r="BB78" s="72" t="s">
        <v>0</v>
      </c>
      <c r="BC78" s="72" t="s">
        <v>78</v>
      </c>
      <c r="BD78" s="1"/>
      <c r="BE78" s="72" t="s">
        <v>116</v>
      </c>
      <c r="BF78" s="75">
        <v>47.064029617843502</v>
      </c>
      <c r="BG78" s="75">
        <v>-84.754845277535395</v>
      </c>
      <c r="BH78" s="1"/>
    </row>
    <row r="79" spans="1:60" s="3" customFormat="1" ht="15">
      <c r="A79" s="72" t="s">
        <v>137</v>
      </c>
      <c r="B79" s="72" t="s">
        <v>64</v>
      </c>
      <c r="C79" s="73">
        <v>293.7</v>
      </c>
      <c r="D79" s="73">
        <v>45.3</v>
      </c>
      <c r="E79" s="73">
        <v>6.8</v>
      </c>
      <c r="F79" s="72">
        <v>1</v>
      </c>
      <c r="G79" s="49">
        <v>5</v>
      </c>
      <c r="H79" s="38">
        <f t="shared" si="19"/>
        <v>26.805808325586398</v>
      </c>
      <c r="I79" s="39">
        <f t="shared" si="18"/>
        <v>5.1260320131073458</v>
      </c>
      <c r="J79" s="39">
        <f t="shared" si="18"/>
        <v>0.79063415115343127</v>
      </c>
      <c r="K79" s="39">
        <f t="shared" si="20"/>
        <v>0.28272793690626175</v>
      </c>
      <c r="L79" s="39">
        <f t="shared" si="21"/>
        <v>-0.64407221771677581</v>
      </c>
      <c r="M79" s="39">
        <f t="shared" si="22"/>
        <v>-0.71079947387299247</v>
      </c>
      <c r="N79" s="17"/>
      <c r="O79" s="8">
        <v>47.060793427043599</v>
      </c>
      <c r="P79" s="8">
        <v>-84.757773065227795</v>
      </c>
      <c r="Q79" s="16"/>
      <c r="R79" s="41">
        <f t="shared" si="30"/>
        <v>-86.878197538521135</v>
      </c>
      <c r="S79" s="42">
        <f t="shared" si="23"/>
        <v>3.0364400435656302E-2</v>
      </c>
      <c r="T79" s="37"/>
      <c r="U79" s="43">
        <f t="shared" si="31"/>
        <v>35.067056241845371</v>
      </c>
      <c r="V79" s="44">
        <f t="shared" si="24"/>
        <v>-171.63597060374894</v>
      </c>
      <c r="W79" s="43">
        <f t="shared" si="25"/>
        <v>35.067056241845371</v>
      </c>
      <c r="X79" s="43">
        <f t="shared" si="26"/>
        <v>-171.63597060374894</v>
      </c>
      <c r="Y79" s="39">
        <f t="shared" si="17"/>
        <v>0.61203559040223066</v>
      </c>
      <c r="Z79" s="39">
        <f t="shared" si="17"/>
        <v>-2.9956128018916184</v>
      </c>
      <c r="AA79" s="39">
        <f t="shared" si="27"/>
        <v>0.57453473971206759</v>
      </c>
      <c r="AB79" s="39">
        <f t="shared" si="28"/>
        <v>-0.80977471861764894</v>
      </c>
      <c r="AC79" s="39">
        <f t="shared" si="29"/>
        <v>-0.11905770849337821</v>
      </c>
      <c r="AD79" s="17"/>
      <c r="AE79" s="72" t="s">
        <v>137</v>
      </c>
      <c r="AF79" s="72" t="s">
        <v>0</v>
      </c>
      <c r="AG79" s="72" t="s">
        <v>64</v>
      </c>
      <c r="AH79" s="72" t="s">
        <v>0</v>
      </c>
      <c r="AI79" s="71">
        <v>2481.7740000000003</v>
      </c>
      <c r="AJ79" s="72" t="s">
        <v>0</v>
      </c>
      <c r="AK79" s="49">
        <v>5</v>
      </c>
      <c r="AL79" s="72" t="s">
        <v>0</v>
      </c>
      <c r="AM79" s="72">
        <v>325.89999999999998</v>
      </c>
      <c r="AN79" s="72" t="s">
        <v>0</v>
      </c>
      <c r="AO79" s="72">
        <v>70.599999999999994</v>
      </c>
      <c r="AP79" s="72" t="s">
        <v>0</v>
      </c>
      <c r="AQ79" s="72">
        <v>293.7</v>
      </c>
      <c r="AR79" s="72" t="s">
        <v>0</v>
      </c>
      <c r="AS79" s="72">
        <v>45.3</v>
      </c>
      <c r="AT79" s="72" t="s">
        <v>0</v>
      </c>
      <c r="AU79" s="72">
        <v>6.8</v>
      </c>
      <c r="AV79" s="72" t="s">
        <v>0</v>
      </c>
      <c r="AW79" s="72">
        <v>99</v>
      </c>
      <c r="AX79" s="72" t="s">
        <v>0</v>
      </c>
      <c r="AY79" s="72" t="s">
        <v>2</v>
      </c>
      <c r="AZ79" s="72" t="s">
        <v>0</v>
      </c>
      <c r="BA79" s="72" t="s">
        <v>90</v>
      </c>
      <c r="BB79" s="72" t="s">
        <v>0</v>
      </c>
      <c r="BC79" s="72" t="s">
        <v>78</v>
      </c>
      <c r="BD79" s="1"/>
      <c r="BE79" s="72" t="s">
        <v>116</v>
      </c>
      <c r="BF79" s="75">
        <v>47.060793427043599</v>
      </c>
      <c r="BG79" s="75">
        <v>-84.757773065227795</v>
      </c>
      <c r="BH79" s="1"/>
    </row>
    <row r="80" spans="1:60" s="3" customFormat="1" ht="15">
      <c r="A80" s="72" t="s">
        <v>137</v>
      </c>
      <c r="B80" s="72" t="s">
        <v>65</v>
      </c>
      <c r="C80" s="73">
        <v>299</v>
      </c>
      <c r="D80" s="73">
        <v>51.5</v>
      </c>
      <c r="E80" s="73">
        <v>5.5</v>
      </c>
      <c r="F80" s="72">
        <v>1</v>
      </c>
      <c r="G80" s="49">
        <v>6</v>
      </c>
      <c r="H80" s="38">
        <f t="shared" si="19"/>
        <v>32.152899712945903</v>
      </c>
      <c r="I80" s="39">
        <f t="shared" si="18"/>
        <v>5.2185344634630448</v>
      </c>
      <c r="J80" s="39">
        <f t="shared" si="18"/>
        <v>0.89884456477707964</v>
      </c>
      <c r="K80" s="39">
        <f t="shared" si="20"/>
        <v>0.30180108458607052</v>
      </c>
      <c r="L80" s="39">
        <f t="shared" si="21"/>
        <v>-0.54446356918598249</v>
      </c>
      <c r="M80" s="39">
        <f t="shared" si="22"/>
        <v>-0.78260815685241381</v>
      </c>
      <c r="N80" s="17"/>
      <c r="O80" s="8">
        <v>47.060552973856403</v>
      </c>
      <c r="P80" s="8">
        <v>-84.757901673106602</v>
      </c>
      <c r="Q80" s="16"/>
      <c r="R80" s="41">
        <f t="shared" si="30"/>
        <v>-85.209873947739894</v>
      </c>
      <c r="S80" s="42">
        <f t="shared" si="23"/>
        <v>4.2270929996098328E-2</v>
      </c>
      <c r="T80" s="37"/>
      <c r="U80" s="43">
        <f t="shared" si="31"/>
        <v>42.005938788844432</v>
      </c>
      <c r="V80" s="44">
        <f t="shared" si="24"/>
        <v>-169.96777562084651</v>
      </c>
      <c r="W80" s="43">
        <f t="shared" si="25"/>
        <v>42.005938788844432</v>
      </c>
      <c r="X80" s="43">
        <f t="shared" si="26"/>
        <v>-169.96777562084651</v>
      </c>
      <c r="Y80" s="39">
        <f t="shared" si="17"/>
        <v>0.73314193725653454</v>
      </c>
      <c r="Z80" s="39">
        <f t="shared" si="17"/>
        <v>-2.9664973068747207</v>
      </c>
      <c r="AA80" s="39">
        <f t="shared" si="27"/>
        <v>0.66920763077989986</v>
      </c>
      <c r="AB80" s="39">
        <f t="shared" si="28"/>
        <v>-0.73171379208747256</v>
      </c>
      <c r="AC80" s="39">
        <f t="shared" si="29"/>
        <v>-0.12944525242327101</v>
      </c>
      <c r="AD80" s="17"/>
      <c r="AE80" s="72" t="s">
        <v>137</v>
      </c>
      <c r="AF80" s="72" t="s">
        <v>0</v>
      </c>
      <c r="AG80" s="72" t="s">
        <v>65</v>
      </c>
      <c r="AH80" s="72" t="s">
        <v>0</v>
      </c>
      <c r="AI80" s="71">
        <v>2487.8740000000007</v>
      </c>
      <c r="AJ80" s="72" t="s">
        <v>0</v>
      </c>
      <c r="AK80" s="49">
        <v>6</v>
      </c>
      <c r="AL80" s="72" t="s">
        <v>0</v>
      </c>
      <c r="AM80" s="72">
        <v>348</v>
      </c>
      <c r="AN80" s="72" t="s">
        <v>0</v>
      </c>
      <c r="AO80" s="72">
        <v>72.5</v>
      </c>
      <c r="AP80" s="72" t="s">
        <v>0</v>
      </c>
      <c r="AQ80" s="72">
        <v>299</v>
      </c>
      <c r="AR80" s="72" t="s">
        <v>0</v>
      </c>
      <c r="AS80" s="72">
        <v>51.5</v>
      </c>
      <c r="AT80" s="72" t="s">
        <v>0</v>
      </c>
      <c r="AU80" s="72">
        <v>5.5</v>
      </c>
      <c r="AV80" s="72" t="s">
        <v>0</v>
      </c>
      <c r="AW80" s="72">
        <v>148</v>
      </c>
      <c r="AX80" s="72" t="s">
        <v>0</v>
      </c>
      <c r="AY80" s="72" t="s">
        <v>2</v>
      </c>
      <c r="AZ80" s="72" t="s">
        <v>0</v>
      </c>
      <c r="BA80" s="72" t="s">
        <v>90</v>
      </c>
      <c r="BB80" s="72" t="s">
        <v>0</v>
      </c>
      <c r="BC80" s="72" t="s">
        <v>78</v>
      </c>
      <c r="BD80" s="1"/>
      <c r="BE80" s="72" t="s">
        <v>116</v>
      </c>
      <c r="BF80" s="75">
        <v>47.060552973856403</v>
      </c>
      <c r="BG80" s="75">
        <v>-84.757901673106602</v>
      </c>
      <c r="BH80" s="1"/>
    </row>
    <row r="81" spans="1:60" s="3" customFormat="1" ht="15">
      <c r="A81" s="72" t="s">
        <v>137</v>
      </c>
      <c r="B81" s="72" t="s">
        <v>66</v>
      </c>
      <c r="C81" s="73">
        <v>289.89999999999998</v>
      </c>
      <c r="D81" s="73">
        <v>43</v>
      </c>
      <c r="E81" s="73">
        <v>6.1</v>
      </c>
      <c r="F81" s="72">
        <v>1</v>
      </c>
      <c r="G81" s="49">
        <v>7</v>
      </c>
      <c r="H81" s="38">
        <f t="shared" si="19"/>
        <v>24.997641418580052</v>
      </c>
      <c r="I81" s="39">
        <f t="shared" si="18"/>
        <v>5.059709501531561</v>
      </c>
      <c r="J81" s="39">
        <f t="shared" si="18"/>
        <v>0.75049157835756164</v>
      </c>
      <c r="K81" s="39">
        <f t="shared" si="20"/>
        <v>0.24893784400378222</v>
      </c>
      <c r="L81" s="39">
        <f t="shared" si="21"/>
        <v>-0.6876832022776268</v>
      </c>
      <c r="M81" s="39">
        <f t="shared" si="22"/>
        <v>-0.68199836006249848</v>
      </c>
      <c r="N81" s="17"/>
      <c r="O81" s="8">
        <v>47.060317684671702</v>
      </c>
      <c r="P81" s="8">
        <v>-84.758293443926306</v>
      </c>
      <c r="Q81" s="16"/>
      <c r="R81" s="41">
        <f t="shared" si="30"/>
        <v>-85.836657832847479</v>
      </c>
      <c r="S81" s="42">
        <f t="shared" si="23"/>
        <v>4.2259300910583109E-2</v>
      </c>
      <c r="T81" s="37"/>
      <c r="U81" s="43">
        <f t="shared" si="31"/>
        <v>31.299692149586363</v>
      </c>
      <c r="V81" s="44">
        <f t="shared" si="24"/>
        <v>-170.59495127677377</v>
      </c>
      <c r="W81" s="43">
        <f t="shared" si="25"/>
        <v>31.299692149586363</v>
      </c>
      <c r="X81" s="43">
        <f t="shared" si="26"/>
        <v>-170.59495127677377</v>
      </c>
      <c r="Y81" s="39">
        <f t="shared" si="17"/>
        <v>0.54628268287090354</v>
      </c>
      <c r="Z81" s="39">
        <f t="shared" si="17"/>
        <v>-2.9774435870590064</v>
      </c>
      <c r="AA81" s="39">
        <f t="shared" si="27"/>
        <v>0.51951452086187788</v>
      </c>
      <c r="AB81" s="39">
        <f t="shared" si="28"/>
        <v>-0.84297574844553913</v>
      </c>
      <c r="AC81" s="39">
        <f t="shared" si="29"/>
        <v>-0.13963004743369728</v>
      </c>
      <c r="AD81" s="17"/>
      <c r="AE81" s="72" t="s">
        <v>137</v>
      </c>
      <c r="AF81" s="72" t="s">
        <v>0</v>
      </c>
      <c r="AG81" s="72" t="s">
        <v>66</v>
      </c>
      <c r="AH81" s="72" t="s">
        <v>0</v>
      </c>
      <c r="AI81" s="71">
        <v>2500.8740000000007</v>
      </c>
      <c r="AJ81" s="72" t="s">
        <v>0</v>
      </c>
      <c r="AK81" s="49">
        <v>7</v>
      </c>
      <c r="AL81" s="72" t="s">
        <v>0</v>
      </c>
      <c r="AM81" s="72">
        <v>315.5</v>
      </c>
      <c r="AN81" s="72" t="s">
        <v>0</v>
      </c>
      <c r="AO81" s="72">
        <v>70.2</v>
      </c>
      <c r="AP81" s="72" t="s">
        <v>0</v>
      </c>
      <c r="AQ81" s="72">
        <v>289.89999999999998</v>
      </c>
      <c r="AR81" s="72" t="s">
        <v>0</v>
      </c>
      <c r="AS81" s="72">
        <v>43</v>
      </c>
      <c r="AT81" s="72" t="s">
        <v>0</v>
      </c>
      <c r="AU81" s="72">
        <v>6.1</v>
      </c>
      <c r="AV81" s="72" t="s">
        <v>0</v>
      </c>
      <c r="AW81" s="72">
        <v>120</v>
      </c>
      <c r="AX81" s="72" t="s">
        <v>0</v>
      </c>
      <c r="AY81" s="72" t="s">
        <v>2</v>
      </c>
      <c r="AZ81" s="72" t="s">
        <v>0</v>
      </c>
      <c r="BA81" s="72" t="s">
        <v>90</v>
      </c>
      <c r="BB81" s="72" t="s">
        <v>0</v>
      </c>
      <c r="BC81" s="72" t="s">
        <v>78</v>
      </c>
      <c r="BD81" s="1"/>
      <c r="BE81" s="72" t="s">
        <v>116</v>
      </c>
      <c r="BF81" s="75">
        <v>47.060317684671702</v>
      </c>
      <c r="BG81" s="75">
        <v>-84.758293443926306</v>
      </c>
      <c r="BH81" s="1"/>
    </row>
    <row r="82" spans="1:60" s="3" customFormat="1" ht="15">
      <c r="A82" s="72" t="s">
        <v>137</v>
      </c>
      <c r="B82" s="72" t="s">
        <v>67</v>
      </c>
      <c r="C82" s="73">
        <v>298.10000000000002</v>
      </c>
      <c r="D82" s="73">
        <v>36.6</v>
      </c>
      <c r="E82" s="73">
        <v>6.2</v>
      </c>
      <c r="F82" s="72">
        <v>1</v>
      </c>
      <c r="G82" s="49">
        <v>7</v>
      </c>
      <c r="H82" s="38">
        <f t="shared" si="19"/>
        <v>20.371611538879385</v>
      </c>
      <c r="I82" s="39">
        <f t="shared" si="18"/>
        <v>5.2028265001950968</v>
      </c>
      <c r="J82" s="39">
        <f t="shared" si="18"/>
        <v>0.63879050622992462</v>
      </c>
      <c r="K82" s="39">
        <f t="shared" si="20"/>
        <v>0.37813656926558414</v>
      </c>
      <c r="L82" s="39">
        <f t="shared" si="21"/>
        <v>-0.7081868633745545</v>
      </c>
      <c r="M82" s="39">
        <f t="shared" si="22"/>
        <v>-0.59622487496561583</v>
      </c>
      <c r="N82" s="17"/>
      <c r="O82" s="8">
        <v>47.060102184590598</v>
      </c>
      <c r="P82" s="8">
        <v>-84.758776564406503</v>
      </c>
      <c r="Q82" s="16"/>
      <c r="R82" s="41">
        <f t="shared" si="30"/>
        <v>-84.055609621959661</v>
      </c>
      <c r="S82" s="42">
        <f t="shared" si="23"/>
        <v>-5.8657346787811371E-2</v>
      </c>
      <c r="T82" s="37"/>
      <c r="U82" s="43">
        <f t="shared" si="31"/>
        <v>33.754647722866274</v>
      </c>
      <c r="V82" s="44">
        <f t="shared" si="24"/>
        <v>179.29683305755316</v>
      </c>
      <c r="W82" s="43">
        <f t="shared" si="25"/>
        <v>33.754647722866274</v>
      </c>
      <c r="X82" s="43">
        <f t="shared" si="26"/>
        <v>179.29683305755316</v>
      </c>
      <c r="Y82" s="39">
        <f t="shared" si="17"/>
        <v>0.58912974061482293</v>
      </c>
      <c r="Z82" s="39">
        <f t="shared" si="17"/>
        <v>3.129320075252914</v>
      </c>
      <c r="AA82" s="39">
        <f t="shared" si="27"/>
        <v>0.55563767839916334</v>
      </c>
      <c r="AB82" s="39">
        <f t="shared" si="28"/>
        <v>-0.8313619305757407</v>
      </c>
      <c r="AC82" s="39">
        <f t="shared" si="29"/>
        <v>1.020346669348917E-2</v>
      </c>
      <c r="AD82" s="17"/>
      <c r="AE82" s="72" t="s">
        <v>137</v>
      </c>
      <c r="AF82" s="72" t="s">
        <v>0</v>
      </c>
      <c r="AG82" s="72" t="s">
        <v>67</v>
      </c>
      <c r="AH82" s="72" t="s">
        <v>0</v>
      </c>
      <c r="AI82" s="71">
        <v>2514.1740000000004</v>
      </c>
      <c r="AJ82" s="72" t="s">
        <v>0</v>
      </c>
      <c r="AK82" s="49">
        <v>7</v>
      </c>
      <c r="AL82" s="72" t="s">
        <v>0</v>
      </c>
      <c r="AM82" s="72">
        <v>321.10000000000002</v>
      </c>
      <c r="AN82" s="72" t="s">
        <v>0</v>
      </c>
      <c r="AO82" s="72">
        <v>61.5</v>
      </c>
      <c r="AP82" s="72" t="s">
        <v>0</v>
      </c>
      <c r="AQ82" s="72">
        <v>298.10000000000002</v>
      </c>
      <c r="AR82" s="72" t="s">
        <v>0</v>
      </c>
      <c r="AS82" s="72">
        <v>36.6</v>
      </c>
      <c r="AT82" s="72" t="s">
        <v>0</v>
      </c>
      <c r="AU82" s="72">
        <v>6.2</v>
      </c>
      <c r="AV82" s="72" t="s">
        <v>0</v>
      </c>
      <c r="AW82" s="72">
        <v>97</v>
      </c>
      <c r="AX82" s="72" t="s">
        <v>0</v>
      </c>
      <c r="AY82" s="72" t="s">
        <v>2</v>
      </c>
      <c r="AZ82" s="72" t="s">
        <v>0</v>
      </c>
      <c r="BA82" s="72" t="s">
        <v>90</v>
      </c>
      <c r="BB82" s="72" t="s">
        <v>0</v>
      </c>
      <c r="BC82" s="72" t="s">
        <v>78</v>
      </c>
      <c r="BD82" s="1"/>
      <c r="BE82" s="72" t="s">
        <v>116</v>
      </c>
      <c r="BF82" s="75">
        <v>47.060102184590598</v>
      </c>
      <c r="BG82" s="75">
        <v>-84.758776564406503</v>
      </c>
      <c r="BH82" s="1"/>
    </row>
    <row r="83" spans="1:60" s="3" customFormat="1" ht="15">
      <c r="A83" s="72" t="s">
        <v>137</v>
      </c>
      <c r="B83" s="72" t="s">
        <v>68</v>
      </c>
      <c r="C83" s="73">
        <v>303.5</v>
      </c>
      <c r="D83" s="73">
        <v>41.1</v>
      </c>
      <c r="E83" s="73">
        <v>5</v>
      </c>
      <c r="F83" s="72">
        <v>1</v>
      </c>
      <c r="G83" s="72">
        <v>6</v>
      </c>
      <c r="H83" s="38">
        <f t="shared" si="19"/>
        <v>23.565761120551254</v>
      </c>
      <c r="I83" s="39">
        <f t="shared" si="18"/>
        <v>5.2970742798027901</v>
      </c>
      <c r="J83" s="39">
        <f t="shared" si="18"/>
        <v>0.71733032256966944</v>
      </c>
      <c r="K83" s="39">
        <f t="shared" si="20"/>
        <v>0.41591950698849378</v>
      </c>
      <c r="L83" s="39">
        <f t="shared" si="21"/>
        <v>-0.62838582886917538</v>
      </c>
      <c r="M83" s="39">
        <f t="shared" si="22"/>
        <v>-0.65737524579409579</v>
      </c>
      <c r="N83" s="17"/>
      <c r="O83" s="8">
        <v>47.059827569888498</v>
      </c>
      <c r="P83" s="8">
        <v>-84.758998780557505</v>
      </c>
      <c r="Q83" s="16"/>
      <c r="R83" s="41">
        <f t="shared" si="30"/>
        <v>-82.693816921453205</v>
      </c>
      <c r="S83" s="42">
        <f t="shared" si="23"/>
        <v>-6.6759744532406573E-2</v>
      </c>
      <c r="T83" s="37"/>
      <c r="U83" s="43">
        <f t="shared" si="31"/>
        <v>39.592385512860105</v>
      </c>
      <c r="V83" s="44">
        <f t="shared" si="24"/>
        <v>177.93481814089569</v>
      </c>
      <c r="W83" s="43">
        <f t="shared" si="25"/>
        <v>39.592385512860105</v>
      </c>
      <c r="X83" s="43">
        <f t="shared" si="26"/>
        <v>177.93481814089569</v>
      </c>
      <c r="Y83" s="39">
        <f t="shared" si="17"/>
        <v>0.69101748591831258</v>
      </c>
      <c r="Z83" s="39">
        <f t="shared" si="17"/>
        <v>3.1055484304959653</v>
      </c>
      <c r="AA83" s="39">
        <f t="shared" si="27"/>
        <v>0.63732158455006682</v>
      </c>
      <c r="AB83" s="39">
        <f t="shared" si="28"/>
        <v>-0.77009742741519205</v>
      </c>
      <c r="AC83" s="39">
        <f t="shared" si="29"/>
        <v>2.7769590474022381E-2</v>
      </c>
      <c r="AD83" s="17"/>
      <c r="AE83" s="72" t="s">
        <v>137</v>
      </c>
      <c r="AF83" s="72" t="s">
        <v>0</v>
      </c>
      <c r="AG83" s="72" t="s">
        <v>68</v>
      </c>
      <c r="AH83" s="72" t="s">
        <v>0</v>
      </c>
      <c r="AI83" s="71">
        <v>2522.5740000000005</v>
      </c>
      <c r="AJ83" s="72" t="s">
        <v>0</v>
      </c>
      <c r="AK83" s="72">
        <v>6</v>
      </c>
      <c r="AL83" s="72" t="s">
        <v>0</v>
      </c>
      <c r="AM83" s="72">
        <v>333.9</v>
      </c>
      <c r="AN83" s="72" t="s">
        <v>0</v>
      </c>
      <c r="AO83" s="72">
        <v>63</v>
      </c>
      <c r="AP83" s="72" t="s">
        <v>0</v>
      </c>
      <c r="AQ83" s="72">
        <v>303.5</v>
      </c>
      <c r="AR83" s="72" t="s">
        <v>0</v>
      </c>
      <c r="AS83" s="72">
        <v>41.1</v>
      </c>
      <c r="AT83" s="72" t="s">
        <v>0</v>
      </c>
      <c r="AU83" s="72">
        <v>5</v>
      </c>
      <c r="AV83" s="72" t="s">
        <v>0</v>
      </c>
      <c r="AW83" s="72">
        <v>179</v>
      </c>
      <c r="AX83" s="72" t="s">
        <v>0</v>
      </c>
      <c r="AY83" s="72" t="s">
        <v>2</v>
      </c>
      <c r="AZ83" s="72" t="s">
        <v>0</v>
      </c>
      <c r="BA83" s="72" t="s">
        <v>90</v>
      </c>
      <c r="BB83" s="72" t="s">
        <v>0</v>
      </c>
      <c r="BC83" s="72" t="s">
        <v>78</v>
      </c>
      <c r="BD83" s="1"/>
      <c r="BE83" s="72" t="s">
        <v>116</v>
      </c>
      <c r="BF83" s="75">
        <v>47.059827569888498</v>
      </c>
      <c r="BG83" s="75">
        <v>-84.758998780557505</v>
      </c>
      <c r="BH83" s="1"/>
    </row>
    <row r="84" spans="1:60" s="6" customFormat="1" ht="15">
      <c r="A84" s="72" t="s">
        <v>137</v>
      </c>
      <c r="B84" s="72" t="s">
        <v>69</v>
      </c>
      <c r="C84" s="73">
        <v>288.10000000000002</v>
      </c>
      <c r="D84" s="73">
        <v>34.799999999999997</v>
      </c>
      <c r="E84" s="73">
        <v>3.4</v>
      </c>
      <c r="F84" s="72">
        <v>1</v>
      </c>
      <c r="G84" s="72">
        <v>5</v>
      </c>
      <c r="H84" s="38">
        <f t="shared" si="19"/>
        <v>19.162802152830437</v>
      </c>
      <c r="I84" s="39">
        <f t="shared" si="18"/>
        <v>5.0282935749956641</v>
      </c>
      <c r="J84" s="39">
        <f t="shared" si="18"/>
        <v>0.60737457969402664</v>
      </c>
      <c r="K84" s="39">
        <f t="shared" si="20"/>
        <v>0.25511170448775872</v>
      </c>
      <c r="L84" s="39">
        <f t="shared" si="21"/>
        <v>-0.78051524129529859</v>
      </c>
      <c r="M84" s="39">
        <f t="shared" si="22"/>
        <v>-0.5707135676844316</v>
      </c>
      <c r="N84" s="17"/>
      <c r="O84" s="8">
        <v>47.059457658273097</v>
      </c>
      <c r="P84" s="8">
        <v>-84.759409352468097</v>
      </c>
      <c r="Q84" s="16"/>
      <c r="R84" s="41">
        <f t="shared" si="30"/>
        <v>-89.439268480306239</v>
      </c>
      <c r="S84" s="42">
        <f t="shared" si="23"/>
        <v>5.9861588682031397E-3</v>
      </c>
      <c r="T84" s="37"/>
      <c r="U84" s="43">
        <f t="shared" si="31"/>
        <v>26.117866131832507</v>
      </c>
      <c r="V84" s="44">
        <f t="shared" si="24"/>
        <v>-174.19867783277434</v>
      </c>
      <c r="W84" s="43">
        <f t="shared" si="25"/>
        <v>26.117866131832507</v>
      </c>
      <c r="X84" s="43">
        <f t="shared" si="26"/>
        <v>-174.19867783277434</v>
      </c>
      <c r="Y84" s="39">
        <f t="shared" si="17"/>
        <v>0.45584275759559262</v>
      </c>
      <c r="Z84" s="39">
        <f t="shared" si="17"/>
        <v>-3.0403404808027719</v>
      </c>
      <c r="AA84" s="39">
        <f t="shared" si="27"/>
        <v>0.44021917395863713</v>
      </c>
      <c r="AB84" s="39">
        <f t="shared" si="28"/>
        <v>-0.89329169278102394</v>
      </c>
      <c r="AC84" s="39">
        <f t="shared" si="29"/>
        <v>-9.0758087725491626E-2</v>
      </c>
      <c r="AD84" s="17"/>
      <c r="AE84" s="72" t="s">
        <v>137</v>
      </c>
      <c r="AF84" s="72" t="s">
        <v>0</v>
      </c>
      <c r="AG84" s="72" t="s">
        <v>69</v>
      </c>
      <c r="AH84" s="72" t="s">
        <v>0</v>
      </c>
      <c r="AI84" s="71">
        <v>2531.6740000000004</v>
      </c>
      <c r="AJ84" s="72" t="s">
        <v>0</v>
      </c>
      <c r="AK84" s="72">
        <v>5</v>
      </c>
      <c r="AL84" s="72" t="s">
        <v>0</v>
      </c>
      <c r="AM84" s="72">
        <v>303.60000000000002</v>
      </c>
      <c r="AN84" s="72" t="s">
        <v>0</v>
      </c>
      <c r="AO84" s="72">
        <v>63.3</v>
      </c>
      <c r="AP84" s="72" t="s">
        <v>0</v>
      </c>
      <c r="AQ84" s="72">
        <v>288.10000000000002</v>
      </c>
      <c r="AR84" s="72" t="s">
        <v>0</v>
      </c>
      <c r="AS84" s="72">
        <v>34.799999999999997</v>
      </c>
      <c r="AT84" s="72" t="s">
        <v>0</v>
      </c>
      <c r="AU84" s="72">
        <v>3.4</v>
      </c>
      <c r="AV84" s="72" t="s">
        <v>0</v>
      </c>
      <c r="AW84" s="72">
        <v>378</v>
      </c>
      <c r="AX84" s="72" t="s">
        <v>0</v>
      </c>
      <c r="AY84" s="72" t="s">
        <v>2</v>
      </c>
      <c r="AZ84" s="72" t="s">
        <v>0</v>
      </c>
      <c r="BA84" s="72" t="s">
        <v>90</v>
      </c>
      <c r="BB84" s="72" t="s">
        <v>0</v>
      </c>
      <c r="BC84" s="72" t="s">
        <v>78</v>
      </c>
      <c r="BD84" s="1"/>
      <c r="BE84" s="72" t="s">
        <v>116</v>
      </c>
      <c r="BF84" s="75">
        <v>47.059457658273097</v>
      </c>
      <c r="BG84" s="75">
        <v>-84.759409352468097</v>
      </c>
      <c r="BH84" s="1"/>
    </row>
    <row r="85" spans="1:60" s="6" customFormat="1" ht="15">
      <c r="A85" s="72" t="s">
        <v>136</v>
      </c>
      <c r="B85" s="72" t="s">
        <v>70</v>
      </c>
      <c r="C85" s="73">
        <v>296.60000000000002</v>
      </c>
      <c r="D85" s="73">
        <v>27.4</v>
      </c>
      <c r="E85" s="73">
        <v>5.8</v>
      </c>
      <c r="F85" s="72">
        <v>1</v>
      </c>
      <c r="G85" s="72">
        <v>3</v>
      </c>
      <c r="H85" s="38">
        <f t="shared" si="19"/>
        <v>14.529951904177436</v>
      </c>
      <c r="I85" s="39">
        <f t="shared" ref="I85:J104" si="32">C85*PI()/180</f>
        <v>5.1766465614151818</v>
      </c>
      <c r="J85" s="39">
        <f t="shared" si="32"/>
        <v>0.47822021504644624</v>
      </c>
      <c r="K85" s="39">
        <f t="shared" si="20"/>
        <v>0.39752740701790124</v>
      </c>
      <c r="L85" s="39">
        <f t="shared" si="21"/>
        <v>-0.79384388815088869</v>
      </c>
      <c r="M85" s="39">
        <f t="shared" si="22"/>
        <v>-0.4601997847838516</v>
      </c>
      <c r="N85" s="17"/>
      <c r="O85" s="8">
        <v>47.058609000032597</v>
      </c>
      <c r="P85" s="8">
        <v>-84.761565068679701</v>
      </c>
      <c r="Q85" s="16"/>
      <c r="R85" s="41">
        <f t="shared" si="30"/>
        <v>-80.400972086500062</v>
      </c>
      <c r="S85" s="42">
        <f t="shared" si="23"/>
        <v>-9.9723239684434861E-2</v>
      </c>
      <c r="T85" s="37"/>
      <c r="U85" s="43">
        <f t="shared" si="31"/>
        <v>28.616269177129652</v>
      </c>
      <c r="V85" s="44">
        <f t="shared" si="24"/>
        <v>175.63940701782036</v>
      </c>
      <c r="W85" s="43">
        <f t="shared" si="25"/>
        <v>28.616269177129652</v>
      </c>
      <c r="X85" s="43">
        <f t="shared" si="26"/>
        <v>175.63940701782036</v>
      </c>
      <c r="Y85" s="39">
        <f t="shared" ref="Y85:Z104" si="33">W85*PI()/180</f>
        <v>0.49944811677788081</v>
      </c>
      <c r="Z85" s="39">
        <f t="shared" si="33"/>
        <v>3.0654859487113999</v>
      </c>
      <c r="AA85" s="39">
        <f t="shared" si="27"/>
        <v>0.47894114252632014</v>
      </c>
      <c r="AB85" s="39">
        <f t="shared" si="28"/>
        <v>-0.8753058959209612</v>
      </c>
      <c r="AC85" s="39">
        <f t="shared" si="29"/>
        <v>6.6745565857114539E-2</v>
      </c>
      <c r="AD85" s="17"/>
      <c r="AE85" s="72" t="s">
        <v>136</v>
      </c>
      <c r="AF85" s="72" t="s">
        <v>0</v>
      </c>
      <c r="AG85" s="72" t="s">
        <v>70</v>
      </c>
      <c r="AH85" s="72" t="s">
        <v>0</v>
      </c>
      <c r="AI85" s="71">
        <v>2610.2740000000008</v>
      </c>
      <c r="AJ85" s="72" t="s">
        <v>0</v>
      </c>
      <c r="AK85" s="72">
        <v>3</v>
      </c>
      <c r="AL85" s="72" t="s">
        <v>0</v>
      </c>
      <c r="AM85" s="72">
        <v>313.89999999999998</v>
      </c>
      <c r="AN85" s="72" t="s">
        <v>0</v>
      </c>
      <c r="AO85" s="72">
        <v>53.5</v>
      </c>
      <c r="AP85" s="72" t="s">
        <v>0</v>
      </c>
      <c r="AQ85" s="72">
        <v>296.60000000000002</v>
      </c>
      <c r="AR85" s="72" t="s">
        <v>0</v>
      </c>
      <c r="AS85" s="72">
        <v>27.4</v>
      </c>
      <c r="AT85" s="72" t="s">
        <v>0</v>
      </c>
      <c r="AU85" s="72">
        <v>5.8</v>
      </c>
      <c r="AV85" s="72" t="s">
        <v>0</v>
      </c>
      <c r="AW85" s="72">
        <v>451</v>
      </c>
      <c r="AX85" s="72" t="s">
        <v>0</v>
      </c>
      <c r="AY85" s="72" t="s">
        <v>2</v>
      </c>
      <c r="AZ85" s="72" t="s">
        <v>0</v>
      </c>
      <c r="BA85" s="72" t="s">
        <v>90</v>
      </c>
      <c r="BB85" s="72" t="s">
        <v>0</v>
      </c>
      <c r="BC85" s="72" t="s">
        <v>78</v>
      </c>
      <c r="BD85" s="1"/>
      <c r="BE85" s="72" t="s">
        <v>116</v>
      </c>
      <c r="BF85" s="75">
        <v>47.058609000032597</v>
      </c>
      <c r="BG85" s="75">
        <v>-84.761565068679701</v>
      </c>
      <c r="BH85" s="1"/>
    </row>
    <row r="86" spans="1:60" ht="15">
      <c r="A86" s="72" t="s">
        <v>136</v>
      </c>
      <c r="B86" s="72" t="s">
        <v>71</v>
      </c>
      <c r="C86" s="73">
        <v>290.7</v>
      </c>
      <c r="D86" s="73">
        <v>36.4</v>
      </c>
      <c r="E86" s="73">
        <v>4.9000000000000004</v>
      </c>
      <c r="F86" s="72">
        <v>1</v>
      </c>
      <c r="G86" s="72">
        <v>4</v>
      </c>
      <c r="H86" s="38">
        <f t="shared" si="19"/>
        <v>20.235490159394853</v>
      </c>
      <c r="I86" s="39">
        <f t="shared" si="32"/>
        <v>5.0736721355475156</v>
      </c>
      <c r="J86" s="39">
        <f t="shared" si="32"/>
        <v>0.63529984772593595</v>
      </c>
      <c r="K86" s="39">
        <f t="shared" si="20"/>
        <v>0.28450970927927444</v>
      </c>
      <c r="L86" s="39">
        <f t="shared" si="21"/>
        <v>-0.7529330981885749</v>
      </c>
      <c r="M86" s="39">
        <f t="shared" si="22"/>
        <v>-0.59341888660370146</v>
      </c>
      <c r="O86" s="8">
        <v>47.058396806390803</v>
      </c>
      <c r="P86" s="8">
        <v>-84.761758313434598</v>
      </c>
      <c r="Q86" s="16"/>
      <c r="R86" s="41">
        <f t="shared" si="30"/>
        <v>-89.532714866639026</v>
      </c>
      <c r="S86" s="42">
        <f t="shared" si="23"/>
        <v>-4.8767098546562693E-3</v>
      </c>
      <c r="T86" s="37"/>
      <c r="U86" s="43">
        <f t="shared" si="31"/>
        <v>28.629470377986856</v>
      </c>
      <c r="V86" s="44">
        <f t="shared" si="24"/>
        <v>184.77095655320443</v>
      </c>
      <c r="W86" s="43">
        <f t="shared" si="25"/>
        <v>28.629470377986856</v>
      </c>
      <c r="X86" s="43">
        <f t="shared" si="26"/>
        <v>184.77095655320443</v>
      </c>
      <c r="Y86" s="39">
        <f t="shared" si="33"/>
        <v>0.49967852119805617</v>
      </c>
      <c r="Z86" s="39">
        <f t="shared" si="33"/>
        <v>3.2248615539128105</v>
      </c>
      <c r="AA86" s="39">
        <f t="shared" si="27"/>
        <v>0.4791433896444755</v>
      </c>
      <c r="AB86" s="39">
        <f t="shared" si="28"/>
        <v>-0.87469541398555206</v>
      </c>
      <c r="AC86" s="39">
        <f t="shared" si="29"/>
        <v>-7.3003732182991804E-2</v>
      </c>
      <c r="AE86" s="72" t="s">
        <v>136</v>
      </c>
      <c r="AF86" s="72" t="s">
        <v>0</v>
      </c>
      <c r="AG86" s="72" t="s">
        <v>71</v>
      </c>
      <c r="AH86" s="72" t="s">
        <v>0</v>
      </c>
      <c r="AI86" s="71">
        <v>2614.5740000000005</v>
      </c>
      <c r="AJ86" s="72" t="s">
        <v>0</v>
      </c>
      <c r="AK86" s="72">
        <v>4</v>
      </c>
      <c r="AL86" s="72" t="s">
        <v>0</v>
      </c>
      <c r="AM86" s="72">
        <v>308.60000000000002</v>
      </c>
      <c r="AN86" s="72" t="s">
        <v>0</v>
      </c>
      <c r="AO86" s="72">
        <v>64.3</v>
      </c>
      <c r="AP86" s="72" t="s">
        <v>0</v>
      </c>
      <c r="AQ86" s="72">
        <v>290.7</v>
      </c>
      <c r="AR86" s="72" t="s">
        <v>0</v>
      </c>
      <c r="AS86" s="72">
        <v>36.4</v>
      </c>
      <c r="AT86" s="72" t="s">
        <v>0</v>
      </c>
      <c r="AU86" s="72">
        <v>4.9000000000000004</v>
      </c>
      <c r="AV86" s="72" t="s">
        <v>0</v>
      </c>
      <c r="AW86" s="72">
        <v>351</v>
      </c>
      <c r="AX86" s="72" t="s">
        <v>0</v>
      </c>
      <c r="AY86" s="72" t="s">
        <v>2</v>
      </c>
      <c r="AZ86" s="72" t="s">
        <v>0</v>
      </c>
      <c r="BA86" s="72" t="s">
        <v>90</v>
      </c>
      <c r="BB86" s="72" t="s">
        <v>0</v>
      </c>
      <c r="BC86" s="72" t="s">
        <v>78</v>
      </c>
      <c r="BD86" s="1"/>
      <c r="BE86" s="72" t="s">
        <v>116</v>
      </c>
      <c r="BF86" s="75">
        <v>47.058396806390803</v>
      </c>
      <c r="BG86" s="75">
        <v>-84.761758313434598</v>
      </c>
      <c r="BH86" s="1"/>
    </row>
    <row r="87" spans="1:60" ht="15">
      <c r="A87" s="72" t="s">
        <v>136</v>
      </c>
      <c r="B87" s="72" t="s">
        <v>72</v>
      </c>
      <c r="C87" s="73">
        <v>297.89999999999998</v>
      </c>
      <c r="D87" s="73">
        <v>33.1</v>
      </c>
      <c r="E87" s="73">
        <v>5.2</v>
      </c>
      <c r="F87" s="72">
        <v>1</v>
      </c>
      <c r="G87" s="72">
        <v>4</v>
      </c>
      <c r="H87" s="38">
        <f t="shared" si="19"/>
        <v>18.053166434448276</v>
      </c>
      <c r="I87" s="39">
        <f t="shared" si="32"/>
        <v>5.1993358416911075</v>
      </c>
      <c r="J87" s="39">
        <f t="shared" si="32"/>
        <v>0.57770398241012311</v>
      </c>
      <c r="K87" s="39">
        <f t="shared" si="20"/>
        <v>0.3919935634708076</v>
      </c>
      <c r="L87" s="39">
        <f t="shared" si="21"/>
        <v>-0.74034700943115372</v>
      </c>
      <c r="M87" s="39">
        <f t="shared" si="22"/>
        <v>-0.54610196101442909</v>
      </c>
      <c r="O87" s="8">
        <v>47.058400672998403</v>
      </c>
      <c r="P87" s="8">
        <v>-84.761955679960195</v>
      </c>
      <c r="Q87" s="16"/>
      <c r="R87" s="41">
        <f t="shared" si="30"/>
        <v>-82.235958283892614</v>
      </c>
      <c r="S87" s="42">
        <f t="shared" si="23"/>
        <v>-7.8046842530312688E-2</v>
      </c>
      <c r="T87" s="37"/>
      <c r="U87" s="43">
        <f t="shared" si="31"/>
        <v>32.001811657699072</v>
      </c>
      <c r="V87" s="44">
        <f t="shared" si="24"/>
        <v>177.47400260393243</v>
      </c>
      <c r="W87" s="43">
        <f t="shared" si="25"/>
        <v>32.001811657699072</v>
      </c>
      <c r="X87" s="43">
        <f t="shared" si="26"/>
        <v>177.47400260393243</v>
      </c>
      <c r="Y87" s="39">
        <f t="shared" si="33"/>
        <v>0.55853698002995344</v>
      </c>
      <c r="Z87" s="39">
        <f t="shared" si="33"/>
        <v>3.0975056821316111</v>
      </c>
      <c r="AA87" s="39">
        <f t="shared" si="27"/>
        <v>0.52994607873328803</v>
      </c>
      <c r="AB87" s="39">
        <f t="shared" si="28"/>
        <v>-0.84720733074349763</v>
      </c>
      <c r="AC87" s="39">
        <f t="shared" si="29"/>
        <v>3.7375023340321209E-2</v>
      </c>
      <c r="AE87" s="72" t="s">
        <v>136</v>
      </c>
      <c r="AF87" s="72" t="s">
        <v>0</v>
      </c>
      <c r="AG87" s="72" t="s">
        <v>72</v>
      </c>
      <c r="AH87" s="72" t="s">
        <v>0</v>
      </c>
      <c r="AI87" s="71">
        <v>2623.3740000000007</v>
      </c>
      <c r="AJ87" s="72" t="s">
        <v>0</v>
      </c>
      <c r="AK87" s="72">
        <v>4</v>
      </c>
      <c r="AL87" s="72" t="s">
        <v>0</v>
      </c>
      <c r="AM87" s="72">
        <v>317.10000000000002</v>
      </c>
      <c r="AN87" s="72" t="s">
        <v>0</v>
      </c>
      <c r="AO87" s="72">
        <v>58.8</v>
      </c>
      <c r="AP87" s="72" t="s">
        <v>0</v>
      </c>
      <c r="AQ87" s="72">
        <v>297.89999999999998</v>
      </c>
      <c r="AR87" s="72" t="s">
        <v>0</v>
      </c>
      <c r="AS87" s="72">
        <v>33.1</v>
      </c>
      <c r="AT87" s="72" t="s">
        <v>0</v>
      </c>
      <c r="AU87" s="72">
        <v>5.2</v>
      </c>
      <c r="AV87" s="72" t="s">
        <v>0</v>
      </c>
      <c r="AW87" s="72">
        <v>311</v>
      </c>
      <c r="AX87" s="72" t="s">
        <v>0</v>
      </c>
      <c r="AY87" s="72" t="s">
        <v>2</v>
      </c>
      <c r="AZ87" s="72" t="s">
        <v>0</v>
      </c>
      <c r="BA87" s="72" t="s">
        <v>90</v>
      </c>
      <c r="BB87" s="72" t="s">
        <v>0</v>
      </c>
      <c r="BC87" s="72" t="s">
        <v>78</v>
      </c>
      <c r="BD87" s="1"/>
      <c r="BE87" s="72" t="s">
        <v>116</v>
      </c>
      <c r="BF87" s="75">
        <v>47.058400672998403</v>
      </c>
      <c r="BG87" s="75">
        <v>-84.761955679960195</v>
      </c>
      <c r="BH87" s="1"/>
    </row>
    <row r="88" spans="1:60" ht="15">
      <c r="A88" s="72" t="s">
        <v>136</v>
      </c>
      <c r="B88" s="72" t="s">
        <v>73</v>
      </c>
      <c r="C88" s="73">
        <v>292.8</v>
      </c>
      <c r="D88" s="73">
        <v>27.9</v>
      </c>
      <c r="E88" s="73">
        <v>4.2</v>
      </c>
      <c r="F88" s="72">
        <v>1</v>
      </c>
      <c r="G88" s="72">
        <v>5</v>
      </c>
      <c r="H88" s="38">
        <f t="shared" si="19"/>
        <v>14.828112527179103</v>
      </c>
      <c r="I88" s="39">
        <f t="shared" si="32"/>
        <v>5.1103240498393969</v>
      </c>
      <c r="J88" s="39">
        <f t="shared" si="32"/>
        <v>0.4869468613064179</v>
      </c>
      <c r="K88" s="39">
        <f t="shared" si="20"/>
        <v>0.34247295643003228</v>
      </c>
      <c r="L88" s="39">
        <f t="shared" si="21"/>
        <v>-0.81471096901915985</v>
      </c>
      <c r="M88" s="39">
        <f t="shared" si="22"/>
        <v>-0.46792981426057334</v>
      </c>
      <c r="O88" s="8">
        <v>47.058115541729201</v>
      </c>
      <c r="P88" s="8">
        <v>-84.7625601987653</v>
      </c>
      <c r="Q88" s="16"/>
      <c r="R88" s="41">
        <f t="shared" si="30"/>
        <v>-83.604783640412833</v>
      </c>
      <c r="S88" s="42">
        <f t="shared" si="23"/>
        <v>-6.804702315662936E-2</v>
      </c>
      <c r="T88" s="37"/>
      <c r="U88" s="43">
        <f t="shared" si="31"/>
        <v>26.266745099522915</v>
      </c>
      <c r="V88" s="44">
        <f t="shared" si="24"/>
        <v>178.84222344164755</v>
      </c>
      <c r="W88" s="43">
        <f t="shared" si="25"/>
        <v>26.266745099522915</v>
      </c>
      <c r="X88" s="43">
        <f t="shared" si="26"/>
        <v>178.84222344164755</v>
      </c>
      <c r="Y88" s="39">
        <f t="shared" si="33"/>
        <v>0.45844118576876047</v>
      </c>
      <c r="Z88" s="39">
        <f t="shared" si="33"/>
        <v>3.1213856406441347</v>
      </c>
      <c r="AA88" s="39">
        <f t="shared" si="27"/>
        <v>0.4425507887710674</v>
      </c>
      <c r="AB88" s="39">
        <f t="shared" si="28"/>
        <v>-0.89656036678940199</v>
      </c>
      <c r="AC88" s="39">
        <f t="shared" si="29"/>
        <v>1.8119273179655615E-2</v>
      </c>
      <c r="AE88" s="72" t="s">
        <v>136</v>
      </c>
      <c r="AF88" s="72" t="s">
        <v>0</v>
      </c>
      <c r="AG88" s="72" t="s">
        <v>73</v>
      </c>
      <c r="AH88" s="72" t="s">
        <v>0</v>
      </c>
      <c r="AI88" s="71">
        <v>2645.2740000000008</v>
      </c>
      <c r="AJ88" s="72" t="s">
        <v>0</v>
      </c>
      <c r="AK88" s="72">
        <v>5</v>
      </c>
      <c r="AL88" s="72" t="s">
        <v>0</v>
      </c>
      <c r="AM88" s="72">
        <v>305.89999999999998</v>
      </c>
      <c r="AN88" s="72" t="s">
        <v>0</v>
      </c>
      <c r="AO88" s="72">
        <v>55.8</v>
      </c>
      <c r="AP88" s="72" t="s">
        <v>0</v>
      </c>
      <c r="AQ88" s="72">
        <v>292.8</v>
      </c>
      <c r="AR88" s="72" t="s">
        <v>0</v>
      </c>
      <c r="AS88" s="72">
        <v>27.9</v>
      </c>
      <c r="AT88" s="72" t="s">
        <v>0</v>
      </c>
      <c r="AU88" s="72">
        <v>4.2</v>
      </c>
      <c r="AV88" s="72" t="s">
        <v>0</v>
      </c>
      <c r="AW88" s="72">
        <v>339</v>
      </c>
      <c r="AX88" s="72" t="s">
        <v>0</v>
      </c>
      <c r="AY88" s="72" t="s">
        <v>2</v>
      </c>
      <c r="AZ88" s="72" t="s">
        <v>0</v>
      </c>
      <c r="BA88" s="72" t="s">
        <v>90</v>
      </c>
      <c r="BB88" s="72" t="s">
        <v>0</v>
      </c>
      <c r="BC88" s="72" t="s">
        <v>78</v>
      </c>
      <c r="BD88" s="1"/>
      <c r="BE88" s="72" t="s">
        <v>116</v>
      </c>
      <c r="BF88" s="75">
        <v>47.058115541729201</v>
      </c>
      <c r="BG88" s="75">
        <v>-84.7625601987653</v>
      </c>
      <c r="BH88" s="1"/>
    </row>
    <row r="89" spans="1:60" ht="15">
      <c r="A89" s="72" t="s">
        <v>134</v>
      </c>
      <c r="B89" s="72" t="s">
        <v>110</v>
      </c>
      <c r="C89" s="73">
        <v>305.2</v>
      </c>
      <c r="D89" s="73">
        <v>43.4</v>
      </c>
      <c r="E89" s="73">
        <v>2.9</v>
      </c>
      <c r="F89" s="72">
        <v>1</v>
      </c>
      <c r="G89" s="72">
        <v>5</v>
      </c>
      <c r="H89" s="38">
        <f t="shared" si="19"/>
        <v>25.30602510125156</v>
      </c>
      <c r="I89" s="39">
        <f t="shared" si="32"/>
        <v>5.3267448770866928</v>
      </c>
      <c r="J89" s="39">
        <f t="shared" si="32"/>
        <v>0.75747289536553908</v>
      </c>
      <c r="K89" s="39">
        <f t="shared" si="20"/>
        <v>0.41882112045810432</v>
      </c>
      <c r="L89" s="39">
        <f t="shared" si="21"/>
        <v>-0.59371678564345798</v>
      </c>
      <c r="M89" s="39">
        <f t="shared" si="22"/>
        <v>-0.68708751080442299</v>
      </c>
      <c r="O89" s="8">
        <v>47.052439999999997</v>
      </c>
      <c r="P89" s="8">
        <v>-84.769892999999996</v>
      </c>
      <c r="Q89" s="16"/>
      <c r="R89" s="41">
        <f t="shared" si="30"/>
        <v>-83.037821976594529</v>
      </c>
      <c r="S89" s="42">
        <f t="shared" si="23"/>
        <v>-6.1462419226610165E-2</v>
      </c>
      <c r="T89" s="37"/>
      <c r="U89" s="43">
        <f t="shared" si="31"/>
        <v>41.908086001184209</v>
      </c>
      <c r="V89" s="44">
        <f t="shared" si="24"/>
        <v>178.26792897659453</v>
      </c>
      <c r="W89" s="43">
        <f t="shared" si="25"/>
        <v>41.908086001184209</v>
      </c>
      <c r="X89" s="43">
        <f t="shared" si="26"/>
        <v>178.26792897659453</v>
      </c>
      <c r="Y89" s="39">
        <f t="shared" si="33"/>
        <v>0.73143408392960874</v>
      </c>
      <c r="Z89" s="39">
        <f t="shared" si="33"/>
        <v>3.1113623113529796</v>
      </c>
      <c r="AA89" s="39">
        <f t="shared" si="27"/>
        <v>0.66793759153172849</v>
      </c>
      <c r="AB89" s="39">
        <f t="shared" si="28"/>
        <v>-0.74387725501772517</v>
      </c>
      <c r="AC89" s="39">
        <f t="shared" si="29"/>
        <v>2.2494516800505477E-2</v>
      </c>
      <c r="AE89" s="72" t="s">
        <v>134</v>
      </c>
      <c r="AF89" s="72" t="s">
        <v>0</v>
      </c>
      <c r="AG89" s="72" t="s">
        <v>110</v>
      </c>
      <c r="AH89" s="72" t="s">
        <v>0</v>
      </c>
      <c r="AI89" s="71">
        <v>3043</v>
      </c>
      <c r="AJ89" s="72" t="s">
        <v>0</v>
      </c>
      <c r="AK89" s="72">
        <v>5</v>
      </c>
      <c r="AL89" s="72" t="s">
        <v>0</v>
      </c>
      <c r="AM89" s="72">
        <v>350.6</v>
      </c>
      <c r="AN89" s="72" t="s">
        <v>0</v>
      </c>
      <c r="AO89" s="73">
        <v>59</v>
      </c>
      <c r="AP89" s="72" t="s">
        <v>0</v>
      </c>
      <c r="AQ89" s="72">
        <v>305.2</v>
      </c>
      <c r="AR89" s="72" t="s">
        <v>0</v>
      </c>
      <c r="AS89" s="72">
        <v>43.4</v>
      </c>
      <c r="AT89" s="72" t="s">
        <v>0</v>
      </c>
      <c r="AU89" s="72">
        <v>2.9</v>
      </c>
      <c r="AV89" s="72" t="s">
        <v>0</v>
      </c>
      <c r="AW89" s="72">
        <v>564</v>
      </c>
      <c r="AX89" s="72" t="s">
        <v>0</v>
      </c>
      <c r="AY89" s="72" t="s">
        <v>2</v>
      </c>
      <c r="AZ89" s="72" t="s">
        <v>0</v>
      </c>
      <c r="BA89" s="72" t="s">
        <v>100</v>
      </c>
      <c r="BB89" s="72" t="s">
        <v>0</v>
      </c>
      <c r="BC89" s="72" t="s">
        <v>92</v>
      </c>
      <c r="BD89" s="1"/>
      <c r="BE89" s="72" t="s">
        <v>116</v>
      </c>
      <c r="BF89" s="75">
        <v>47.052439999999997</v>
      </c>
      <c r="BG89" s="75">
        <v>-84.769892999999996</v>
      </c>
      <c r="BH89" s="1"/>
    </row>
    <row r="90" spans="1:60" ht="15">
      <c r="A90" s="72" t="s">
        <v>134</v>
      </c>
      <c r="B90" s="72" t="s">
        <v>111</v>
      </c>
      <c r="C90" s="73">
        <v>296.7</v>
      </c>
      <c r="D90" s="73">
        <v>38.4</v>
      </c>
      <c r="E90" s="73">
        <v>7.4</v>
      </c>
      <c r="F90" s="72">
        <v>1</v>
      </c>
      <c r="G90" s="72">
        <v>6</v>
      </c>
      <c r="H90" s="38">
        <f t="shared" si="19"/>
        <v>21.618181048229665</v>
      </c>
      <c r="I90" s="39">
        <f t="shared" si="32"/>
        <v>5.1783918906671751</v>
      </c>
      <c r="J90" s="39">
        <f t="shared" si="32"/>
        <v>0.67020643276582248</v>
      </c>
      <c r="K90" s="39">
        <f t="shared" si="20"/>
        <v>0.35212835946747573</v>
      </c>
      <c r="L90" s="39">
        <f t="shared" si="21"/>
        <v>-0.70012931199462869</v>
      </c>
      <c r="M90" s="39">
        <f t="shared" si="22"/>
        <v>-0.6211477802783103</v>
      </c>
      <c r="O90" s="8">
        <v>47.052016999999999</v>
      </c>
      <c r="P90" s="8">
        <v>-84.771167000000005</v>
      </c>
      <c r="Q90" s="16"/>
      <c r="R90" s="41">
        <f t="shared" si="30"/>
        <v>-86.229236666634336</v>
      </c>
      <c r="S90" s="42">
        <f t="shared" si="23"/>
        <v>-3.7294984382467922E-2</v>
      </c>
      <c r="T90" s="37"/>
      <c r="U90" s="43">
        <f t="shared" si="31"/>
        <v>33.660836463751806</v>
      </c>
      <c r="V90" s="44">
        <f t="shared" si="24"/>
        <v>181.45806966663434</v>
      </c>
      <c r="W90" s="43">
        <f t="shared" si="25"/>
        <v>33.660836463751806</v>
      </c>
      <c r="X90" s="43">
        <f t="shared" si="26"/>
        <v>181.45806966663434</v>
      </c>
      <c r="Y90" s="39">
        <f t="shared" si="33"/>
        <v>0.58749242526783385</v>
      </c>
      <c r="Z90" s="39">
        <f t="shared" si="33"/>
        <v>3.1670407699960181</v>
      </c>
      <c r="AA90" s="39">
        <f t="shared" si="27"/>
        <v>0.55427563006662406</v>
      </c>
      <c r="AB90" s="39">
        <f t="shared" si="28"/>
        <v>-0.83206368433519906</v>
      </c>
      <c r="AC90" s="39">
        <f t="shared" si="29"/>
        <v>-2.1179025586205026E-2</v>
      </c>
      <c r="AE90" s="72" t="s">
        <v>134</v>
      </c>
      <c r="AF90" s="72" t="s">
        <v>0</v>
      </c>
      <c r="AG90" s="72" t="s">
        <v>111</v>
      </c>
      <c r="AH90" s="72" t="s">
        <v>0</v>
      </c>
      <c r="AI90" s="71">
        <f>AI89+72.3</f>
        <v>3115.3</v>
      </c>
      <c r="AJ90" s="72" t="s">
        <v>0</v>
      </c>
      <c r="AK90" s="72">
        <v>6</v>
      </c>
      <c r="AL90" s="72" t="s">
        <v>0</v>
      </c>
      <c r="AM90" s="72">
        <v>334.7</v>
      </c>
      <c r="AN90" s="72" t="s">
        <v>0</v>
      </c>
      <c r="AO90" s="73">
        <v>61</v>
      </c>
      <c r="AP90" s="72" t="s">
        <v>0</v>
      </c>
      <c r="AQ90" s="72">
        <v>296.7</v>
      </c>
      <c r="AR90" s="72" t="s">
        <v>0</v>
      </c>
      <c r="AS90" s="72">
        <v>38.4</v>
      </c>
      <c r="AT90" s="72" t="s">
        <v>0</v>
      </c>
      <c r="AU90" s="72">
        <v>7.4</v>
      </c>
      <c r="AV90" s="72" t="s">
        <v>0</v>
      </c>
      <c r="AW90" s="72">
        <v>70</v>
      </c>
      <c r="AX90" s="72" t="s">
        <v>0</v>
      </c>
      <c r="AY90" s="72" t="s">
        <v>2</v>
      </c>
      <c r="AZ90" s="72" t="s">
        <v>0</v>
      </c>
      <c r="BA90" s="72" t="s">
        <v>100</v>
      </c>
      <c r="BB90" s="72" t="s">
        <v>0</v>
      </c>
      <c r="BC90" s="72" t="s">
        <v>92</v>
      </c>
      <c r="BD90" s="1"/>
      <c r="BE90" s="72" t="s">
        <v>116</v>
      </c>
      <c r="BF90" s="75">
        <v>47.052016999999999</v>
      </c>
      <c r="BG90" s="75">
        <v>-84.771167000000005</v>
      </c>
      <c r="BH90" s="1"/>
    </row>
    <row r="91" spans="1:60" ht="15">
      <c r="A91" s="72" t="s">
        <v>134</v>
      </c>
      <c r="B91" s="72" t="s">
        <v>112</v>
      </c>
      <c r="C91" s="73">
        <v>294.2</v>
      </c>
      <c r="D91" s="73">
        <v>43.7</v>
      </c>
      <c r="E91" s="73">
        <v>5.6</v>
      </c>
      <c r="F91" s="72">
        <v>1</v>
      </c>
      <c r="G91" s="72">
        <v>8</v>
      </c>
      <c r="H91" s="38">
        <f t="shared" si="19"/>
        <v>25.538955107090086</v>
      </c>
      <c r="I91" s="39">
        <f t="shared" si="32"/>
        <v>5.1347586593673169</v>
      </c>
      <c r="J91" s="39">
        <f t="shared" si="32"/>
        <v>0.76270888312152207</v>
      </c>
      <c r="K91" s="39">
        <f t="shared" si="20"/>
        <v>0.29636088581903269</v>
      </c>
      <c r="L91" s="39">
        <f t="shared" si="21"/>
        <v>-0.65943287711577214</v>
      </c>
      <c r="M91" s="39">
        <f t="shared" si="22"/>
        <v>-0.69088241107685844</v>
      </c>
      <c r="O91" s="8">
        <v>47.051191000000003</v>
      </c>
      <c r="P91" s="8">
        <v>-84.771818999999994</v>
      </c>
      <c r="Q91" s="16"/>
      <c r="R91" s="41">
        <f t="shared" si="30"/>
        <v>-88.398283975251076</v>
      </c>
      <c r="S91" s="42">
        <f t="shared" si="23"/>
        <v>1.5679861344905177E-2</v>
      </c>
      <c r="T91" s="37"/>
      <c r="U91" s="43">
        <f t="shared" si="31"/>
        <v>34.581395076173131</v>
      </c>
      <c r="V91" s="44">
        <f t="shared" si="24"/>
        <v>-173.17010297525107</v>
      </c>
      <c r="W91" s="43">
        <f t="shared" si="25"/>
        <v>34.581395076173131</v>
      </c>
      <c r="X91" s="43">
        <f t="shared" si="26"/>
        <v>-173.17010297525107</v>
      </c>
      <c r="Y91" s="39">
        <f t="shared" si="33"/>
        <v>0.60355920401217644</v>
      </c>
      <c r="Z91" s="39">
        <f t="shared" si="33"/>
        <v>-3.0223884629357598</v>
      </c>
      <c r="AA91" s="39">
        <f t="shared" si="27"/>
        <v>0.56757642860213708</v>
      </c>
      <c r="AB91" s="39">
        <f t="shared" si="28"/>
        <v>-0.81747809204322708</v>
      </c>
      <c r="AC91" s="39">
        <f t="shared" si="29"/>
        <v>-9.7911014317126524E-2</v>
      </c>
      <c r="AE91" s="72" t="s">
        <v>134</v>
      </c>
      <c r="AF91" s="72" t="s">
        <v>0</v>
      </c>
      <c r="AG91" s="72" t="s">
        <v>112</v>
      </c>
      <c r="AH91" s="72" t="s">
        <v>0</v>
      </c>
      <c r="AI91" s="71">
        <f>AI89+113.5</f>
        <v>3156.5</v>
      </c>
      <c r="AJ91" s="72" t="s">
        <v>0</v>
      </c>
      <c r="AK91" s="72">
        <v>8</v>
      </c>
      <c r="AL91" s="72" t="s">
        <v>0</v>
      </c>
      <c r="AM91" s="72">
        <v>341.4</v>
      </c>
      <c r="AN91" s="72" t="s">
        <v>0</v>
      </c>
      <c r="AO91" s="72">
        <v>65.7</v>
      </c>
      <c r="AP91" s="72" t="s">
        <v>0</v>
      </c>
      <c r="AQ91" s="72">
        <v>294.2</v>
      </c>
      <c r="AR91" s="72" t="s">
        <v>0</v>
      </c>
      <c r="AS91" s="72">
        <v>43.7</v>
      </c>
      <c r="AT91" s="72" t="s">
        <v>0</v>
      </c>
      <c r="AU91" s="72">
        <v>5.6</v>
      </c>
      <c r="AV91" s="72" t="s">
        <v>0</v>
      </c>
      <c r="AW91" s="72">
        <v>87</v>
      </c>
      <c r="AX91" s="72" t="s">
        <v>0</v>
      </c>
      <c r="AY91" s="72" t="s">
        <v>2</v>
      </c>
      <c r="AZ91" s="72" t="s">
        <v>0</v>
      </c>
      <c r="BA91" s="72" t="s">
        <v>100</v>
      </c>
      <c r="BB91" s="72" t="s">
        <v>0</v>
      </c>
      <c r="BC91" s="72" t="s">
        <v>92</v>
      </c>
      <c r="BD91" s="1"/>
      <c r="BE91" s="72" t="s">
        <v>116</v>
      </c>
      <c r="BF91" s="75">
        <v>47.051191000000003</v>
      </c>
      <c r="BG91" s="75">
        <v>-84.771818999999994</v>
      </c>
      <c r="BH91" s="1"/>
    </row>
    <row r="92" spans="1:60" ht="15">
      <c r="A92" s="72" t="s">
        <v>134</v>
      </c>
      <c r="B92" s="72" t="s">
        <v>113</v>
      </c>
      <c r="C92" s="73">
        <v>300.60000000000002</v>
      </c>
      <c r="D92" s="73">
        <v>34.799999999999997</v>
      </c>
      <c r="E92" s="73">
        <v>8.8000000000000007</v>
      </c>
      <c r="F92" s="72">
        <v>1</v>
      </c>
      <c r="G92" s="72">
        <v>6</v>
      </c>
      <c r="H92" s="38">
        <f t="shared" si="19"/>
        <v>19.162802152830437</v>
      </c>
      <c r="I92" s="39">
        <f t="shared" si="32"/>
        <v>5.246459731494955</v>
      </c>
      <c r="J92" s="39">
        <f t="shared" si="32"/>
        <v>0.60737457969402664</v>
      </c>
      <c r="K92" s="39">
        <f t="shared" si="20"/>
        <v>0.41799895595971864</v>
      </c>
      <c r="L92" s="39">
        <f t="shared" si="21"/>
        <v>-0.70679763474242951</v>
      </c>
      <c r="M92" s="39">
        <f t="shared" si="22"/>
        <v>-0.5707135676844316</v>
      </c>
      <c r="O92" s="8">
        <v>47.051502999999997</v>
      </c>
      <c r="P92" s="8">
        <v>-84.772234999999995</v>
      </c>
      <c r="Q92" s="16"/>
      <c r="R92" s="41">
        <f t="shared" si="30"/>
        <v>-81.032403461299481</v>
      </c>
      <c r="S92" s="42">
        <f t="shared" si="23"/>
        <v>-8.7417949135679018E-2</v>
      </c>
      <c r="T92" s="37"/>
      <c r="U92" s="43">
        <f t="shared" si="31"/>
        <v>34.602742828214687</v>
      </c>
      <c r="V92" s="44">
        <f t="shared" si="24"/>
        <v>176.26016846129949</v>
      </c>
      <c r="W92" s="43">
        <f t="shared" si="25"/>
        <v>34.602742828214687</v>
      </c>
      <c r="X92" s="43">
        <f t="shared" si="26"/>
        <v>176.26016846129949</v>
      </c>
      <c r="Y92" s="39">
        <f t="shared" si="33"/>
        <v>0.60393179257320084</v>
      </c>
      <c r="Z92" s="39">
        <f t="shared" si="33"/>
        <v>3.0763202797695435</v>
      </c>
      <c r="AA92" s="39">
        <f t="shared" si="27"/>
        <v>0.56788314907892457</v>
      </c>
      <c r="AB92" s="39">
        <f t="shared" si="28"/>
        <v>-0.82135638531824995</v>
      </c>
      <c r="AC92" s="39">
        <f t="shared" si="29"/>
        <v>5.3688148497993041E-2</v>
      </c>
      <c r="AE92" s="72" t="s">
        <v>134</v>
      </c>
      <c r="AF92" s="72" t="s">
        <v>0</v>
      </c>
      <c r="AG92" s="72" t="s">
        <v>113</v>
      </c>
      <c r="AH92" s="72" t="s">
        <v>0</v>
      </c>
      <c r="AI92" s="71">
        <f>AI89+125.9</f>
        <v>3168.9</v>
      </c>
      <c r="AJ92" s="72" t="s">
        <v>0</v>
      </c>
      <c r="AK92" s="72">
        <v>6</v>
      </c>
      <c r="AL92" s="72" t="s">
        <v>0</v>
      </c>
      <c r="AM92" s="72">
        <v>333.9</v>
      </c>
      <c r="AN92" s="72" t="s">
        <v>0</v>
      </c>
      <c r="AO92" s="72">
        <v>56.2</v>
      </c>
      <c r="AP92" s="72" t="s">
        <v>0</v>
      </c>
      <c r="AQ92" s="72">
        <v>300.60000000000002</v>
      </c>
      <c r="AR92" s="72" t="s">
        <v>0</v>
      </c>
      <c r="AS92" s="72">
        <v>34.799999999999997</v>
      </c>
      <c r="AT92" s="72" t="s">
        <v>0</v>
      </c>
      <c r="AU92" s="72">
        <v>8.8000000000000007</v>
      </c>
      <c r="AV92" s="72" t="s">
        <v>0</v>
      </c>
      <c r="AW92" s="72">
        <v>49</v>
      </c>
      <c r="AX92" s="72" t="s">
        <v>0</v>
      </c>
      <c r="AY92" s="72" t="s">
        <v>2</v>
      </c>
      <c r="AZ92" s="72" t="s">
        <v>0</v>
      </c>
      <c r="BA92" s="72" t="s">
        <v>100</v>
      </c>
      <c r="BB92" s="72" t="s">
        <v>0</v>
      </c>
      <c r="BC92" s="72" t="s">
        <v>92</v>
      </c>
      <c r="BD92" s="1"/>
      <c r="BE92" s="72" t="s">
        <v>116</v>
      </c>
      <c r="BF92" s="75">
        <v>47.051502999999997</v>
      </c>
      <c r="BG92" s="75">
        <v>-84.772234999999995</v>
      </c>
      <c r="BH92" s="1"/>
    </row>
    <row r="93" spans="1:60" ht="15">
      <c r="A93" s="72" t="s">
        <v>134</v>
      </c>
      <c r="B93" s="72" t="s">
        <v>114</v>
      </c>
      <c r="C93" s="73">
        <v>302.2</v>
      </c>
      <c r="D93" s="73">
        <v>45.2</v>
      </c>
      <c r="E93" s="73">
        <v>3</v>
      </c>
      <c r="F93" s="72">
        <v>1</v>
      </c>
      <c r="G93" s="72">
        <v>5</v>
      </c>
      <c r="H93" s="38">
        <f t="shared" si="19"/>
        <v>26.725387217658614</v>
      </c>
      <c r="I93" s="39">
        <f t="shared" si="32"/>
        <v>5.2743849995268635</v>
      </c>
      <c r="J93" s="39">
        <f t="shared" si="32"/>
        <v>0.78888882190143694</v>
      </c>
      <c r="K93" s="39">
        <f t="shared" si="20"/>
        <v>0.3754828537974409</v>
      </c>
      <c r="L93" s="39">
        <f t="shared" si="21"/>
        <v>-0.59625665309088915</v>
      </c>
      <c r="M93" s="39">
        <f t="shared" si="22"/>
        <v>-0.70957073653652092</v>
      </c>
      <c r="O93" s="8">
        <v>47.051732999999999</v>
      </c>
      <c r="P93" s="8">
        <v>-84.772470999999996</v>
      </c>
      <c r="Q93" s="16"/>
      <c r="R93" s="41">
        <f t="shared" si="30"/>
        <v>-86.821333753302241</v>
      </c>
      <c r="S93" s="42">
        <f t="shared" si="23"/>
        <v>-2.8597978702000149E-2</v>
      </c>
      <c r="T93" s="37"/>
      <c r="U93" s="43">
        <f t="shared" si="31"/>
        <v>40.803001788721403</v>
      </c>
      <c r="V93" s="44">
        <f t="shared" si="24"/>
        <v>182.04886275330225</v>
      </c>
      <c r="W93" s="43">
        <f t="shared" si="25"/>
        <v>40.803001788721403</v>
      </c>
      <c r="X93" s="43">
        <f t="shared" si="26"/>
        <v>182.04886275330225</v>
      </c>
      <c r="Y93" s="39">
        <f t="shared" si="33"/>
        <v>0.71214672591032413</v>
      </c>
      <c r="Z93" s="39">
        <f t="shared" si="33"/>
        <v>3.1773520545563936</v>
      </c>
      <c r="AA93" s="39">
        <f t="shared" si="27"/>
        <v>0.65346026289443893</v>
      </c>
      <c r="AB93" s="39">
        <f t="shared" si="28"/>
        <v>-0.75647689670568119</v>
      </c>
      <c r="AC93" s="39">
        <f t="shared" si="29"/>
        <v>-2.7062696991855137E-2</v>
      </c>
      <c r="AE93" s="72" t="s">
        <v>134</v>
      </c>
      <c r="AF93" s="72" t="s">
        <v>0</v>
      </c>
      <c r="AG93" s="72" t="s">
        <v>114</v>
      </c>
      <c r="AH93" s="72" t="s">
        <v>0</v>
      </c>
      <c r="AI93" s="71">
        <f>AI89+131.4</f>
        <v>3174.4</v>
      </c>
      <c r="AJ93" s="72" t="s">
        <v>0</v>
      </c>
      <c r="AK93" s="72">
        <v>6</v>
      </c>
      <c r="AL93" s="72" t="s">
        <v>0</v>
      </c>
      <c r="AM93" s="72">
        <v>346.9</v>
      </c>
      <c r="AN93" s="72" t="s">
        <v>0</v>
      </c>
      <c r="AO93" s="72">
        <v>63.3</v>
      </c>
      <c r="AP93" s="72" t="s">
        <v>0</v>
      </c>
      <c r="AQ93" s="72">
        <v>298.8</v>
      </c>
      <c r="AR93" s="72" t="s">
        <v>0</v>
      </c>
      <c r="AS93" s="72">
        <v>44.4</v>
      </c>
      <c r="AT93" s="72" t="s">
        <v>0</v>
      </c>
      <c r="AU93" s="72">
        <v>5.7</v>
      </c>
      <c r="AV93" s="72" t="s">
        <v>0</v>
      </c>
      <c r="AW93" s="72">
        <v>116</v>
      </c>
      <c r="AX93" s="72" t="s">
        <v>0</v>
      </c>
      <c r="AY93" s="72" t="s">
        <v>2</v>
      </c>
      <c r="AZ93" s="72" t="s">
        <v>0</v>
      </c>
      <c r="BA93" s="72" t="s">
        <v>100</v>
      </c>
      <c r="BB93" s="72" t="s">
        <v>0</v>
      </c>
      <c r="BC93" s="72" t="s">
        <v>92</v>
      </c>
      <c r="BD93" s="1"/>
      <c r="BE93" s="72" t="s">
        <v>116</v>
      </c>
      <c r="BF93" s="75">
        <v>47.051732999999999</v>
      </c>
      <c r="BG93" s="75">
        <v>-84.772470999999996</v>
      </c>
      <c r="BH93" s="1"/>
    </row>
    <row r="94" spans="1:60" ht="15">
      <c r="A94" s="72" t="s">
        <v>134</v>
      </c>
      <c r="B94" s="72" t="s">
        <v>115</v>
      </c>
      <c r="C94" s="73">
        <v>286.39999999999998</v>
      </c>
      <c r="D94" s="73">
        <v>32.6</v>
      </c>
      <c r="E94" s="73">
        <v>5.3</v>
      </c>
      <c r="F94" s="72">
        <v>1</v>
      </c>
      <c r="G94" s="72">
        <v>8</v>
      </c>
      <c r="H94" s="38">
        <f t="shared" si="19"/>
        <v>17.732370705388657</v>
      </c>
      <c r="I94" s="39">
        <f t="shared" si="32"/>
        <v>4.9986229777117597</v>
      </c>
      <c r="J94" s="39">
        <f t="shared" si="32"/>
        <v>0.56897733615015145</v>
      </c>
      <c r="K94" s="39">
        <f t="shared" si="20"/>
        <v>0.23785923709177118</v>
      </c>
      <c r="L94" s="39">
        <f t="shared" si="21"/>
        <v>-0.80817635733372528</v>
      </c>
      <c r="M94" s="39">
        <f t="shared" si="22"/>
        <v>-0.53877078500686304</v>
      </c>
      <c r="O94" s="8">
        <v>47.051876</v>
      </c>
      <c r="P94" s="8">
        <v>-84.772673999999995</v>
      </c>
      <c r="Q94" s="16"/>
      <c r="R94" s="41">
        <f t="shared" si="30"/>
        <v>-89.331070618269493</v>
      </c>
      <c r="S94" s="42">
        <f t="shared" si="23"/>
        <v>7.2687485377196936E-3</v>
      </c>
      <c r="T94" s="37"/>
      <c r="U94" s="43">
        <f t="shared" si="31"/>
        <v>23.964284442387822</v>
      </c>
      <c r="V94" s="44">
        <f t="shared" si="24"/>
        <v>-174.1037446182695</v>
      </c>
      <c r="W94" s="43">
        <f t="shared" si="25"/>
        <v>23.964284442387822</v>
      </c>
      <c r="X94" s="43">
        <f t="shared" si="26"/>
        <v>-174.1037446182695</v>
      </c>
      <c r="Y94" s="39">
        <f t="shared" si="33"/>
        <v>0.41825566640412087</v>
      </c>
      <c r="Z94" s="39">
        <f t="shared" si="33"/>
        <v>-3.0386835836401604</v>
      </c>
      <c r="AA94" s="39">
        <f t="shared" si="27"/>
        <v>0.40616710180651283</v>
      </c>
      <c r="AB94" s="39">
        <f t="shared" si="28"/>
        <v>-0.90896439865935841</v>
      </c>
      <c r="AC94" s="39">
        <f t="shared" si="29"/>
        <v>-9.3872292929963561E-2</v>
      </c>
      <c r="AE94" s="72" t="s">
        <v>134</v>
      </c>
      <c r="AF94" s="72" t="s">
        <v>0</v>
      </c>
      <c r="AG94" s="72" t="s">
        <v>115</v>
      </c>
      <c r="AH94" s="72" t="s">
        <v>0</v>
      </c>
      <c r="AI94" s="71">
        <f>AI89+142.1</f>
        <v>3185.1</v>
      </c>
      <c r="AJ94" s="72" t="s">
        <v>0</v>
      </c>
      <c r="AK94" s="72">
        <v>8</v>
      </c>
      <c r="AL94" s="72" t="s">
        <v>0</v>
      </c>
      <c r="AM94" s="72">
        <v>313.5</v>
      </c>
      <c r="AN94" s="72" t="s">
        <v>0</v>
      </c>
      <c r="AO94" s="72">
        <v>62.2</v>
      </c>
      <c r="AP94" s="72" t="s">
        <v>0</v>
      </c>
      <c r="AQ94" s="72">
        <v>286.39999999999998</v>
      </c>
      <c r="AR94" s="72" t="s">
        <v>0</v>
      </c>
      <c r="AS94" s="72">
        <v>32.6</v>
      </c>
      <c r="AT94" s="72" t="s">
        <v>0</v>
      </c>
      <c r="AU94" s="72">
        <v>5.3</v>
      </c>
      <c r="AV94" s="72" t="s">
        <v>0</v>
      </c>
      <c r="AW94" s="72">
        <v>95</v>
      </c>
      <c r="AX94" s="72" t="s">
        <v>0</v>
      </c>
      <c r="AY94" s="72" t="s">
        <v>2</v>
      </c>
      <c r="AZ94" s="72" t="s">
        <v>0</v>
      </c>
      <c r="BA94" s="72" t="s">
        <v>100</v>
      </c>
      <c r="BB94" s="72" t="s">
        <v>0</v>
      </c>
      <c r="BC94" s="72" t="s">
        <v>92</v>
      </c>
      <c r="BD94" s="1"/>
      <c r="BE94" s="72" t="s">
        <v>116</v>
      </c>
      <c r="BF94" s="75">
        <v>47.051876</v>
      </c>
      <c r="BG94" s="75">
        <v>-84.772673999999995</v>
      </c>
      <c r="BH94" s="1"/>
    </row>
    <row r="95" spans="1:60" s="7" customFormat="1" ht="15">
      <c r="A95" s="72" t="s">
        <v>135</v>
      </c>
      <c r="B95" s="72" t="s">
        <v>74</v>
      </c>
      <c r="C95" s="73">
        <v>298.5</v>
      </c>
      <c r="D95" s="73">
        <v>42.6</v>
      </c>
      <c r="E95" s="73">
        <v>6.1</v>
      </c>
      <c r="F95" s="72">
        <v>1</v>
      </c>
      <c r="G95" s="72">
        <v>4</v>
      </c>
      <c r="H95" s="38">
        <f t="shared" si="19"/>
        <v>24.691721529717043</v>
      </c>
      <c r="I95" s="39">
        <f t="shared" si="32"/>
        <v>5.2098078172030728</v>
      </c>
      <c r="J95" s="39">
        <f t="shared" si="32"/>
        <v>0.74351026134958442</v>
      </c>
      <c r="K95" s="39">
        <f t="shared" si="20"/>
        <v>0.35123517352076078</v>
      </c>
      <c r="L95" s="39">
        <f t="shared" si="21"/>
        <v>-0.64689471674144838</v>
      </c>
      <c r="M95" s="39">
        <f t="shared" si="22"/>
        <v>-0.67687596968266073</v>
      </c>
      <c r="N95" s="17"/>
      <c r="O95" s="8">
        <v>47.047332317931101</v>
      </c>
      <c r="P95" s="8">
        <v>-84.774886950594393</v>
      </c>
      <c r="Q95" s="16"/>
      <c r="R95" s="41">
        <f t="shared" si="30"/>
        <v>-87.657257811442506</v>
      </c>
      <c r="S95" s="42">
        <f t="shared" si="23"/>
        <v>-2.2258631829970954E-2</v>
      </c>
      <c r="T95" s="37"/>
      <c r="U95" s="43">
        <f t="shared" si="31"/>
        <v>36.952561179718359</v>
      </c>
      <c r="V95" s="44">
        <f>IF(S95&lt;0,P95+180-R95,P95+R95)</f>
        <v>182.88237086084811</v>
      </c>
      <c r="W95" s="43">
        <f t="shared" si="25"/>
        <v>36.952561179718359</v>
      </c>
      <c r="X95" s="43">
        <f t="shared" si="26"/>
        <v>182.88237086084811</v>
      </c>
      <c r="Y95" s="39">
        <f t="shared" si="33"/>
        <v>0.64494385963072542</v>
      </c>
      <c r="Z95" s="39">
        <f t="shared" si="33"/>
        <v>3.1918995153751362</v>
      </c>
      <c r="AA95" s="39">
        <f t="shared" si="27"/>
        <v>0.60115357581065032</v>
      </c>
      <c r="AB95" s="39">
        <f t="shared" si="28"/>
        <v>-0.79812251473350604</v>
      </c>
      <c r="AC95" s="39">
        <f t="shared" si="29"/>
        <v>-4.0184944513252177E-2</v>
      </c>
      <c r="AD95" s="17"/>
      <c r="AE95" s="72" t="s">
        <v>135</v>
      </c>
      <c r="AF95" s="72" t="s">
        <v>0</v>
      </c>
      <c r="AG95" s="72" t="s">
        <v>74</v>
      </c>
      <c r="AH95" s="72" t="s">
        <v>0</v>
      </c>
      <c r="AI95" s="71">
        <v>3350</v>
      </c>
      <c r="AJ95" s="72" t="s">
        <v>0</v>
      </c>
      <c r="AK95" s="72">
        <v>4</v>
      </c>
      <c r="AL95" s="72" t="s">
        <v>0</v>
      </c>
      <c r="AM95" s="72">
        <v>326.39999999999998</v>
      </c>
      <c r="AN95" s="72" t="s">
        <v>0</v>
      </c>
      <c r="AO95" s="72">
        <v>61.9</v>
      </c>
      <c r="AP95" s="72" t="s">
        <v>0</v>
      </c>
      <c r="AQ95" s="72">
        <v>298.5</v>
      </c>
      <c r="AR95" s="72" t="s">
        <v>0</v>
      </c>
      <c r="AS95" s="72">
        <v>42.6</v>
      </c>
      <c r="AT95" s="72" t="s">
        <v>0</v>
      </c>
      <c r="AU95" s="72">
        <v>6.1</v>
      </c>
      <c r="AV95" s="72" t="s">
        <v>0</v>
      </c>
      <c r="AW95" s="72">
        <v>232</v>
      </c>
      <c r="AX95" s="72" t="s">
        <v>0</v>
      </c>
      <c r="AY95" s="72" t="s">
        <v>2</v>
      </c>
      <c r="AZ95" s="72" t="s">
        <v>0</v>
      </c>
      <c r="BA95" s="72" t="s">
        <v>90</v>
      </c>
      <c r="BB95" s="72" t="s">
        <v>0</v>
      </c>
      <c r="BC95" s="72" t="s">
        <v>78</v>
      </c>
      <c r="BD95" s="1"/>
      <c r="BE95" s="72" t="s">
        <v>116</v>
      </c>
      <c r="BF95" s="75">
        <v>47.047332317931101</v>
      </c>
      <c r="BG95" s="75">
        <v>-84.774886950594393</v>
      </c>
      <c r="BH95" s="1"/>
    </row>
    <row r="96" spans="1:60" s="7" customFormat="1" ht="15">
      <c r="A96" s="72" t="s">
        <v>135</v>
      </c>
      <c r="B96" s="72" t="s">
        <v>75</v>
      </c>
      <c r="C96" s="73">
        <v>298.2</v>
      </c>
      <c r="D96" s="73">
        <v>40.299999999999997</v>
      </c>
      <c r="E96" s="73">
        <v>5.8</v>
      </c>
      <c r="F96" s="72">
        <v>1</v>
      </c>
      <c r="G96" s="72">
        <v>6</v>
      </c>
      <c r="H96" s="38">
        <f t="shared" si="19"/>
        <v>22.978442056445076</v>
      </c>
      <c r="I96" s="39">
        <f t="shared" si="32"/>
        <v>5.2045718294470902</v>
      </c>
      <c r="J96" s="39">
        <f t="shared" si="32"/>
        <v>0.70336768855371479</v>
      </c>
      <c r="K96" s="39">
        <f t="shared" si="20"/>
        <v>0.36039950253910097</v>
      </c>
      <c r="L96" s="39">
        <f t="shared" si="21"/>
        <v>-0.67214223174145193</v>
      </c>
      <c r="M96" s="39">
        <f t="shared" si="22"/>
        <v>-0.64678977951045957</v>
      </c>
      <c r="N96" s="17"/>
      <c r="O96" s="8">
        <v>47.0471845800501</v>
      </c>
      <c r="P96" s="8">
        <v>-84.775156413104895</v>
      </c>
      <c r="Q96" s="16"/>
      <c r="R96" s="41">
        <f t="shared" si="30"/>
        <v>-86.30369979514694</v>
      </c>
      <c r="S96" s="42">
        <f t="shared" si="23"/>
        <v>-3.571642979342371E-2</v>
      </c>
      <c r="T96" s="37"/>
      <c r="U96" s="43">
        <f t="shared" si="31"/>
        <v>35.603523188835318</v>
      </c>
      <c r="V96" s="44">
        <f t="shared" si="24"/>
        <v>181.52854338204205</v>
      </c>
      <c r="W96" s="43">
        <f t="shared" si="25"/>
        <v>35.603523188835318</v>
      </c>
      <c r="X96" s="43">
        <f t="shared" si="26"/>
        <v>181.52854338204205</v>
      </c>
      <c r="Y96" s="39">
        <f t="shared" si="33"/>
        <v>0.62139870495532712</v>
      </c>
      <c r="Z96" s="39">
        <f t="shared" si="33"/>
        <v>3.1682707683659959</v>
      </c>
      <c r="AA96" s="39">
        <f t="shared" si="27"/>
        <v>0.58217296763509241</v>
      </c>
      <c r="AB96" s="39">
        <f t="shared" si="28"/>
        <v>-0.81277564317058848</v>
      </c>
      <c r="AC96" s="39">
        <f t="shared" si="29"/>
        <v>-2.1688467525068918E-2</v>
      </c>
      <c r="AD96" s="17"/>
      <c r="AE96" s="72" t="s">
        <v>135</v>
      </c>
      <c r="AF96" s="72" t="s">
        <v>0</v>
      </c>
      <c r="AG96" s="72" t="s">
        <v>75</v>
      </c>
      <c r="AH96" s="72" t="s">
        <v>0</v>
      </c>
      <c r="AI96" s="71">
        <f>AI95+10.2</f>
        <v>3360.2</v>
      </c>
      <c r="AJ96" s="72" t="s">
        <v>0</v>
      </c>
      <c r="AK96" s="72">
        <v>6</v>
      </c>
      <c r="AL96" s="72" t="s">
        <v>0</v>
      </c>
      <c r="AM96" s="72">
        <v>323.5</v>
      </c>
      <c r="AN96" s="72" t="s">
        <v>0</v>
      </c>
      <c r="AO96" s="72">
        <v>60.2</v>
      </c>
      <c r="AP96" s="72" t="s">
        <v>0</v>
      </c>
      <c r="AQ96" s="72">
        <v>298.2</v>
      </c>
      <c r="AR96" s="72" t="s">
        <v>0</v>
      </c>
      <c r="AS96" s="72">
        <v>40.299999999999997</v>
      </c>
      <c r="AT96" s="72" t="s">
        <v>0</v>
      </c>
      <c r="AU96" s="72">
        <v>5.8</v>
      </c>
      <c r="AV96" s="72" t="s">
        <v>0</v>
      </c>
      <c r="AW96" s="72">
        <v>135</v>
      </c>
      <c r="AX96" s="72" t="s">
        <v>0</v>
      </c>
      <c r="AY96" s="72" t="s">
        <v>2</v>
      </c>
      <c r="AZ96" s="72" t="s">
        <v>0</v>
      </c>
      <c r="BA96" s="72" t="s">
        <v>90</v>
      </c>
      <c r="BB96" s="72" t="s">
        <v>0</v>
      </c>
      <c r="BC96" s="72" t="s">
        <v>78</v>
      </c>
      <c r="BD96" s="1"/>
      <c r="BE96" s="72" t="s">
        <v>116</v>
      </c>
      <c r="BF96" s="75">
        <v>47.0471845800501</v>
      </c>
      <c r="BG96" s="75">
        <v>-84.775156413104895</v>
      </c>
      <c r="BH96" s="1"/>
    </row>
    <row r="97" spans="1:60" s="7" customFormat="1" ht="15">
      <c r="A97" s="72" t="s">
        <v>135</v>
      </c>
      <c r="B97" s="72" t="s">
        <v>76</v>
      </c>
      <c r="C97" s="73">
        <v>295.10000000000002</v>
      </c>
      <c r="D97" s="73">
        <v>43.2</v>
      </c>
      <c r="E97" s="73">
        <v>6.8</v>
      </c>
      <c r="F97" s="72">
        <v>1</v>
      </c>
      <c r="G97" s="72">
        <v>5</v>
      </c>
      <c r="H97" s="38">
        <f t="shared" si="19"/>
        <v>25.151522660394381</v>
      </c>
      <c r="I97" s="39">
        <f t="shared" si="32"/>
        <v>5.1504666226352667</v>
      </c>
      <c r="J97" s="39">
        <f t="shared" si="32"/>
        <v>0.7539822368615503</v>
      </c>
      <c r="K97" s="39">
        <f t="shared" si="20"/>
        <v>0.30922807095166222</v>
      </c>
      <c r="L97" s="39">
        <f t="shared" si="21"/>
        <v>-0.66013124445080651</v>
      </c>
      <c r="M97" s="39">
        <f t="shared" si="22"/>
        <v>-0.68454710592868862</v>
      </c>
      <c r="N97" s="17"/>
      <c r="O97" s="8">
        <v>47.047045064904097</v>
      </c>
      <c r="P97" s="8">
        <v>-84.775386034819505</v>
      </c>
      <c r="Q97" s="16"/>
      <c r="R97" s="41">
        <f t="shared" si="30"/>
        <v>-89.401468954081949</v>
      </c>
      <c r="S97" s="42">
        <f t="shared" si="23"/>
        <v>5.8349912443488861E-3</v>
      </c>
      <c r="T97" s="37"/>
      <c r="U97" s="43">
        <f t="shared" si="31"/>
        <v>34.939843183830639</v>
      </c>
      <c r="V97" s="44">
        <f t="shared" si="24"/>
        <v>-174.17685498890145</v>
      </c>
      <c r="W97" s="43">
        <f t="shared" si="25"/>
        <v>34.939843183830639</v>
      </c>
      <c r="X97" s="43">
        <f t="shared" si="26"/>
        <v>-174.17685498890145</v>
      </c>
      <c r="Y97" s="39">
        <f t="shared" si="33"/>
        <v>0.60981530368834302</v>
      </c>
      <c r="Z97" s="39">
        <f t="shared" si="33"/>
        <v>-3.0399596003250418</v>
      </c>
      <c r="AA97" s="39">
        <f t="shared" si="27"/>
        <v>0.57271606436455313</v>
      </c>
      <c r="AB97" s="39">
        <f t="shared" si="28"/>
        <v>-0.81552372109904303</v>
      </c>
      <c r="AC97" s="39">
        <f t="shared" si="29"/>
        <v>-8.3170727684367479E-2</v>
      </c>
      <c r="AD97" s="17"/>
      <c r="AE97" s="72" t="s">
        <v>135</v>
      </c>
      <c r="AF97" s="72" t="s">
        <v>0</v>
      </c>
      <c r="AG97" s="72" t="s">
        <v>76</v>
      </c>
      <c r="AH97" s="72" t="s">
        <v>0</v>
      </c>
      <c r="AI97" s="71">
        <f>AI95+15.5</f>
        <v>3365.5</v>
      </c>
      <c r="AJ97" s="72" t="s">
        <v>0</v>
      </c>
      <c r="AK97" s="72">
        <v>5</v>
      </c>
      <c r="AL97" s="72" t="s">
        <v>0</v>
      </c>
      <c r="AM97" s="72">
        <v>322.7</v>
      </c>
      <c r="AN97" s="72" t="s">
        <v>0</v>
      </c>
      <c r="AO97" s="72">
        <v>63.9</v>
      </c>
      <c r="AP97" s="72" t="s">
        <v>0</v>
      </c>
      <c r="AQ97" s="72">
        <v>295.10000000000002</v>
      </c>
      <c r="AR97" s="72" t="s">
        <v>0</v>
      </c>
      <c r="AS97" s="72">
        <v>43.2</v>
      </c>
      <c r="AT97" s="72" t="s">
        <v>0</v>
      </c>
      <c r="AU97" s="72">
        <v>6.8</v>
      </c>
      <c r="AV97" s="72" t="s">
        <v>0</v>
      </c>
      <c r="AW97" s="72">
        <v>128</v>
      </c>
      <c r="AX97" s="72" t="s">
        <v>0</v>
      </c>
      <c r="AY97" s="72" t="s">
        <v>2</v>
      </c>
      <c r="AZ97" s="72" t="s">
        <v>0</v>
      </c>
      <c r="BA97" s="72" t="s">
        <v>90</v>
      </c>
      <c r="BB97" s="72" t="s">
        <v>0</v>
      </c>
      <c r="BC97" s="72" t="s">
        <v>78</v>
      </c>
      <c r="BD97" s="1"/>
      <c r="BE97" s="72" t="s">
        <v>116</v>
      </c>
      <c r="BF97" s="75">
        <v>47.047045064904097</v>
      </c>
      <c r="BG97" s="75">
        <v>-84.775386034819505</v>
      </c>
      <c r="BH97" s="1"/>
    </row>
    <row r="98" spans="1:60" s="7" customFormat="1" ht="15">
      <c r="A98" s="72" t="s">
        <v>135</v>
      </c>
      <c r="B98" s="72" t="s">
        <v>77</v>
      </c>
      <c r="C98" s="73">
        <v>295.7</v>
      </c>
      <c r="D98" s="73">
        <v>38.6</v>
      </c>
      <c r="E98" s="73">
        <v>6.4</v>
      </c>
      <c r="F98" s="72">
        <v>1</v>
      </c>
      <c r="G98" s="72">
        <v>5</v>
      </c>
      <c r="H98" s="38">
        <f t="shared" si="19"/>
        <v>21.759154044769282</v>
      </c>
      <c r="I98" s="39">
        <f t="shared" si="32"/>
        <v>5.160938598147232</v>
      </c>
      <c r="J98" s="39">
        <f t="shared" si="32"/>
        <v>0.67369709126981125</v>
      </c>
      <c r="K98" s="39">
        <f t="shared" si="20"/>
        <v>0.33891345265556971</v>
      </c>
      <c r="L98" s="39">
        <f t="shared" si="21"/>
        <v>-0.70421013938938315</v>
      </c>
      <c r="M98" s="39">
        <f t="shared" si="22"/>
        <v>-0.6238795967093862</v>
      </c>
      <c r="N98" s="17"/>
      <c r="O98" s="8">
        <v>47.046826927445501</v>
      </c>
      <c r="P98" s="8">
        <v>-84.775737416642698</v>
      </c>
      <c r="Q98" s="16"/>
      <c r="R98" s="41">
        <f t="shared" si="30"/>
        <v>-87.114220034546818</v>
      </c>
      <c r="S98" s="42">
        <f t="shared" si="23"/>
        <v>-2.8745596382298233E-2</v>
      </c>
      <c r="T98" s="37"/>
      <c r="U98" s="43">
        <f t="shared" si="31"/>
        <v>33.076966079223141</v>
      </c>
      <c r="V98" s="44">
        <f t="shared" si="24"/>
        <v>182.33848261790411</v>
      </c>
      <c r="W98" s="43">
        <f t="shared" si="25"/>
        <v>33.076966079223141</v>
      </c>
      <c r="X98" s="43">
        <f t="shared" si="26"/>
        <v>182.33848261790411</v>
      </c>
      <c r="Y98" s="39">
        <f t="shared" si="33"/>
        <v>0.57730196465292338</v>
      </c>
      <c r="Z98" s="39">
        <f t="shared" si="33"/>
        <v>3.1824068747728762</v>
      </c>
      <c r="AA98" s="39">
        <f t="shared" si="27"/>
        <v>0.54576513909385227</v>
      </c>
      <c r="AB98" s="39">
        <f t="shared" si="28"/>
        <v>-0.8372403694897691</v>
      </c>
      <c r="AC98" s="39">
        <f t="shared" si="29"/>
        <v>-3.4190300474009082E-2</v>
      </c>
      <c r="AD98" s="17"/>
      <c r="AE98" s="72" t="s">
        <v>135</v>
      </c>
      <c r="AF98" s="72" t="s">
        <v>0</v>
      </c>
      <c r="AG98" s="72" t="s">
        <v>77</v>
      </c>
      <c r="AH98" s="72" t="s">
        <v>0</v>
      </c>
      <c r="AI98" s="71">
        <f>AI95+22.2</f>
        <v>3372.2</v>
      </c>
      <c r="AJ98" s="72" t="s">
        <v>0</v>
      </c>
      <c r="AK98" s="72">
        <v>5</v>
      </c>
      <c r="AL98" s="72" t="s">
        <v>0</v>
      </c>
      <c r="AM98" s="72">
        <v>318.3</v>
      </c>
      <c r="AN98" s="72" t="s">
        <v>0</v>
      </c>
      <c r="AO98" s="72">
        <v>59.7</v>
      </c>
      <c r="AP98" s="72" t="s">
        <v>0</v>
      </c>
      <c r="AQ98" s="72">
        <v>295.7</v>
      </c>
      <c r="AR98" s="72" t="s">
        <v>0</v>
      </c>
      <c r="AS98" s="72">
        <v>38.6</v>
      </c>
      <c r="AT98" s="72" t="s">
        <v>0</v>
      </c>
      <c r="AU98" s="72">
        <v>6.4</v>
      </c>
      <c r="AV98" s="72" t="s">
        <v>0</v>
      </c>
      <c r="AW98" s="72">
        <v>142</v>
      </c>
      <c r="AX98" s="72" t="s">
        <v>0</v>
      </c>
      <c r="AY98" s="72" t="s">
        <v>2</v>
      </c>
      <c r="AZ98" s="72" t="s">
        <v>0</v>
      </c>
      <c r="BA98" s="72" t="s">
        <v>90</v>
      </c>
      <c r="BB98" s="72" t="s">
        <v>0</v>
      </c>
      <c r="BC98" s="72" t="s">
        <v>78</v>
      </c>
      <c r="BD98" s="1"/>
      <c r="BE98" s="72" t="s">
        <v>116</v>
      </c>
      <c r="BF98" s="75">
        <v>47.046826927445501</v>
      </c>
      <c r="BG98" s="75">
        <v>-84.775737416642698</v>
      </c>
      <c r="BH98" s="1"/>
    </row>
    <row r="99" spans="1:60" s="7" customFormat="1" ht="15">
      <c r="A99" s="72" t="s">
        <v>106</v>
      </c>
      <c r="B99" s="72" t="s">
        <v>117</v>
      </c>
      <c r="C99" s="73">
        <v>290.39999999999998</v>
      </c>
      <c r="D99" s="73">
        <v>34.6</v>
      </c>
      <c r="E99" s="73">
        <v>2.8</v>
      </c>
      <c r="F99" s="72">
        <v>0</v>
      </c>
      <c r="G99" s="72">
        <v>8</v>
      </c>
      <c r="H99" s="38">
        <f t="shared" si="19"/>
        <v>19.030691231120834</v>
      </c>
      <c r="I99" s="39">
        <f t="shared" si="32"/>
        <v>5.0684361477915321</v>
      </c>
      <c r="J99" s="39">
        <f t="shared" si="32"/>
        <v>0.60388392119003798</v>
      </c>
      <c r="K99" s="39">
        <f t="shared" si="20"/>
        <v>0</v>
      </c>
      <c r="L99" s="39">
        <f t="shared" si="21"/>
        <v>0</v>
      </c>
      <c r="M99" s="39">
        <f t="shared" si="22"/>
        <v>0</v>
      </c>
      <c r="N99" s="17"/>
      <c r="O99" s="8">
        <v>47.043143000000001</v>
      </c>
      <c r="P99" s="8">
        <v>-84.780271999999997</v>
      </c>
      <c r="Q99" s="16"/>
      <c r="R99" s="41">
        <f t="shared" si="30"/>
        <v>-88.773996633206863</v>
      </c>
      <c r="S99" s="42">
        <f t="shared" si="23"/>
        <v>-1.2921944350453463E-2</v>
      </c>
      <c r="T99" s="37"/>
      <c r="U99" s="43">
        <f t="shared" si="31"/>
        <v>27.593413397753835</v>
      </c>
      <c r="V99" s="44">
        <f t="shared" si="24"/>
        <v>183.99372463320685</v>
      </c>
      <c r="W99" s="43">
        <f t="shared" si="25"/>
        <v>27.593413397753835</v>
      </c>
      <c r="X99" s="43">
        <f t="shared" si="26"/>
        <v>183.99372463320685</v>
      </c>
      <c r="Y99" s="39">
        <f t="shared" si="33"/>
        <v>0.48159591565472015</v>
      </c>
      <c r="Z99" s="39">
        <f t="shared" si="33"/>
        <v>3.2112962978572557</v>
      </c>
      <c r="AA99" s="39" t="str">
        <f t="shared" si="27"/>
        <v/>
      </c>
      <c r="AB99" s="39" t="str">
        <f t="shared" si="28"/>
        <v/>
      </c>
      <c r="AC99" s="39" t="str">
        <f t="shared" si="29"/>
        <v/>
      </c>
      <c r="AD99" s="17"/>
      <c r="AE99" s="72" t="s">
        <v>106</v>
      </c>
      <c r="AF99" s="72" t="s">
        <v>0</v>
      </c>
      <c r="AG99" s="72" t="s">
        <v>117</v>
      </c>
      <c r="AH99" s="72" t="s">
        <v>0</v>
      </c>
      <c r="AI99" s="71">
        <f>3632+2.6</f>
        <v>3634.6</v>
      </c>
      <c r="AJ99" s="72" t="s">
        <v>0</v>
      </c>
      <c r="AK99" s="72">
        <v>8</v>
      </c>
      <c r="AL99" s="72" t="s">
        <v>0</v>
      </c>
      <c r="AM99" s="72">
        <v>322</v>
      </c>
      <c r="AN99" s="72" t="s">
        <v>0</v>
      </c>
      <c r="AO99" s="72">
        <v>59.4</v>
      </c>
      <c r="AP99" s="72" t="s">
        <v>0</v>
      </c>
      <c r="AQ99" s="72">
        <v>290.5</v>
      </c>
      <c r="AR99" s="72" t="s">
        <v>0</v>
      </c>
      <c r="AS99" s="72">
        <v>34.6</v>
      </c>
      <c r="AT99" s="72" t="s">
        <v>0</v>
      </c>
      <c r="AU99" s="72">
        <v>2.8</v>
      </c>
      <c r="AV99" s="72" t="s">
        <v>0</v>
      </c>
      <c r="AW99" s="72">
        <v>335</v>
      </c>
      <c r="AX99" s="72" t="s">
        <v>0</v>
      </c>
      <c r="AY99" s="72" t="s">
        <v>2</v>
      </c>
      <c r="AZ99" s="72" t="s">
        <v>0</v>
      </c>
      <c r="BA99" s="72" t="s">
        <v>100</v>
      </c>
      <c r="BB99" s="72" t="s">
        <v>0</v>
      </c>
      <c r="BC99" s="72" t="s">
        <v>92</v>
      </c>
      <c r="BD99" s="1"/>
      <c r="BE99" s="72" t="s">
        <v>116</v>
      </c>
      <c r="BF99" s="75">
        <v>47.043143000000001</v>
      </c>
      <c r="BG99" s="75">
        <v>-84.780271999999997</v>
      </c>
      <c r="BH99" s="1"/>
    </row>
    <row r="100" spans="1:60" ht="15">
      <c r="A100" s="72" t="s">
        <v>106</v>
      </c>
      <c r="B100" s="72" t="s">
        <v>118</v>
      </c>
      <c r="C100" s="73">
        <v>289.60000000000002</v>
      </c>
      <c r="D100" s="73">
        <v>33.299999999999997</v>
      </c>
      <c r="E100" s="73">
        <v>2.4</v>
      </c>
      <c r="F100" s="72">
        <v>0</v>
      </c>
      <c r="G100" s="72">
        <v>6</v>
      </c>
      <c r="H100" s="38">
        <f t="shared" si="19"/>
        <v>18.182177058084555</v>
      </c>
      <c r="I100" s="39">
        <f t="shared" si="32"/>
        <v>5.0544735137755783</v>
      </c>
      <c r="J100" s="39">
        <f t="shared" si="32"/>
        <v>0.58119464091411166</v>
      </c>
      <c r="K100" s="39">
        <f t="shared" si="20"/>
        <v>0</v>
      </c>
      <c r="L100" s="39">
        <f t="shared" si="21"/>
        <v>0</v>
      </c>
      <c r="M100" s="39">
        <f t="shared" si="22"/>
        <v>0</v>
      </c>
      <c r="O100" s="8">
        <v>47.043216000000001</v>
      </c>
      <c r="P100" s="8">
        <v>-84.780893000000006</v>
      </c>
      <c r="Q100" s="16"/>
      <c r="R100" s="41">
        <f t="shared" si="30"/>
        <v>-88.680875593161829</v>
      </c>
      <c r="S100" s="42">
        <f t="shared" si="23"/>
        <v>-1.4044434799161176E-2</v>
      </c>
      <c r="T100" s="37"/>
      <c r="U100" s="43">
        <f t="shared" si="31"/>
        <v>26.458540766811623</v>
      </c>
      <c r="V100" s="44">
        <f t="shared" si="24"/>
        <v>183.89998259316184</v>
      </c>
      <c r="W100" s="43">
        <f t="shared" si="25"/>
        <v>26.458540766811623</v>
      </c>
      <c r="X100" s="43">
        <f t="shared" si="26"/>
        <v>183.89998259316184</v>
      </c>
      <c r="Y100" s="39">
        <f t="shared" si="33"/>
        <v>0.46178865165400806</v>
      </c>
      <c r="Z100" s="39">
        <f t="shared" si="33"/>
        <v>3.2096601906109337</v>
      </c>
      <c r="AA100" s="39" t="str">
        <f t="shared" si="27"/>
        <v/>
      </c>
      <c r="AB100" s="39" t="str">
        <f t="shared" si="28"/>
        <v/>
      </c>
      <c r="AC100" s="39" t="str">
        <f t="shared" si="29"/>
        <v/>
      </c>
      <c r="AE100" s="72" t="s">
        <v>106</v>
      </c>
      <c r="AF100" s="72" t="s">
        <v>0</v>
      </c>
      <c r="AG100" s="72" t="s">
        <v>118</v>
      </c>
      <c r="AH100" s="72" t="s">
        <v>0</v>
      </c>
      <c r="AI100" s="71">
        <f>3632+26.7</f>
        <v>3658.7</v>
      </c>
      <c r="AJ100" s="72" t="s">
        <v>0</v>
      </c>
      <c r="AK100" s="72">
        <v>6</v>
      </c>
      <c r="AL100" s="72" t="s">
        <v>0</v>
      </c>
      <c r="AM100" s="72">
        <v>319.2</v>
      </c>
      <c r="AN100" s="72" t="s">
        <v>0</v>
      </c>
      <c r="AO100" s="72">
        <v>58.7</v>
      </c>
      <c r="AP100" s="72" t="s">
        <v>0</v>
      </c>
      <c r="AQ100" s="72">
        <v>289.60000000000002</v>
      </c>
      <c r="AR100" s="72" t="s">
        <v>0</v>
      </c>
      <c r="AS100" s="72">
        <v>33.200000000000003</v>
      </c>
      <c r="AT100" s="72" t="s">
        <v>0</v>
      </c>
      <c r="AU100" s="72">
        <v>2.4</v>
      </c>
      <c r="AV100" s="72" t="s">
        <v>0</v>
      </c>
      <c r="AW100" s="72">
        <v>678</v>
      </c>
      <c r="AX100" s="72" t="s">
        <v>0</v>
      </c>
      <c r="AY100" s="72" t="s">
        <v>2</v>
      </c>
      <c r="AZ100" s="72" t="s">
        <v>0</v>
      </c>
      <c r="BA100" s="72" t="s">
        <v>100</v>
      </c>
      <c r="BB100" s="72" t="s">
        <v>0</v>
      </c>
      <c r="BC100" s="72" t="s">
        <v>92</v>
      </c>
      <c r="BD100" s="1"/>
      <c r="BE100" s="72" t="s">
        <v>116</v>
      </c>
      <c r="BF100" s="75">
        <v>47.043216000000001</v>
      </c>
      <c r="BG100" s="75">
        <v>-84.780893000000006</v>
      </c>
      <c r="BH100" s="1"/>
    </row>
    <row r="101" spans="1:60" ht="15">
      <c r="A101" s="72" t="s">
        <v>106</v>
      </c>
      <c r="B101" s="72" t="s">
        <v>119</v>
      </c>
      <c r="C101" s="73">
        <v>290.3</v>
      </c>
      <c r="D101" s="73">
        <v>32.9</v>
      </c>
      <c r="E101" s="73">
        <v>1.9</v>
      </c>
      <c r="F101" s="72">
        <v>0</v>
      </c>
      <c r="G101" s="72">
        <v>6</v>
      </c>
      <c r="H101" s="38">
        <f t="shared" si="19"/>
        <v>17.924553259236955</v>
      </c>
      <c r="I101" s="39">
        <f t="shared" si="32"/>
        <v>5.0666908185395387</v>
      </c>
      <c r="J101" s="39">
        <f t="shared" si="32"/>
        <v>0.57421332390613444</v>
      </c>
      <c r="K101" s="39">
        <f t="shared" si="20"/>
        <v>0</v>
      </c>
      <c r="L101" s="39">
        <f t="shared" si="21"/>
        <v>0</v>
      </c>
      <c r="M101" s="39">
        <f t="shared" si="22"/>
        <v>0</v>
      </c>
      <c r="O101" s="8">
        <v>47.042980999999997</v>
      </c>
      <c r="P101" s="8">
        <v>-84.781063000000003</v>
      </c>
      <c r="Q101" s="16"/>
      <c r="R101" s="41">
        <f t="shared" si="30"/>
        <v>-87.95524278780475</v>
      </c>
      <c r="S101" s="42">
        <f t="shared" si="23"/>
        <v>-2.1711027688151308E-2</v>
      </c>
      <c r="T101" s="37"/>
      <c r="U101" s="43">
        <f t="shared" si="31"/>
        <v>26.755616863562118</v>
      </c>
      <c r="V101" s="44">
        <f t="shared" si="24"/>
        <v>183.17417978780475</v>
      </c>
      <c r="W101" s="43">
        <f t="shared" si="25"/>
        <v>26.755616863562118</v>
      </c>
      <c r="X101" s="43">
        <f t="shared" si="26"/>
        <v>183.17417978780475</v>
      </c>
      <c r="Y101" s="39">
        <f t="shared" si="33"/>
        <v>0.46697360767127744</v>
      </c>
      <c r="Z101" s="39">
        <f t="shared" si="33"/>
        <v>3.1969925419372411</v>
      </c>
      <c r="AA101" s="39" t="str">
        <f t="shared" si="27"/>
        <v/>
      </c>
      <c r="AB101" s="39" t="str">
        <f t="shared" si="28"/>
        <v/>
      </c>
      <c r="AC101" s="39" t="str">
        <f t="shared" si="29"/>
        <v/>
      </c>
      <c r="AE101" s="72" t="s">
        <v>106</v>
      </c>
      <c r="AF101" s="72" t="s">
        <v>0</v>
      </c>
      <c r="AG101" s="72" t="s">
        <v>119</v>
      </c>
      <c r="AH101" s="72" t="s">
        <v>0</v>
      </c>
      <c r="AI101" s="71">
        <f>3632+39</f>
        <v>3671</v>
      </c>
      <c r="AJ101" s="72" t="s">
        <v>0</v>
      </c>
      <c r="AK101" s="72">
        <v>6</v>
      </c>
      <c r="AL101" s="72" t="s">
        <v>0</v>
      </c>
      <c r="AM101" s="72">
        <v>319.7</v>
      </c>
      <c r="AN101" s="72" t="s">
        <v>0</v>
      </c>
      <c r="AO101" s="72">
        <v>58.1</v>
      </c>
      <c r="AP101" s="72" t="s">
        <v>0</v>
      </c>
      <c r="AQ101" s="72">
        <v>290.3</v>
      </c>
      <c r="AR101" s="72" t="s">
        <v>0</v>
      </c>
      <c r="AS101" s="72">
        <v>32.9</v>
      </c>
      <c r="AT101" s="72" t="s">
        <v>0</v>
      </c>
      <c r="AU101" s="72">
        <v>1.9</v>
      </c>
      <c r="AV101" s="72" t="s">
        <v>0</v>
      </c>
      <c r="AW101" s="72">
        <v>1027</v>
      </c>
      <c r="AX101" s="72" t="s">
        <v>0</v>
      </c>
      <c r="AY101" s="72" t="s">
        <v>2</v>
      </c>
      <c r="AZ101" s="72" t="s">
        <v>0</v>
      </c>
      <c r="BA101" s="72" t="s">
        <v>100</v>
      </c>
      <c r="BB101" s="72" t="s">
        <v>0</v>
      </c>
      <c r="BC101" s="72" t="s">
        <v>92</v>
      </c>
      <c r="BD101" s="1"/>
      <c r="BE101" s="72" t="s">
        <v>116</v>
      </c>
      <c r="BF101" s="75">
        <v>47.042980999999997</v>
      </c>
      <c r="BG101" s="75">
        <v>-84.781063000000003</v>
      </c>
      <c r="BH101" s="1"/>
    </row>
    <row r="102" spans="1:60" ht="15">
      <c r="A102" s="72" t="s">
        <v>106</v>
      </c>
      <c r="B102" s="72" t="s">
        <v>120</v>
      </c>
      <c r="C102" s="73">
        <v>294.60000000000002</v>
      </c>
      <c r="D102" s="73">
        <v>40.799999999999997</v>
      </c>
      <c r="E102" s="73">
        <v>5.6</v>
      </c>
      <c r="F102" s="72">
        <v>0</v>
      </c>
      <c r="G102" s="72">
        <v>6</v>
      </c>
      <c r="H102" s="38">
        <f t="shared" si="19"/>
        <v>23.344468609572811</v>
      </c>
      <c r="I102" s="39">
        <f t="shared" si="32"/>
        <v>5.1417399763752956</v>
      </c>
      <c r="J102" s="39">
        <f t="shared" si="32"/>
        <v>0.71209433481368634</v>
      </c>
      <c r="K102" s="39">
        <f t="shared" si="20"/>
        <v>0</v>
      </c>
      <c r="L102" s="39">
        <f t="shared" si="21"/>
        <v>0</v>
      </c>
      <c r="M102" s="39">
        <f t="shared" si="22"/>
        <v>0</v>
      </c>
      <c r="O102" s="8">
        <v>47.042980999999997</v>
      </c>
      <c r="P102" s="8">
        <v>-84.781195999999994</v>
      </c>
      <c r="Q102" s="16"/>
      <c r="R102" s="41">
        <f t="shared" si="30"/>
        <v>-89.334862200150496</v>
      </c>
      <c r="S102" s="42">
        <f t="shared" si="23"/>
        <v>-6.6043087855450766E-3</v>
      </c>
      <c r="T102" s="37"/>
      <c r="U102" s="43">
        <f t="shared" si="31"/>
        <v>33.398581786462735</v>
      </c>
      <c r="V102" s="44">
        <f t="shared" si="24"/>
        <v>184.5536662001505</v>
      </c>
      <c r="W102" s="43">
        <f t="shared" si="25"/>
        <v>33.398581786462735</v>
      </c>
      <c r="X102" s="43">
        <f t="shared" si="26"/>
        <v>184.5536662001505</v>
      </c>
      <c r="Y102" s="39">
        <f t="shared" si="33"/>
        <v>0.58291521767038446</v>
      </c>
      <c r="Z102" s="39">
        <f t="shared" si="33"/>
        <v>3.2210691218191982</v>
      </c>
      <c r="AA102" s="39" t="str">
        <f t="shared" si="27"/>
        <v/>
      </c>
      <c r="AB102" s="39" t="str">
        <f t="shared" si="28"/>
        <v/>
      </c>
      <c r="AC102" s="39" t="str">
        <f t="shared" si="29"/>
        <v/>
      </c>
      <c r="AE102" s="72" t="s">
        <v>106</v>
      </c>
      <c r="AF102" s="72" t="s">
        <v>0</v>
      </c>
      <c r="AG102" s="72" t="s">
        <v>120</v>
      </c>
      <c r="AH102" s="72" t="s">
        <v>0</v>
      </c>
      <c r="AI102" s="71">
        <f>3632+44.5</f>
        <v>3676.5</v>
      </c>
      <c r="AJ102" s="72" t="s">
        <v>0</v>
      </c>
      <c r="AK102" s="72">
        <v>6</v>
      </c>
      <c r="AL102" s="72" t="s">
        <v>0</v>
      </c>
      <c r="AM102" s="72">
        <v>335.6</v>
      </c>
      <c r="AN102" s="72" t="s">
        <v>0</v>
      </c>
      <c r="AO102" s="72">
        <v>61.4</v>
      </c>
      <c r="AP102" s="72" t="s">
        <v>0</v>
      </c>
      <c r="AQ102" s="72">
        <v>294.60000000000002</v>
      </c>
      <c r="AR102" s="72" t="s">
        <v>0</v>
      </c>
      <c r="AS102" s="72">
        <v>40.799999999999997</v>
      </c>
      <c r="AT102" s="72" t="s">
        <v>0</v>
      </c>
      <c r="AU102" s="72">
        <v>5.6</v>
      </c>
      <c r="AV102" s="72" t="s">
        <v>0</v>
      </c>
      <c r="AW102" s="72">
        <v>122</v>
      </c>
      <c r="AX102" s="72" t="s">
        <v>0</v>
      </c>
      <c r="AY102" s="72" t="s">
        <v>2</v>
      </c>
      <c r="AZ102" s="72" t="s">
        <v>0</v>
      </c>
      <c r="BA102" s="72" t="s">
        <v>100</v>
      </c>
      <c r="BB102" s="72" t="s">
        <v>0</v>
      </c>
      <c r="BC102" s="72" t="s">
        <v>92</v>
      </c>
      <c r="BD102" s="1"/>
      <c r="BE102" s="72" t="s">
        <v>116</v>
      </c>
      <c r="BF102" s="75">
        <v>47.042980999999997</v>
      </c>
      <c r="BG102" s="75">
        <v>-84.781195999999994</v>
      </c>
      <c r="BH102" s="1"/>
    </row>
    <row r="103" spans="1:60" ht="15">
      <c r="A103" s="72" t="s">
        <v>106</v>
      </c>
      <c r="B103" s="72" t="s">
        <v>123</v>
      </c>
      <c r="C103" s="73">
        <v>277.60000000000002</v>
      </c>
      <c r="D103" s="73">
        <v>15.8</v>
      </c>
      <c r="E103" s="73">
        <v>6.7</v>
      </c>
      <c r="F103" s="72">
        <v>0</v>
      </c>
      <c r="G103" s="72">
        <v>8</v>
      </c>
      <c r="H103" s="38">
        <f t="shared" si="19"/>
        <v>8.0530834514245608</v>
      </c>
      <c r="I103" s="39">
        <f t="shared" si="32"/>
        <v>4.8450340035362593</v>
      </c>
      <c r="J103" s="39">
        <f t="shared" si="32"/>
        <v>0.27576202181510406</v>
      </c>
      <c r="K103" s="39">
        <f t="shared" si="20"/>
        <v>0</v>
      </c>
      <c r="L103" s="39">
        <f t="shared" si="21"/>
        <v>0</v>
      </c>
      <c r="M103" s="39">
        <f t="shared" si="22"/>
        <v>0</v>
      </c>
      <c r="O103" s="8">
        <v>47.042825000000001</v>
      </c>
      <c r="P103" s="8">
        <v>-84.781632999999999</v>
      </c>
      <c r="Q103" s="16"/>
      <c r="R103" s="41">
        <f t="shared" si="30"/>
        <v>-89.978154967821467</v>
      </c>
      <c r="S103" s="42">
        <f t="shared" si="23"/>
        <v>-2.5499354444172284E-4</v>
      </c>
      <c r="T103" s="37"/>
      <c r="U103" s="43">
        <f t="shared" si="31"/>
        <v>11.05578506034621</v>
      </c>
      <c r="V103" s="44">
        <f t="shared" si="24"/>
        <v>185.19652196782147</v>
      </c>
      <c r="W103" s="43">
        <f t="shared" si="25"/>
        <v>11.05578506034621</v>
      </c>
      <c r="X103" s="43">
        <f t="shared" si="26"/>
        <v>185.19652196782147</v>
      </c>
      <c r="Y103" s="39">
        <f t="shared" si="33"/>
        <v>0.19295985069584135</v>
      </c>
      <c r="Z103" s="39">
        <f t="shared" si="33"/>
        <v>3.2322890715804924</v>
      </c>
      <c r="AA103" s="39" t="str">
        <f t="shared" si="27"/>
        <v/>
      </c>
      <c r="AB103" s="39" t="str">
        <f t="shared" si="28"/>
        <v/>
      </c>
      <c r="AC103" s="39" t="str">
        <f t="shared" si="29"/>
        <v/>
      </c>
      <c r="AE103" s="72" t="s">
        <v>106</v>
      </c>
      <c r="AF103" s="72" t="s">
        <v>0</v>
      </c>
      <c r="AG103" s="72" t="s">
        <v>123</v>
      </c>
      <c r="AH103" s="72" t="s">
        <v>0</v>
      </c>
      <c r="AI103" s="71">
        <f>3632+73.6</f>
        <v>3705.6</v>
      </c>
      <c r="AJ103" s="72" t="s">
        <v>0</v>
      </c>
      <c r="AK103" s="72">
        <v>8</v>
      </c>
      <c r="AL103" s="72" t="s">
        <v>0</v>
      </c>
      <c r="AM103" s="72">
        <v>288.39999999999998</v>
      </c>
      <c r="AN103" s="72" t="s">
        <v>0</v>
      </c>
      <c r="AO103" s="72">
        <v>48.7</v>
      </c>
      <c r="AP103" s="72" t="s">
        <v>0</v>
      </c>
      <c r="AQ103" s="72">
        <v>277.60000000000002</v>
      </c>
      <c r="AR103" s="72" t="s">
        <v>0</v>
      </c>
      <c r="AS103" s="72">
        <v>15.8</v>
      </c>
      <c r="AT103" s="72" t="s">
        <v>0</v>
      </c>
      <c r="AU103" s="72">
        <v>6.7</v>
      </c>
      <c r="AV103" s="72" t="s">
        <v>0</v>
      </c>
      <c r="AW103" s="72">
        <v>60</v>
      </c>
      <c r="AX103" s="72" t="s">
        <v>0</v>
      </c>
      <c r="AY103" s="72" t="s">
        <v>2</v>
      </c>
      <c r="AZ103" s="72" t="s">
        <v>0</v>
      </c>
      <c r="BA103" s="72" t="s">
        <v>100</v>
      </c>
      <c r="BB103" s="72" t="s">
        <v>0</v>
      </c>
      <c r="BC103" s="72" t="s">
        <v>92</v>
      </c>
      <c r="BD103" s="1"/>
      <c r="BE103" s="72" t="s">
        <v>116</v>
      </c>
      <c r="BF103" s="75">
        <v>47.042825000000001</v>
      </c>
      <c r="BG103" s="75">
        <v>-84.781632999999999</v>
      </c>
      <c r="BH103" s="1"/>
    </row>
    <row r="104" spans="1:60" ht="15">
      <c r="A104" s="72" t="s">
        <v>106</v>
      </c>
      <c r="B104" s="72" t="s">
        <v>121</v>
      </c>
      <c r="C104" s="73">
        <v>279.10000000000002</v>
      </c>
      <c r="D104" s="73">
        <v>18.7</v>
      </c>
      <c r="E104" s="73">
        <v>14.1</v>
      </c>
      <c r="F104" s="72">
        <v>0</v>
      </c>
      <c r="G104" s="72">
        <v>6</v>
      </c>
      <c r="H104" s="38">
        <f t="shared" si="19"/>
        <v>9.6057552360181493</v>
      </c>
      <c r="I104" s="39">
        <f t="shared" si="32"/>
        <v>4.8712139423161744</v>
      </c>
      <c r="J104" s="39">
        <f t="shared" si="32"/>
        <v>0.32637657012293964</v>
      </c>
      <c r="K104" s="39">
        <f t="shared" si="20"/>
        <v>0</v>
      </c>
      <c r="L104" s="39">
        <f t="shared" si="21"/>
        <v>0</v>
      </c>
      <c r="M104" s="39">
        <f t="shared" si="22"/>
        <v>0</v>
      </c>
      <c r="O104" s="8">
        <v>47.042821000000004</v>
      </c>
      <c r="P104" s="8">
        <v>-84.782077999999998</v>
      </c>
      <c r="Q104" s="16"/>
      <c r="R104" s="41">
        <f t="shared" si="30"/>
        <v>-89.975585386518404</v>
      </c>
      <c r="S104" s="42">
        <f t="shared" si="23"/>
        <v>-2.8270222981918725E-4</v>
      </c>
      <c r="T104" s="37"/>
      <c r="U104" s="43">
        <f t="shared" si="31"/>
        <v>13.202323163779241</v>
      </c>
      <c r="V104" s="44">
        <f t="shared" si="24"/>
        <v>185.19350738651841</v>
      </c>
      <c r="W104" s="43">
        <f t="shared" si="25"/>
        <v>13.202323163779241</v>
      </c>
      <c r="X104" s="43">
        <f t="shared" si="26"/>
        <v>185.19350738651841</v>
      </c>
      <c r="Y104" s="39">
        <f t="shared" si="33"/>
        <v>0.23042400812026231</v>
      </c>
      <c r="Z104" s="39">
        <f t="shared" si="33"/>
        <v>3.2322364572111848</v>
      </c>
      <c r="AA104" s="39" t="str">
        <f t="shared" si="27"/>
        <v/>
      </c>
      <c r="AB104" s="39" t="str">
        <f t="shared" si="28"/>
        <v/>
      </c>
      <c r="AC104" s="39" t="str">
        <f t="shared" si="29"/>
        <v/>
      </c>
      <c r="AE104" s="72" t="s">
        <v>106</v>
      </c>
      <c r="AF104" s="72" t="s">
        <v>0</v>
      </c>
      <c r="AG104" s="72" t="s">
        <v>121</v>
      </c>
      <c r="AH104" s="72" t="s">
        <v>0</v>
      </c>
      <c r="AI104" s="71">
        <f>3632+96.4</f>
        <v>3728.4</v>
      </c>
      <c r="AJ104" s="72" t="s">
        <v>0</v>
      </c>
      <c r="AK104" s="72">
        <v>6</v>
      </c>
      <c r="AL104" s="72" t="s">
        <v>0</v>
      </c>
      <c r="AM104" s="72">
        <v>291.89999999999998</v>
      </c>
      <c r="AN104" s="72" t="s">
        <v>0</v>
      </c>
      <c r="AO104" s="72">
        <v>50.8</v>
      </c>
      <c r="AP104" s="72" t="s">
        <v>0</v>
      </c>
      <c r="AQ104" s="72">
        <v>279.10000000000002</v>
      </c>
      <c r="AR104" s="72" t="s">
        <v>0</v>
      </c>
      <c r="AS104" s="72">
        <v>18.7</v>
      </c>
      <c r="AT104" s="72" t="s">
        <v>0</v>
      </c>
      <c r="AU104" s="72">
        <v>14.1</v>
      </c>
      <c r="AV104" s="72" t="s">
        <v>0</v>
      </c>
      <c r="AW104" s="72">
        <v>20</v>
      </c>
      <c r="AX104" s="72" t="s">
        <v>0</v>
      </c>
      <c r="AY104" s="72" t="s">
        <v>2</v>
      </c>
      <c r="AZ104" s="72" t="s">
        <v>0</v>
      </c>
      <c r="BA104" s="72" t="s">
        <v>100</v>
      </c>
      <c r="BB104" s="72" t="s">
        <v>0</v>
      </c>
      <c r="BC104" s="72" t="s">
        <v>92</v>
      </c>
      <c r="BD104" s="1"/>
      <c r="BE104" s="72" t="s">
        <v>116</v>
      </c>
      <c r="BF104" s="75">
        <v>47.042821000000004</v>
      </c>
      <c r="BG104" s="75">
        <v>-84.782077999999998</v>
      </c>
      <c r="BH104" s="1"/>
    </row>
    <row r="105" spans="1:60" ht="15">
      <c r="A105" s="72" t="s">
        <v>106</v>
      </c>
      <c r="B105" s="72" t="s">
        <v>122</v>
      </c>
      <c r="C105" s="73">
        <v>280.89999999999998</v>
      </c>
      <c r="D105" s="73">
        <v>7.2</v>
      </c>
      <c r="E105" s="73">
        <v>7.9</v>
      </c>
      <c r="F105" s="72">
        <v>0</v>
      </c>
      <c r="G105" s="72">
        <v>8</v>
      </c>
      <c r="H105" s="38">
        <f t="shared" ref="H105" si="34">ATAN(0.5*TAN(J105))/(PI()/180)</f>
        <v>3.6142685005234547</v>
      </c>
      <c r="I105" s="39">
        <f t="shared" ref="I105" si="35">C105*PI()/180</f>
        <v>4.9026298688520713</v>
      </c>
      <c r="J105" s="39">
        <f t="shared" ref="J105" si="36">D105*PI()/180</f>
        <v>0.12566370614359174</v>
      </c>
      <c r="K105" s="39">
        <f>COS(I105)*COS(J105)*F105</f>
        <v>0</v>
      </c>
      <c r="L105" s="39">
        <f t="shared" ref="L105" si="37">COS(J105)*SIN(I105)*F105</f>
        <v>0</v>
      </c>
      <c r="M105" s="39">
        <f t="shared" ref="M105" si="38">-1*SIN(J105)*F105</f>
        <v>0</v>
      </c>
      <c r="O105" s="8">
        <v>47.042791000000001</v>
      </c>
      <c r="P105" s="8">
        <v>-84.782240000000002</v>
      </c>
      <c r="R105" s="41">
        <f t="shared" ref="R105" si="39">ASIN(SIN(I105)*SIN((PI()/180)*(90-H105))/SIN((PI()/180)*(90-U105)))/(PI()/180)</f>
        <v>-84.453964200994349</v>
      </c>
      <c r="S105" s="42">
        <f t="shared" ref="S105" si="40">COS((PI()/180)*(90-H105))-SIN((PI()/180)*U105)*SIN((PI()/180)*O105)</f>
        <v>-6.4846004787289996E-2</v>
      </c>
      <c r="T105" s="37"/>
      <c r="U105" s="43">
        <f t="shared" ref="U105" si="41">90-ACOS(COS((PI()/180)*(90-O105))*COS((PI()/180)*(90-H105))+SIN((PI()/180)*(90-O105))*SIN((PI()/180)*(90-H105))*COS(I105))/(PI()/180)</f>
        <v>10.063476386963814</v>
      </c>
      <c r="V105" s="44">
        <f t="shared" ref="V105" si="42">IF(S105&lt;0,P105+180-R105,P105+R105)</f>
        <v>179.67172420099433</v>
      </c>
      <c r="W105" s="43">
        <f t="shared" ref="W105" si="43">IF(U105&lt;0, -1*U105, U105)</f>
        <v>10.063476386963814</v>
      </c>
      <c r="X105" s="43">
        <f t="shared" ref="X105" si="44">IF(U105&lt;0, MOD(V105+180, 360), V105)</f>
        <v>179.67172420099433</v>
      </c>
      <c r="Y105" s="39">
        <f t="shared" ref="Y105" si="45">W105*PI()/180</f>
        <v>0.17564079714922151</v>
      </c>
      <c r="Z105" s="39">
        <f t="shared" ref="Z105" si="46">X105*PI()/180</f>
        <v>3.1358631600425286</v>
      </c>
      <c r="AA105" s="39" t="str">
        <f t="shared" ref="AA105" si="47">IF(F105&gt;0,F105*SIN(Y105),"")</f>
        <v/>
      </c>
      <c r="AB105" s="39" t="str">
        <f t="shared" ref="AB105" si="48">IF(F105&gt;0,F105*COS(Y105)*COS(Z105),"")</f>
        <v/>
      </c>
      <c r="AC105" s="39" t="str">
        <f t="shared" ref="AC105" si="49">IF(F105&gt;0,F105*COS(Y105)*SIN(Z105),"")</f>
        <v/>
      </c>
      <c r="AE105" s="72" t="s">
        <v>106</v>
      </c>
      <c r="AF105" s="72" t="s">
        <v>0</v>
      </c>
      <c r="AG105" s="72" t="s">
        <v>122</v>
      </c>
      <c r="AH105" s="72" t="s">
        <v>0</v>
      </c>
      <c r="AI105" s="71">
        <f>3632+102.1</f>
        <v>3734.1</v>
      </c>
      <c r="AJ105" s="72" t="s">
        <v>0</v>
      </c>
      <c r="AK105" s="72">
        <v>8</v>
      </c>
      <c r="AL105" s="72" t="s">
        <v>0</v>
      </c>
      <c r="AM105" s="72">
        <v>288.7</v>
      </c>
      <c r="AN105" s="72" t="s">
        <v>0</v>
      </c>
      <c r="AO105" s="72">
        <v>39.5</v>
      </c>
      <c r="AP105" s="72" t="s">
        <v>0</v>
      </c>
      <c r="AQ105" s="72">
        <v>280.89999999999998</v>
      </c>
      <c r="AR105" s="72" t="s">
        <v>0</v>
      </c>
      <c r="AS105" s="72">
        <v>7.2</v>
      </c>
      <c r="AT105" s="72" t="s">
        <v>0</v>
      </c>
      <c r="AU105" s="72">
        <v>7.9</v>
      </c>
      <c r="AV105" s="72" t="s">
        <v>0</v>
      </c>
      <c r="AW105" s="72">
        <v>44</v>
      </c>
      <c r="AX105" s="72" t="s">
        <v>0</v>
      </c>
      <c r="AY105" s="72" t="s">
        <v>2</v>
      </c>
      <c r="AZ105" s="72" t="s">
        <v>0</v>
      </c>
      <c r="BA105" s="72" t="s">
        <v>100</v>
      </c>
      <c r="BB105" s="72" t="s">
        <v>0</v>
      </c>
      <c r="BC105" s="72" t="s">
        <v>92</v>
      </c>
      <c r="BD105" s="1"/>
      <c r="BE105" s="72" t="s">
        <v>116</v>
      </c>
      <c r="BF105" s="75">
        <v>47.042791000000001</v>
      </c>
      <c r="BG105" s="75">
        <v>-84.782240000000002</v>
      </c>
      <c r="BH105" s="1"/>
    </row>
    <row r="106" spans="1:60" ht="15" thickBot="1">
      <c r="A106" s="72"/>
      <c r="B106" s="72"/>
      <c r="C106" s="72"/>
      <c r="D106" s="72"/>
      <c r="E106" s="72"/>
      <c r="G106" s="72"/>
      <c r="O106" s="8"/>
      <c r="P106" s="8"/>
    </row>
    <row r="107" spans="1:60" ht="16" thickTop="1" thickBot="1">
      <c r="B107" s="21" t="s">
        <v>178</v>
      </c>
      <c r="C107" s="51">
        <f>IF(I107&gt;0, I107*180/PI(),360+I107*180/PI())</f>
        <v>295.73033881686808</v>
      </c>
      <c r="D107" s="52">
        <f>J107*180/PI()</f>
        <v>39.588228484996627</v>
      </c>
      <c r="I107" s="54">
        <f>IF(K107&gt;0, ATAN(L107/K107),PI()+ATAN(L107/K107))</f>
        <v>-1.1217171967868464</v>
      </c>
      <c r="J107" s="54">
        <f>-1*ATAN(M107/(SQRT(K107*K107+L107*L107)))</f>
        <v>0.69094493209499774</v>
      </c>
      <c r="K107" s="54">
        <f>SUM(K7:K105)</f>
        <v>8.9762646520098208</v>
      </c>
      <c r="L107" s="54">
        <f>SUM(L7:L105)</f>
        <v>-18.626054031213041</v>
      </c>
      <c r="M107" s="54">
        <f>SUM(M7:M105)</f>
        <v>-17.097645645177426</v>
      </c>
      <c r="W107" s="56">
        <f>Y107*180/PI()</f>
        <v>33.743480967117527</v>
      </c>
      <c r="X107" s="57">
        <f>MOD(Z107*180/PI(), 360)</f>
        <v>183.06189649643858</v>
      </c>
      <c r="Y107" s="54">
        <f>ATAN(AA107/(SQRT(AB107*AB107+AC107*AC107)))</f>
        <v>0.58893484396024132</v>
      </c>
      <c r="Z107" s="54">
        <f>IF(AB107&gt;0, ATAN(AC107/AB107),PI()+ATAN(AC107/AB107))</f>
        <v>3.1950328288079248</v>
      </c>
      <c r="AA107" s="54">
        <f>SUM(AA7:AA105)</f>
        <v>14.923558440387602</v>
      </c>
      <c r="AB107" s="54">
        <f t="shared" ref="AB107:AC107" si="50">SUM(AB7:AB105)</f>
        <v>-22.308293122864953</v>
      </c>
      <c r="AC107" s="54">
        <f t="shared" si="50"/>
        <v>-1.1932952679935807</v>
      </c>
    </row>
    <row r="108" spans="1:60" ht="15" thickTop="1">
      <c r="C108" s="58" t="s">
        <v>159</v>
      </c>
      <c r="D108" s="59">
        <f>SQRT(K107*K107+L107*L107+M107*M107)</f>
        <v>26.829698143748153</v>
      </c>
      <c r="N108" s="14"/>
      <c r="W108" s="58" t="s">
        <v>159</v>
      </c>
      <c r="X108" s="60">
        <f>SQRT(AA107*AA107+AB107*AB107+AC107*AC107)</f>
        <v>26.866270529717063</v>
      </c>
    </row>
    <row r="109" spans="1:60">
      <c r="C109" s="61" t="s">
        <v>161</v>
      </c>
      <c r="D109" s="62">
        <f>(D111-1)/(D111-D108)</f>
        <v>152.67009163746613</v>
      </c>
      <c r="G109" s="14"/>
      <c r="H109" s="14"/>
      <c r="N109" s="14"/>
      <c r="W109" s="61" t="s">
        <v>162</v>
      </c>
      <c r="X109" s="63">
        <f>(X111-1)/(X111-X108)</f>
        <v>194.42236587784845</v>
      </c>
    </row>
    <row r="110" spans="1:60">
      <c r="C110" s="61" t="s">
        <v>163</v>
      </c>
      <c r="D110" s="64">
        <f>ACOS(1+(D111-1)*(1-20^(1/(D111-1)))/(D111*(D109-1)+1))*180/PI()</f>
        <v>2.2561206363036659</v>
      </c>
      <c r="G110" s="14"/>
      <c r="H110" s="14"/>
      <c r="N110" s="14"/>
      <c r="W110" s="61" t="s">
        <v>164</v>
      </c>
      <c r="X110" s="63">
        <f>ACOS(1+(X111-1)*(1-20^(1/(X111-1)))/(X111*(X109-1)+1))*180/PI()</f>
        <v>1.9978567007859112</v>
      </c>
    </row>
    <row r="111" spans="1:60">
      <c r="C111" s="65" t="s">
        <v>179</v>
      </c>
      <c r="D111" s="66">
        <f>SUM(F7:F105)</f>
        <v>27</v>
      </c>
      <c r="N111" s="14"/>
      <c r="W111" s="67" t="s">
        <v>160</v>
      </c>
      <c r="X111" s="68">
        <f>D111</f>
        <v>27</v>
      </c>
    </row>
    <row r="112" spans="1:60">
      <c r="N112" s="14"/>
    </row>
    <row r="113" spans="1:45">
      <c r="B113" s="54" t="s">
        <v>180</v>
      </c>
      <c r="C113" s="69"/>
      <c r="D113" s="70"/>
    </row>
    <row r="114" spans="1:45" s="7" customFormat="1">
      <c r="A114" s="2"/>
      <c r="B114" s="17" t="s">
        <v>181</v>
      </c>
      <c r="C114" s="50"/>
      <c r="D114" s="24"/>
      <c r="E114" s="53"/>
      <c r="F114" s="17"/>
      <c r="G114" s="17"/>
      <c r="H114" s="17"/>
      <c r="I114" s="17"/>
      <c r="J114" s="17"/>
      <c r="K114" s="17"/>
      <c r="L114" s="17"/>
      <c r="M114" s="17"/>
      <c r="N114" s="17"/>
      <c r="O114" s="55"/>
      <c r="P114" s="55"/>
      <c r="Q114" s="47"/>
      <c r="R114" s="47"/>
      <c r="S114" s="47"/>
      <c r="T114" s="17"/>
      <c r="U114" s="24"/>
      <c r="V114" s="50"/>
      <c r="W114" s="24"/>
      <c r="X114" s="50"/>
      <c r="Y114" s="17"/>
      <c r="Z114" s="17"/>
      <c r="AA114" s="17"/>
      <c r="AB114" s="17"/>
      <c r="AC114" s="17"/>
      <c r="AD114" s="17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workbookViewId="0">
      <selection activeCell="I2" sqref="I2:I100"/>
    </sheetView>
  </sheetViews>
  <sheetFormatPr baseColWidth="10" defaultRowHeight="15" x14ac:dyDescent="0"/>
  <cols>
    <col min="1" max="2" width="10.83203125" style="72"/>
    <col min="3" max="3" width="10.83203125" style="71"/>
    <col min="4" max="4" width="14.33203125" style="117" bestFit="1" customWidth="1"/>
    <col min="5" max="5" width="14.5" style="117" bestFit="1" customWidth="1"/>
    <col min="6" max="6" width="4.6640625" style="72" customWidth="1"/>
    <col min="7" max="11" width="10.83203125" style="73"/>
    <col min="12" max="13" width="10.83203125" style="72"/>
  </cols>
  <sheetData>
    <row r="1" spans="1:13">
      <c r="A1" s="72" t="s">
        <v>124</v>
      </c>
      <c r="B1" s="72" t="s">
        <v>79</v>
      </c>
      <c r="C1" s="71" t="s">
        <v>80</v>
      </c>
      <c r="D1" s="117" t="s">
        <v>167</v>
      </c>
      <c r="E1" s="117" t="s">
        <v>168</v>
      </c>
      <c r="F1" s="72" t="s">
        <v>81</v>
      </c>
      <c r="G1" s="73" t="s">
        <v>82</v>
      </c>
      <c r="H1" s="73" t="s">
        <v>83</v>
      </c>
      <c r="I1" s="73" t="s">
        <v>84</v>
      </c>
      <c r="J1" s="73" t="s">
        <v>85</v>
      </c>
      <c r="K1" s="73" t="s">
        <v>86</v>
      </c>
      <c r="L1" s="72" t="s">
        <v>87</v>
      </c>
      <c r="M1" s="72" t="s">
        <v>88</v>
      </c>
    </row>
    <row r="2" spans="1:13">
      <c r="A2" s="72" t="s">
        <v>125</v>
      </c>
      <c r="B2" s="49" t="s">
        <v>1</v>
      </c>
      <c r="C2" s="71">
        <v>68.126200000000011</v>
      </c>
      <c r="D2" s="117">
        <v>47.0988032380737</v>
      </c>
      <c r="E2" s="117">
        <v>-84.712252949819799</v>
      </c>
      <c r="F2" s="72">
        <v>6</v>
      </c>
      <c r="G2" s="73">
        <v>203.2</v>
      </c>
      <c r="H2" s="73">
        <v>-50.3</v>
      </c>
      <c r="I2" s="73">
        <v>131.6</v>
      </c>
      <c r="J2" s="73">
        <v>-63.2</v>
      </c>
      <c r="K2" s="73">
        <v>9.1999999999999993</v>
      </c>
      <c r="L2" s="71">
        <v>54</v>
      </c>
      <c r="M2" s="72" t="s">
        <v>2</v>
      </c>
    </row>
    <row r="3" spans="1:13">
      <c r="A3" s="72" t="s">
        <v>125</v>
      </c>
      <c r="B3" s="49" t="s">
        <v>91</v>
      </c>
      <c r="C3" s="71">
        <f>C2+16</f>
        <v>84.126200000000011</v>
      </c>
      <c r="D3" s="117">
        <v>47.098654000000003</v>
      </c>
      <c r="E3" s="117">
        <v>-84.712383000000003</v>
      </c>
      <c r="F3" s="72">
        <v>3</v>
      </c>
      <c r="G3" s="73">
        <v>225</v>
      </c>
      <c r="H3" s="73">
        <v>-47.2</v>
      </c>
      <c r="I3" s="73">
        <v>146</v>
      </c>
      <c r="J3" s="73">
        <v>-77.2</v>
      </c>
      <c r="K3" s="73">
        <v>13.7</v>
      </c>
      <c r="L3" s="71">
        <v>54</v>
      </c>
      <c r="M3" s="72" t="s">
        <v>2</v>
      </c>
    </row>
    <row r="4" spans="1:13">
      <c r="A4" s="72" t="s">
        <v>125</v>
      </c>
      <c r="B4" s="49" t="s">
        <v>108</v>
      </c>
      <c r="C4" s="71">
        <f>C2+17</f>
        <v>85.126200000000011</v>
      </c>
      <c r="D4" s="117">
        <v>47.098618000000002</v>
      </c>
      <c r="E4" s="117">
        <v>-84.712419999999995</v>
      </c>
      <c r="F4" s="72">
        <v>5</v>
      </c>
      <c r="G4" s="73">
        <v>226.7</v>
      </c>
      <c r="H4" s="73">
        <v>-52.8</v>
      </c>
      <c r="I4" s="73">
        <v>120.3</v>
      </c>
      <c r="J4" s="73">
        <v>-77.5</v>
      </c>
      <c r="K4" s="73">
        <v>7.4</v>
      </c>
      <c r="L4" s="71">
        <v>87.5</v>
      </c>
      <c r="M4" s="72" t="s">
        <v>2</v>
      </c>
    </row>
    <row r="5" spans="1:13">
      <c r="A5" s="72" t="s">
        <v>125</v>
      </c>
      <c r="B5" s="49" t="s">
        <v>3</v>
      </c>
      <c r="C5" s="71">
        <v>88.826200000000014</v>
      </c>
      <c r="D5" s="117">
        <v>47.098592717409304</v>
      </c>
      <c r="E5" s="117">
        <v>-84.712525542127906</v>
      </c>
      <c r="F5" s="72">
        <v>4</v>
      </c>
      <c r="G5" s="73">
        <v>209.1</v>
      </c>
      <c r="H5" s="73">
        <v>-46.8</v>
      </c>
      <c r="I5" s="73">
        <v>141.5</v>
      </c>
      <c r="J5" s="73">
        <v>-66.400000000000006</v>
      </c>
      <c r="K5" s="73">
        <v>8.4</v>
      </c>
      <c r="L5" s="71">
        <v>120.7</v>
      </c>
      <c r="M5" s="72" t="s">
        <v>2</v>
      </c>
    </row>
    <row r="6" spans="1:13">
      <c r="A6" s="72" t="s">
        <v>125</v>
      </c>
      <c r="B6" s="49" t="s">
        <v>93</v>
      </c>
      <c r="C6" s="71">
        <f>C2+21</f>
        <v>89.126200000000011</v>
      </c>
      <c r="D6" s="117">
        <f>AVERAGE(D5,D7)</f>
        <v>47.098579757573702</v>
      </c>
      <c r="E6" s="117">
        <f>AVERAGE(E5,E7)</f>
        <v>-84.712552454480857</v>
      </c>
      <c r="F6" s="72">
        <v>6</v>
      </c>
      <c r="G6" s="73">
        <v>218.3</v>
      </c>
      <c r="H6" s="73">
        <v>-52.3</v>
      </c>
      <c r="I6" s="73">
        <v>126.6</v>
      </c>
      <c r="J6" s="73">
        <v>-72.7</v>
      </c>
      <c r="K6" s="73">
        <v>4.5</v>
      </c>
      <c r="L6" s="71">
        <v>189</v>
      </c>
      <c r="M6" s="72" t="s">
        <v>2</v>
      </c>
    </row>
    <row r="7" spans="1:13">
      <c r="A7" s="72" t="s">
        <v>125</v>
      </c>
      <c r="B7" s="49" t="s">
        <v>4</v>
      </c>
      <c r="C7" s="71">
        <v>90.426200000000009</v>
      </c>
      <c r="D7" s="117">
        <v>47.098566797738101</v>
      </c>
      <c r="E7" s="117">
        <v>-84.712579366833793</v>
      </c>
      <c r="F7" s="72">
        <v>4</v>
      </c>
      <c r="G7" s="73">
        <v>219.1</v>
      </c>
      <c r="H7" s="73">
        <v>-53.5</v>
      </c>
      <c r="I7" s="73">
        <v>122.6</v>
      </c>
      <c r="J7" s="73">
        <v>-72.900000000000006</v>
      </c>
      <c r="K7" s="73">
        <v>9.6</v>
      </c>
      <c r="L7" s="71">
        <v>92.7</v>
      </c>
      <c r="M7" s="72" t="s">
        <v>2</v>
      </c>
    </row>
    <row r="8" spans="1:13">
      <c r="A8" s="72" t="s">
        <v>125</v>
      </c>
      <c r="B8" s="49" t="s">
        <v>94</v>
      </c>
      <c r="C8" s="71">
        <f>C2+26</f>
        <v>94.126200000000011</v>
      </c>
      <c r="D8" s="117">
        <v>47.098498999999997</v>
      </c>
      <c r="E8" s="117">
        <v>-84.712599999999995</v>
      </c>
      <c r="F8" s="72">
        <v>5</v>
      </c>
      <c r="G8" s="73">
        <v>211</v>
      </c>
      <c r="H8" s="73">
        <v>-59.4</v>
      </c>
      <c r="I8" s="73">
        <v>108.9</v>
      </c>
      <c r="J8" s="73">
        <v>-67.099999999999994</v>
      </c>
      <c r="K8" s="73">
        <v>7.4</v>
      </c>
      <c r="L8" s="71">
        <v>87</v>
      </c>
      <c r="M8" s="72" t="s">
        <v>2</v>
      </c>
    </row>
    <row r="9" spans="1:13">
      <c r="A9" s="72" t="s">
        <v>125</v>
      </c>
      <c r="B9" s="49" t="s">
        <v>95</v>
      </c>
      <c r="C9" s="71">
        <f>C2+31</f>
        <v>99.126200000000011</v>
      </c>
      <c r="D9" s="117">
        <v>47.098453999999997</v>
      </c>
      <c r="E9" s="117">
        <v>-84.712644999999995</v>
      </c>
      <c r="F9" s="72">
        <v>3</v>
      </c>
      <c r="G9" s="73">
        <v>217.6</v>
      </c>
      <c r="H9" s="73">
        <v>-51.6</v>
      </c>
      <c r="I9" s="73">
        <v>128.9</v>
      </c>
      <c r="J9" s="73">
        <v>-72.400000000000006</v>
      </c>
      <c r="K9" s="73">
        <v>2.2999999999999998</v>
      </c>
      <c r="L9" s="71">
        <v>1895</v>
      </c>
      <c r="M9" s="72" t="s">
        <v>2</v>
      </c>
    </row>
    <row r="10" spans="1:13">
      <c r="A10" s="72" t="s">
        <v>125</v>
      </c>
      <c r="B10" s="49" t="s">
        <v>96</v>
      </c>
      <c r="C10" s="71">
        <f>C2+32</f>
        <v>100.12620000000001</v>
      </c>
      <c r="D10" s="117">
        <v>47.098443000000003</v>
      </c>
      <c r="E10" s="117">
        <v>-84.712665000000001</v>
      </c>
      <c r="F10" s="72">
        <v>3</v>
      </c>
      <c r="G10" s="73">
        <v>215.1</v>
      </c>
      <c r="H10" s="73">
        <v>-48.5</v>
      </c>
      <c r="I10" s="73">
        <v>138.69999999999999</v>
      </c>
      <c r="J10" s="73">
        <v>-70.7</v>
      </c>
      <c r="K10" s="73">
        <v>5.5</v>
      </c>
      <c r="L10" s="71">
        <v>337</v>
      </c>
      <c r="M10" s="72" t="s">
        <v>2</v>
      </c>
    </row>
    <row r="11" spans="1:13">
      <c r="A11" s="72" t="s">
        <v>125</v>
      </c>
      <c r="B11" s="49" t="s">
        <v>5</v>
      </c>
      <c r="C11" s="71">
        <v>104.82620000000001</v>
      </c>
      <c r="D11" s="117">
        <v>47.098407588585196</v>
      </c>
      <c r="E11" s="117">
        <v>-84.712717973514799</v>
      </c>
      <c r="F11" s="72">
        <v>6</v>
      </c>
      <c r="G11" s="73">
        <v>209.4</v>
      </c>
      <c r="H11" s="73">
        <v>-53.1</v>
      </c>
      <c r="I11" s="73">
        <v>125.8</v>
      </c>
      <c r="J11" s="73">
        <v>-67.2</v>
      </c>
      <c r="K11" s="73">
        <v>6.6</v>
      </c>
      <c r="L11" s="71">
        <v>105.1</v>
      </c>
      <c r="M11" s="72" t="s">
        <v>2</v>
      </c>
    </row>
    <row r="12" spans="1:13">
      <c r="A12" s="72" t="s">
        <v>125</v>
      </c>
      <c r="B12" s="49" t="s">
        <v>97</v>
      </c>
      <c r="C12" s="71">
        <f>C2+37</f>
        <v>105.12620000000001</v>
      </c>
      <c r="D12" s="117">
        <f>AVERAGE(D11,D13)</f>
        <v>47.098359058458797</v>
      </c>
      <c r="E12" s="117">
        <f>AVERAGE(E11,E13)</f>
        <v>-84.712766177417308</v>
      </c>
      <c r="F12" s="72">
        <v>5</v>
      </c>
      <c r="G12" s="73">
        <v>203.4</v>
      </c>
      <c r="H12" s="73">
        <v>-56.8</v>
      </c>
      <c r="I12" s="73">
        <v>117</v>
      </c>
      <c r="J12" s="73">
        <v>-63.7</v>
      </c>
      <c r="K12" s="73">
        <v>5</v>
      </c>
      <c r="L12" s="71">
        <v>189</v>
      </c>
      <c r="M12" s="72" t="s">
        <v>7</v>
      </c>
    </row>
    <row r="13" spans="1:13">
      <c r="A13" s="72" t="s">
        <v>125</v>
      </c>
      <c r="B13" s="49" t="s">
        <v>6</v>
      </c>
      <c r="C13" s="71">
        <v>108.82620000000001</v>
      </c>
      <c r="D13" s="117">
        <v>47.098310528332398</v>
      </c>
      <c r="E13" s="117">
        <v>-84.712814381319802</v>
      </c>
      <c r="F13" s="72">
        <v>4</v>
      </c>
      <c r="G13" s="73">
        <v>205.1</v>
      </c>
      <c r="H13" s="73">
        <v>-54.7</v>
      </c>
      <c r="I13" s="73">
        <v>122</v>
      </c>
      <c r="J13" s="73">
        <v>-64.599999999999994</v>
      </c>
      <c r="K13" s="73">
        <v>2.6</v>
      </c>
      <c r="L13" s="71">
        <v>1205</v>
      </c>
      <c r="M13" s="72" t="s">
        <v>7</v>
      </c>
    </row>
    <row r="14" spans="1:13">
      <c r="A14" s="72" t="s">
        <v>8</v>
      </c>
      <c r="B14" s="49" t="s">
        <v>9</v>
      </c>
      <c r="C14" s="71">
        <v>221.73150000000001</v>
      </c>
      <c r="D14" s="117">
        <v>47.096718916783502</v>
      </c>
      <c r="E14" s="117">
        <v>-84.714674785375294</v>
      </c>
      <c r="F14" s="72">
        <v>6</v>
      </c>
      <c r="G14" s="73">
        <v>249.8</v>
      </c>
      <c r="H14" s="73">
        <v>-62.9</v>
      </c>
      <c r="I14" s="73">
        <v>78.599999999999994</v>
      </c>
      <c r="J14" s="73">
        <v>-75</v>
      </c>
      <c r="K14" s="73">
        <v>3.3</v>
      </c>
      <c r="L14" s="71">
        <v>419</v>
      </c>
      <c r="M14" s="72" t="s">
        <v>2</v>
      </c>
    </row>
    <row r="15" spans="1:13">
      <c r="A15" s="72" t="s">
        <v>126</v>
      </c>
      <c r="B15" s="49" t="s">
        <v>10</v>
      </c>
      <c r="C15" s="71">
        <v>369.55250000000001</v>
      </c>
      <c r="D15" s="117">
        <v>47.0946179616164</v>
      </c>
      <c r="E15" s="117">
        <v>-84.716266955079007</v>
      </c>
      <c r="F15" s="72">
        <v>4</v>
      </c>
      <c r="G15" s="73">
        <v>212.4</v>
      </c>
      <c r="H15" s="73">
        <v>-51.8</v>
      </c>
      <c r="I15" s="73">
        <v>120.3</v>
      </c>
      <c r="J15" s="73">
        <v>-67.099999999999994</v>
      </c>
      <c r="K15" s="73">
        <v>6.9</v>
      </c>
      <c r="L15" s="71">
        <v>178.6</v>
      </c>
      <c r="M15" s="72" t="s">
        <v>2</v>
      </c>
    </row>
    <row r="16" spans="1:13">
      <c r="A16" s="72" t="s">
        <v>126</v>
      </c>
      <c r="B16" s="49" t="s">
        <v>169</v>
      </c>
      <c r="C16" s="71">
        <v>376.9</v>
      </c>
      <c r="D16" s="117">
        <f>AVERAGE(D15,D17)</f>
        <v>47.094546688044701</v>
      </c>
      <c r="E16" s="117">
        <f>AVERAGE(E15,E17)</f>
        <v>-84.716302947481907</v>
      </c>
      <c r="F16" s="72">
        <v>6</v>
      </c>
      <c r="G16" s="73">
        <v>222.3</v>
      </c>
      <c r="H16" s="73">
        <v>-50.7</v>
      </c>
      <c r="I16" s="73">
        <v>118.5</v>
      </c>
      <c r="J16" s="73">
        <v>-73.5</v>
      </c>
      <c r="K16" s="73">
        <v>5.9</v>
      </c>
      <c r="L16" s="71">
        <v>108</v>
      </c>
      <c r="M16" s="72" t="s">
        <v>2</v>
      </c>
    </row>
    <row r="17" spans="1:13">
      <c r="A17" s="72" t="s">
        <v>126</v>
      </c>
      <c r="B17" s="49" t="s">
        <v>11</v>
      </c>
      <c r="C17" s="71">
        <v>389.7525</v>
      </c>
      <c r="D17" s="117">
        <v>47.094475414473003</v>
      </c>
      <c r="E17" s="117">
        <v>-84.716338939884807</v>
      </c>
      <c r="F17" s="72">
        <v>6</v>
      </c>
      <c r="G17" s="73">
        <v>240</v>
      </c>
      <c r="H17" s="73">
        <v>-47.5</v>
      </c>
      <c r="I17" s="73">
        <v>94.7</v>
      </c>
      <c r="J17" s="73">
        <v>-84.7</v>
      </c>
      <c r="K17" s="73">
        <v>1.8</v>
      </c>
      <c r="L17" s="71">
        <v>1343</v>
      </c>
      <c r="M17" s="72" t="s">
        <v>12</v>
      </c>
    </row>
    <row r="18" spans="1:13">
      <c r="A18" s="72" t="s">
        <v>126</v>
      </c>
      <c r="B18" s="49" t="s">
        <v>13</v>
      </c>
      <c r="C18" s="71">
        <v>396.85250000000002</v>
      </c>
      <c r="D18" s="117">
        <v>47.094317779253103</v>
      </c>
      <c r="E18" s="117">
        <v>-84.716556521651995</v>
      </c>
      <c r="F18" s="72">
        <v>4</v>
      </c>
      <c r="G18" s="73">
        <v>231.7</v>
      </c>
      <c r="H18" s="73">
        <v>-48</v>
      </c>
      <c r="I18" s="73">
        <v>119.6</v>
      </c>
      <c r="J18" s="73">
        <v>-80.099999999999994</v>
      </c>
      <c r="K18" s="73">
        <v>4.7</v>
      </c>
      <c r="L18" s="71">
        <v>384.3</v>
      </c>
      <c r="M18" s="72" t="s">
        <v>7</v>
      </c>
    </row>
    <row r="19" spans="1:13">
      <c r="A19" s="72" t="s">
        <v>126</v>
      </c>
      <c r="B19" s="49" t="s">
        <v>98</v>
      </c>
      <c r="C19" s="71">
        <f>C15+30</f>
        <v>399.55250000000001</v>
      </c>
      <c r="D19" s="117">
        <f>AVERAGE(D18,D20)</f>
        <v>47.094202074640506</v>
      </c>
      <c r="E19" s="117">
        <f>AVERAGE(E18,E20)</f>
        <v>-84.716620768419006</v>
      </c>
      <c r="F19" s="72">
        <v>4</v>
      </c>
      <c r="G19" s="73">
        <v>235.4</v>
      </c>
      <c r="H19" s="73">
        <v>-54.2</v>
      </c>
      <c r="I19" s="73">
        <v>86.9</v>
      </c>
      <c r="J19" s="73">
        <v>-77.7</v>
      </c>
      <c r="K19" s="73">
        <v>3.3</v>
      </c>
      <c r="L19" s="71">
        <v>594</v>
      </c>
      <c r="M19" s="72" t="s">
        <v>7</v>
      </c>
    </row>
    <row r="20" spans="1:13">
      <c r="A20" s="72" t="s">
        <v>126</v>
      </c>
      <c r="B20" s="49" t="s">
        <v>14</v>
      </c>
      <c r="C20" s="71">
        <v>402.05250000000001</v>
      </c>
      <c r="D20" s="117">
        <v>47.094086370027902</v>
      </c>
      <c r="E20" s="117">
        <v>-84.716685015186002</v>
      </c>
      <c r="F20" s="72">
        <v>6</v>
      </c>
      <c r="G20" s="73">
        <v>244.4</v>
      </c>
      <c r="H20" s="73">
        <v>-56.5</v>
      </c>
      <c r="I20" s="73">
        <v>63.2</v>
      </c>
      <c r="J20" s="73">
        <v>-76.5</v>
      </c>
      <c r="K20" s="73">
        <v>5.8</v>
      </c>
      <c r="L20" s="71">
        <v>133.5</v>
      </c>
      <c r="M20" s="72" t="s">
        <v>12</v>
      </c>
    </row>
    <row r="21" spans="1:13">
      <c r="A21" s="72" t="s">
        <v>127</v>
      </c>
      <c r="B21" s="49" t="s">
        <v>15</v>
      </c>
      <c r="C21" s="71">
        <v>583.57159999999999</v>
      </c>
      <c r="D21" s="117">
        <v>47.091228470801603</v>
      </c>
      <c r="E21" s="117">
        <v>-84.718678316026001</v>
      </c>
      <c r="F21" s="72">
        <v>6</v>
      </c>
      <c r="G21" s="73">
        <v>231.9</v>
      </c>
      <c r="H21" s="73">
        <v>-55.4</v>
      </c>
      <c r="I21" s="73">
        <v>99.6</v>
      </c>
      <c r="J21" s="73">
        <v>-70.900000000000006</v>
      </c>
      <c r="K21" s="73">
        <v>6.5</v>
      </c>
      <c r="L21" s="71">
        <v>108.6</v>
      </c>
      <c r="M21" s="72" t="s">
        <v>2</v>
      </c>
    </row>
    <row r="22" spans="1:13">
      <c r="A22" s="72" t="s">
        <v>127</v>
      </c>
      <c r="B22" s="49" t="s">
        <v>16</v>
      </c>
      <c r="C22" s="71">
        <v>587.37159999999994</v>
      </c>
      <c r="D22" s="117">
        <v>47.091139870652299</v>
      </c>
      <c r="E22" s="117">
        <v>-84.718747984718306</v>
      </c>
      <c r="F22" s="72">
        <v>5</v>
      </c>
      <c r="G22" s="73">
        <v>233.9</v>
      </c>
      <c r="H22" s="73">
        <v>-57.6</v>
      </c>
      <c r="I22" s="73">
        <v>92.9</v>
      </c>
      <c r="J22" s="73">
        <v>-69.900000000000006</v>
      </c>
      <c r="K22" s="73">
        <v>2.7</v>
      </c>
      <c r="L22" s="71">
        <v>813.9</v>
      </c>
      <c r="M22" s="72" t="s">
        <v>12</v>
      </c>
    </row>
    <row r="23" spans="1:13">
      <c r="A23" s="72" t="s">
        <v>127</v>
      </c>
      <c r="B23" s="49" t="s">
        <v>107</v>
      </c>
      <c r="C23" s="71">
        <f>C22+6</f>
        <v>593.37159999999994</v>
      </c>
      <c r="D23" s="117">
        <f>AVERAGE(D22,D24)</f>
        <v>47.091077587623204</v>
      </c>
      <c r="E23" s="117">
        <f>AVERAGE(E22,E24)</f>
        <v>-84.718783587196555</v>
      </c>
      <c r="F23" s="72">
        <v>5</v>
      </c>
      <c r="G23" s="73">
        <v>239.3</v>
      </c>
      <c r="H23" s="73">
        <v>-58</v>
      </c>
      <c r="I23" s="73">
        <v>85.2</v>
      </c>
      <c r="J23" s="73">
        <v>-71</v>
      </c>
      <c r="K23" s="73">
        <v>6.3</v>
      </c>
      <c r="L23" s="71">
        <v>120</v>
      </c>
      <c r="M23" s="72" t="s">
        <v>2</v>
      </c>
    </row>
    <row r="24" spans="1:13">
      <c r="A24" s="72" t="s">
        <v>127</v>
      </c>
      <c r="B24" s="49" t="s">
        <v>17</v>
      </c>
      <c r="C24" s="71">
        <v>594.87159999999994</v>
      </c>
      <c r="D24" s="117">
        <v>47.091015304594102</v>
      </c>
      <c r="E24" s="117">
        <v>-84.718819189674804</v>
      </c>
      <c r="F24" s="72">
        <v>6</v>
      </c>
      <c r="G24" s="73">
        <v>226.9</v>
      </c>
      <c r="H24" s="73">
        <v>-63</v>
      </c>
      <c r="I24" s="73">
        <v>91.6</v>
      </c>
      <c r="J24" s="73">
        <v>-63.5</v>
      </c>
      <c r="K24" s="73">
        <v>5.8</v>
      </c>
      <c r="L24" s="71">
        <v>134.6</v>
      </c>
      <c r="M24" s="72" t="s">
        <v>7</v>
      </c>
    </row>
    <row r="25" spans="1:13">
      <c r="A25" s="72" t="s">
        <v>127</v>
      </c>
      <c r="B25" s="49" t="s">
        <v>18</v>
      </c>
      <c r="C25" s="71">
        <v>598.17160000000001</v>
      </c>
      <c r="D25" s="117">
        <v>47.0909267043467</v>
      </c>
      <c r="E25" s="117">
        <v>-84.718888857845201</v>
      </c>
      <c r="F25" s="72">
        <v>5</v>
      </c>
      <c r="G25" s="73">
        <v>235.5</v>
      </c>
      <c r="H25" s="73">
        <v>-59.6</v>
      </c>
      <c r="I25" s="73">
        <v>88</v>
      </c>
      <c r="J25" s="73">
        <v>-68.7</v>
      </c>
      <c r="K25" s="73">
        <v>8.6</v>
      </c>
      <c r="L25" s="71">
        <v>79.8</v>
      </c>
      <c r="M25" s="72" t="s">
        <v>2</v>
      </c>
    </row>
    <row r="26" spans="1:13">
      <c r="A26" s="72" t="s">
        <v>128</v>
      </c>
      <c r="B26" s="72" t="s">
        <v>19</v>
      </c>
      <c r="C26" s="71">
        <v>1079.7360000000001</v>
      </c>
      <c r="D26" s="117">
        <v>47.0854057795339</v>
      </c>
      <c r="E26" s="117">
        <v>-84.725435619853599</v>
      </c>
      <c r="F26" s="72">
        <v>3</v>
      </c>
      <c r="G26" s="73">
        <v>224</v>
      </c>
      <c r="H26" s="73">
        <v>-72.400000000000006</v>
      </c>
      <c r="I26" s="73">
        <v>105.8</v>
      </c>
      <c r="J26" s="73">
        <v>-46.5</v>
      </c>
      <c r="K26" s="73">
        <v>8.4</v>
      </c>
      <c r="L26" s="71">
        <v>216.4</v>
      </c>
      <c r="M26" s="72" t="s">
        <v>7</v>
      </c>
    </row>
    <row r="27" spans="1:13">
      <c r="A27" s="72" t="s">
        <v>128</v>
      </c>
      <c r="B27" s="72" t="s">
        <v>20</v>
      </c>
      <c r="C27" s="71">
        <v>1082.5360000000001</v>
      </c>
      <c r="D27" s="117">
        <v>47.085297800214498</v>
      </c>
      <c r="E27" s="117">
        <v>-84.725888176095097</v>
      </c>
      <c r="F27" s="72">
        <v>4</v>
      </c>
      <c r="G27" s="73">
        <v>238.4</v>
      </c>
      <c r="H27" s="73">
        <v>-67.3</v>
      </c>
      <c r="I27" s="73">
        <v>106.7</v>
      </c>
      <c r="J27" s="73">
        <v>-53.5</v>
      </c>
      <c r="K27" s="73">
        <v>8.9</v>
      </c>
      <c r="L27" s="71">
        <v>107.6</v>
      </c>
      <c r="M27" s="72" t="s">
        <v>7</v>
      </c>
    </row>
    <row r="28" spans="1:13">
      <c r="A28" s="72" t="s">
        <v>128</v>
      </c>
      <c r="B28" s="72" t="s">
        <v>21</v>
      </c>
      <c r="C28" s="71">
        <v>1096.4360000000001</v>
      </c>
      <c r="D28" s="117">
        <v>47.085189999999997</v>
      </c>
      <c r="E28" s="117">
        <v>-84.725949999999997</v>
      </c>
      <c r="F28" s="72">
        <v>4</v>
      </c>
      <c r="G28" s="73">
        <v>241.2</v>
      </c>
      <c r="H28" s="73">
        <v>-59</v>
      </c>
      <c r="I28" s="73">
        <v>115.9</v>
      </c>
      <c r="J28" s="73">
        <v>-60.2</v>
      </c>
      <c r="K28" s="73">
        <v>12.7</v>
      </c>
      <c r="L28" s="71">
        <v>53.3</v>
      </c>
      <c r="M28" s="72" t="s">
        <v>7</v>
      </c>
    </row>
    <row r="29" spans="1:13">
      <c r="A29" s="72" t="s">
        <v>128</v>
      </c>
      <c r="B29" s="72" t="s">
        <v>22</v>
      </c>
      <c r="C29" s="71">
        <v>1105.1360000000002</v>
      </c>
      <c r="D29" s="117">
        <v>47.085190950150498</v>
      </c>
      <c r="E29" s="117">
        <v>-84.725945426534295</v>
      </c>
      <c r="F29" s="72">
        <v>3</v>
      </c>
      <c r="G29" s="73">
        <v>235.6</v>
      </c>
      <c r="H29" s="73">
        <v>-66.400000000000006</v>
      </c>
      <c r="I29" s="73">
        <v>109.1</v>
      </c>
      <c r="J29" s="73">
        <v>-53.4</v>
      </c>
      <c r="K29" s="73">
        <v>8.6999999999999993</v>
      </c>
      <c r="L29" s="71">
        <v>203.1</v>
      </c>
      <c r="M29" s="72" t="s">
        <v>7</v>
      </c>
    </row>
    <row r="30" spans="1:13">
      <c r="A30" s="72" t="s">
        <v>128</v>
      </c>
      <c r="B30" s="72" t="s">
        <v>23</v>
      </c>
      <c r="C30" s="71">
        <v>1113.1360000000002</v>
      </c>
      <c r="D30" s="117">
        <v>47.085065592949398</v>
      </c>
      <c r="E30" s="117">
        <v>-84.725977114392407</v>
      </c>
      <c r="F30" s="72">
        <v>5</v>
      </c>
      <c r="G30" s="73">
        <v>237.4</v>
      </c>
      <c r="H30" s="73">
        <v>-77.7</v>
      </c>
      <c r="I30" s="73">
        <v>104.5</v>
      </c>
      <c r="J30" s="73">
        <v>-59.6</v>
      </c>
      <c r="K30" s="73">
        <v>8.3000000000000007</v>
      </c>
      <c r="L30" s="71">
        <v>86.6</v>
      </c>
      <c r="M30" s="72" t="s">
        <v>2</v>
      </c>
    </row>
    <row r="31" spans="1:13">
      <c r="A31" s="72" t="s">
        <v>129</v>
      </c>
      <c r="B31" s="72" t="s">
        <v>24</v>
      </c>
      <c r="C31" s="71">
        <v>1181.5999999999999</v>
      </c>
      <c r="D31" s="117">
        <v>47.0842881381231</v>
      </c>
      <c r="E31" s="117">
        <v>-84.727156438727803</v>
      </c>
      <c r="F31" s="72">
        <v>4</v>
      </c>
      <c r="G31" s="73">
        <v>267.7</v>
      </c>
      <c r="H31" s="73">
        <v>-68.8</v>
      </c>
      <c r="I31" s="73">
        <v>107.1</v>
      </c>
      <c r="J31" s="73">
        <v>-70.599999999999994</v>
      </c>
      <c r="K31" s="73">
        <v>6.8</v>
      </c>
      <c r="L31" s="71">
        <v>181.5</v>
      </c>
      <c r="M31" s="72" t="s">
        <v>7</v>
      </c>
    </row>
    <row r="32" spans="1:13">
      <c r="A32" s="72" t="s">
        <v>129</v>
      </c>
      <c r="B32" s="72" t="s">
        <v>25</v>
      </c>
      <c r="C32" s="71">
        <v>1194.3</v>
      </c>
      <c r="D32" s="117">
        <v>47.083840829993598</v>
      </c>
      <c r="E32" s="117">
        <v>-84.727741992587994</v>
      </c>
      <c r="F32" s="72">
        <v>4</v>
      </c>
      <c r="G32" s="73">
        <v>267.8</v>
      </c>
      <c r="H32" s="73">
        <v>-77.900000000000006</v>
      </c>
      <c r="I32" s="73">
        <v>101.1</v>
      </c>
      <c r="J32" s="73">
        <v>-61.9</v>
      </c>
      <c r="K32" s="73">
        <v>4.5</v>
      </c>
      <c r="L32" s="71">
        <v>421.6</v>
      </c>
      <c r="M32" s="72" t="s">
        <v>12</v>
      </c>
    </row>
    <row r="33" spans="1:13">
      <c r="A33" s="72" t="s">
        <v>129</v>
      </c>
      <c r="B33" s="72" t="s">
        <v>26</v>
      </c>
      <c r="C33" s="71">
        <v>1198.5999999999999</v>
      </c>
      <c r="D33" s="117">
        <v>47.083635333830799</v>
      </c>
      <c r="E33" s="117">
        <v>-84.727816609016898</v>
      </c>
      <c r="F33" s="72">
        <v>4</v>
      </c>
      <c r="G33" s="73">
        <v>252</v>
      </c>
      <c r="H33" s="73">
        <v>-75.5</v>
      </c>
      <c r="I33" s="73">
        <v>110.3</v>
      </c>
      <c r="J33" s="73">
        <v>-62.6</v>
      </c>
      <c r="K33" s="73">
        <v>9.1999999999999993</v>
      </c>
      <c r="L33" s="71">
        <v>101.2</v>
      </c>
      <c r="M33" s="72" t="s">
        <v>12</v>
      </c>
    </row>
    <row r="34" spans="1:13">
      <c r="A34" s="72" t="s">
        <v>129</v>
      </c>
      <c r="B34" s="72" t="s">
        <v>27</v>
      </c>
      <c r="C34" s="71">
        <v>1205.0999999999999</v>
      </c>
      <c r="D34" s="117">
        <v>47.083521323749402</v>
      </c>
      <c r="E34" s="117">
        <v>-84.727966381745702</v>
      </c>
      <c r="F34" s="72">
        <v>4</v>
      </c>
      <c r="G34" s="73">
        <v>262</v>
      </c>
      <c r="H34" s="73">
        <v>-68.900000000000006</v>
      </c>
      <c r="I34" s="73">
        <v>112.6</v>
      </c>
      <c r="J34" s="73">
        <v>-69.8</v>
      </c>
      <c r="K34" s="73">
        <v>2.4</v>
      </c>
      <c r="L34" s="71">
        <v>1512</v>
      </c>
      <c r="M34" s="72" t="s">
        <v>7</v>
      </c>
    </row>
    <row r="35" spans="1:13">
      <c r="A35" s="72" t="s">
        <v>130</v>
      </c>
      <c r="B35" s="77" t="s">
        <v>102</v>
      </c>
      <c r="C35" s="71">
        <f>C36-1.6</f>
        <v>1288.8000000000002</v>
      </c>
      <c r="D35" s="117">
        <v>47.083849000000001</v>
      </c>
      <c r="E35" s="117">
        <v>-84.730072000000007</v>
      </c>
      <c r="F35" s="72">
        <v>6</v>
      </c>
      <c r="G35" s="73">
        <v>207.3</v>
      </c>
      <c r="H35" s="73">
        <v>-72.400000000000006</v>
      </c>
      <c r="I35" s="73">
        <v>105.4</v>
      </c>
      <c r="J35" s="73">
        <v>-58.6</v>
      </c>
      <c r="K35" s="73">
        <v>3.3</v>
      </c>
      <c r="L35" s="71">
        <v>336</v>
      </c>
      <c r="M35" s="72" t="s">
        <v>12</v>
      </c>
    </row>
    <row r="36" spans="1:13">
      <c r="A36" s="72" t="s">
        <v>130</v>
      </c>
      <c r="B36" s="72" t="s">
        <v>103</v>
      </c>
      <c r="C36" s="71">
        <v>1290.4000000000001</v>
      </c>
      <c r="D36" s="117">
        <v>47.083626394106602</v>
      </c>
      <c r="E36" s="117">
        <v>-84.730083056236893</v>
      </c>
      <c r="F36" s="72">
        <v>3</v>
      </c>
      <c r="G36" s="73">
        <v>175.2</v>
      </c>
      <c r="H36" s="73">
        <v>-73.599999999999994</v>
      </c>
      <c r="I36" s="73">
        <v>104</v>
      </c>
      <c r="J36" s="73">
        <v>-49.3</v>
      </c>
      <c r="K36" s="73">
        <v>5.4</v>
      </c>
      <c r="L36" s="71">
        <v>513</v>
      </c>
      <c r="M36" s="72" t="s">
        <v>2</v>
      </c>
    </row>
    <row r="37" spans="1:13">
      <c r="A37" s="72" t="s">
        <v>130</v>
      </c>
      <c r="B37" s="72" t="s">
        <v>101</v>
      </c>
      <c r="C37" s="71">
        <f>C36+(5.4-1.5)</f>
        <v>1294.3000000000002</v>
      </c>
      <c r="D37" s="117">
        <f>AVERAGE(D36,D38)</f>
        <v>47.083685362265356</v>
      </c>
      <c r="E37" s="117">
        <f>AVERAGE(E36,E38)</f>
        <v>-84.730106899824506</v>
      </c>
      <c r="F37" s="72">
        <v>5</v>
      </c>
      <c r="G37" s="73">
        <v>204.3</v>
      </c>
      <c r="H37" s="73">
        <v>-69.3</v>
      </c>
      <c r="I37" s="73">
        <v>111.4</v>
      </c>
      <c r="J37" s="73">
        <v>-58.3</v>
      </c>
      <c r="K37" s="73">
        <v>7.6</v>
      </c>
      <c r="L37" s="71">
        <v>82</v>
      </c>
      <c r="M37" s="72" t="s">
        <v>12</v>
      </c>
    </row>
    <row r="38" spans="1:13">
      <c r="A38" s="72" t="s">
        <v>130</v>
      </c>
      <c r="B38" s="72" t="s">
        <v>28</v>
      </c>
      <c r="C38" s="71">
        <v>1297</v>
      </c>
      <c r="D38" s="117">
        <v>47.083744330424103</v>
      </c>
      <c r="E38" s="117">
        <v>-84.730130743412104</v>
      </c>
      <c r="F38" s="72">
        <v>4</v>
      </c>
      <c r="G38" s="73">
        <v>192.6</v>
      </c>
      <c r="H38" s="73">
        <v>-76.5</v>
      </c>
      <c r="I38" s="73">
        <v>99.7</v>
      </c>
      <c r="J38" s="73">
        <v>-53.9</v>
      </c>
      <c r="K38" s="73">
        <v>8.5</v>
      </c>
      <c r="L38" s="71">
        <v>118</v>
      </c>
      <c r="M38" s="72" t="s">
        <v>2</v>
      </c>
    </row>
    <row r="39" spans="1:13">
      <c r="A39" s="72" t="s">
        <v>130</v>
      </c>
      <c r="B39" s="72" t="s">
        <v>29</v>
      </c>
      <c r="C39" s="71">
        <v>1301.4000000000001</v>
      </c>
      <c r="D39" s="117">
        <v>47.083628748014597</v>
      </c>
      <c r="E39" s="117">
        <v>-84.730201529464907</v>
      </c>
      <c r="F39" s="72">
        <v>4</v>
      </c>
      <c r="G39" s="73">
        <v>167.1</v>
      </c>
      <c r="H39" s="73">
        <v>-77.599999999999994</v>
      </c>
      <c r="I39" s="73">
        <v>97.3</v>
      </c>
      <c r="J39" s="73">
        <v>-48.3</v>
      </c>
      <c r="K39" s="73">
        <v>16.399999999999999</v>
      </c>
      <c r="L39" s="71">
        <v>32</v>
      </c>
      <c r="M39" s="72" t="s">
        <v>12</v>
      </c>
    </row>
    <row r="40" spans="1:13">
      <c r="A40" s="72" t="s">
        <v>130</v>
      </c>
      <c r="B40" s="72" t="s">
        <v>30</v>
      </c>
      <c r="C40" s="71">
        <v>1350.7</v>
      </c>
      <c r="D40" s="117">
        <v>47.083481282378202</v>
      </c>
      <c r="E40" s="117">
        <v>-84.730932408612802</v>
      </c>
      <c r="F40" s="72">
        <v>5</v>
      </c>
      <c r="G40" s="73">
        <v>10.6</v>
      </c>
      <c r="H40" s="73">
        <v>71.8</v>
      </c>
      <c r="I40" s="73">
        <v>287.7</v>
      </c>
      <c r="J40" s="73">
        <v>53.6</v>
      </c>
      <c r="K40" s="73">
        <v>5.2</v>
      </c>
      <c r="L40" s="71">
        <v>218</v>
      </c>
      <c r="M40" s="72" t="s">
        <v>2</v>
      </c>
    </row>
    <row r="41" spans="1:13">
      <c r="A41" s="72" t="s">
        <v>130</v>
      </c>
      <c r="B41" s="72" t="s">
        <v>31</v>
      </c>
      <c r="C41" s="71">
        <v>1363.8</v>
      </c>
      <c r="D41" s="117">
        <v>47.083361936463398</v>
      </c>
      <c r="E41" s="117">
        <v>-84.731266847249998</v>
      </c>
      <c r="F41" s="72">
        <v>5</v>
      </c>
      <c r="G41" s="73">
        <v>339.8</v>
      </c>
      <c r="H41" s="73">
        <v>72.099999999999994</v>
      </c>
      <c r="I41" s="73">
        <v>283.7</v>
      </c>
      <c r="J41" s="73">
        <v>44.5</v>
      </c>
      <c r="K41" s="73">
        <v>6.1</v>
      </c>
      <c r="L41" s="72">
        <v>129</v>
      </c>
      <c r="M41" s="72" t="s">
        <v>2</v>
      </c>
    </row>
    <row r="42" spans="1:13">
      <c r="A42" s="72" t="s">
        <v>130</v>
      </c>
      <c r="B42" s="72" t="s">
        <v>32</v>
      </c>
      <c r="C42" s="71">
        <v>1369.5</v>
      </c>
      <c r="D42" s="117">
        <v>47.083657769416497</v>
      </c>
      <c r="E42" s="117">
        <v>-84.731662700504899</v>
      </c>
      <c r="F42" s="72">
        <v>5</v>
      </c>
      <c r="G42" s="73">
        <v>314.2</v>
      </c>
      <c r="H42" s="73">
        <v>78.2</v>
      </c>
      <c r="I42" s="73">
        <v>271.8</v>
      </c>
      <c r="J42" s="73">
        <v>42.7</v>
      </c>
      <c r="K42" s="73">
        <v>6.7</v>
      </c>
      <c r="L42" s="72">
        <v>131</v>
      </c>
      <c r="M42" s="72" t="s">
        <v>2</v>
      </c>
    </row>
    <row r="43" spans="1:13">
      <c r="A43" s="72" t="s">
        <v>130</v>
      </c>
      <c r="B43" s="72" t="s">
        <v>105</v>
      </c>
      <c r="C43" s="71">
        <f>C36+129</f>
        <v>1419.4</v>
      </c>
      <c r="D43" s="116">
        <v>47.083120152142499</v>
      </c>
      <c r="E43" s="117">
        <v>-84.732686808081695</v>
      </c>
      <c r="F43" s="72">
        <v>6</v>
      </c>
      <c r="G43" s="73">
        <v>345.3</v>
      </c>
      <c r="H43" s="73">
        <v>64.3</v>
      </c>
      <c r="I43" s="73">
        <v>294.5</v>
      </c>
      <c r="J43" s="73">
        <v>42.6</v>
      </c>
      <c r="K43" s="73">
        <v>7.7</v>
      </c>
      <c r="L43" s="71">
        <v>64</v>
      </c>
      <c r="M43" s="72" t="s">
        <v>2</v>
      </c>
    </row>
    <row r="44" spans="1:13">
      <c r="A44" s="72" t="s">
        <v>130</v>
      </c>
      <c r="B44" s="72" t="s">
        <v>104</v>
      </c>
      <c r="C44" s="71">
        <f>C36+156.5</f>
        <v>1446.9</v>
      </c>
      <c r="D44" s="116">
        <v>47.083013971686903</v>
      </c>
      <c r="E44" s="116">
        <v>-84.733231476146997</v>
      </c>
      <c r="F44" s="72">
        <v>8</v>
      </c>
      <c r="G44" s="73">
        <v>344.9</v>
      </c>
      <c r="H44" s="73">
        <v>58.9</v>
      </c>
      <c r="I44" s="73">
        <v>300.5</v>
      </c>
      <c r="J44" s="73">
        <v>39.6</v>
      </c>
      <c r="K44" s="73">
        <v>2.4</v>
      </c>
      <c r="L44" s="72">
        <v>478</v>
      </c>
      <c r="M44" s="72" t="s">
        <v>2</v>
      </c>
    </row>
    <row r="45" spans="1:13">
      <c r="A45" s="72" t="s">
        <v>131</v>
      </c>
      <c r="B45" s="72" t="s">
        <v>33</v>
      </c>
      <c r="C45" s="71">
        <v>1384</v>
      </c>
      <c r="D45" s="117">
        <v>47.078209599262202</v>
      </c>
      <c r="E45" s="117">
        <v>-84.733290433833702</v>
      </c>
      <c r="F45" s="72">
        <v>8</v>
      </c>
      <c r="G45" s="73">
        <v>324.60000000000002</v>
      </c>
      <c r="H45" s="73">
        <v>72.099999999999994</v>
      </c>
      <c r="I45" s="73">
        <v>283.5</v>
      </c>
      <c r="J45" s="73">
        <v>39.4</v>
      </c>
      <c r="K45" s="73">
        <v>5.5</v>
      </c>
      <c r="L45" s="72">
        <v>103</v>
      </c>
      <c r="M45" s="72" t="s">
        <v>2</v>
      </c>
    </row>
    <row r="46" spans="1:13">
      <c r="A46" s="72" t="s">
        <v>131</v>
      </c>
      <c r="B46" s="72" t="s">
        <v>34</v>
      </c>
      <c r="C46" s="71">
        <v>1387</v>
      </c>
      <c r="D46" s="117">
        <v>47.0780405873749</v>
      </c>
      <c r="E46" s="117">
        <v>-84.733389819059596</v>
      </c>
      <c r="F46" s="72">
        <v>3</v>
      </c>
      <c r="G46" s="73">
        <v>316.60000000000002</v>
      </c>
      <c r="H46" s="73">
        <v>70.2</v>
      </c>
      <c r="I46" s="73">
        <v>282.8</v>
      </c>
      <c r="J46" s="73">
        <v>36.299999999999997</v>
      </c>
      <c r="K46" s="73">
        <v>16.2</v>
      </c>
      <c r="L46" s="72">
        <v>59</v>
      </c>
      <c r="M46" s="72" t="s">
        <v>7</v>
      </c>
    </row>
    <row r="47" spans="1:13">
      <c r="A47" s="72" t="s">
        <v>132</v>
      </c>
      <c r="B47" s="72" t="s">
        <v>35</v>
      </c>
      <c r="C47" s="71">
        <v>1776.047</v>
      </c>
      <c r="D47" s="117">
        <v>47.074545402592001</v>
      </c>
      <c r="E47" s="117">
        <v>-84.739571133393994</v>
      </c>
      <c r="F47" s="72">
        <v>3</v>
      </c>
      <c r="G47" s="73">
        <v>345.5</v>
      </c>
      <c r="H47" s="73">
        <v>57.4</v>
      </c>
      <c r="I47" s="73">
        <v>310.89999999999998</v>
      </c>
      <c r="J47" s="73">
        <v>34.799999999999997</v>
      </c>
      <c r="K47" s="73">
        <v>11.7</v>
      </c>
      <c r="L47" s="72">
        <v>113</v>
      </c>
      <c r="M47" s="72" t="s">
        <v>2</v>
      </c>
    </row>
    <row r="48" spans="1:13">
      <c r="A48" s="72" t="s">
        <v>132</v>
      </c>
      <c r="B48" s="72" t="s">
        <v>36</v>
      </c>
      <c r="C48" s="71">
        <v>1778.047</v>
      </c>
      <c r="D48" s="117">
        <v>47.074501746550801</v>
      </c>
      <c r="E48" s="117">
        <v>-84.739638843108295</v>
      </c>
      <c r="F48" s="72">
        <v>5</v>
      </c>
      <c r="G48" s="73">
        <v>344</v>
      </c>
      <c r="H48" s="73">
        <v>60.4</v>
      </c>
      <c r="I48" s="73">
        <v>307.7</v>
      </c>
      <c r="J48" s="73">
        <v>36.200000000000003</v>
      </c>
      <c r="K48" s="73">
        <v>3.1</v>
      </c>
      <c r="L48" s="72">
        <v>599</v>
      </c>
      <c r="M48" s="72" t="s">
        <v>2</v>
      </c>
    </row>
    <row r="49" spans="1:13">
      <c r="A49" s="72" t="s">
        <v>133</v>
      </c>
      <c r="B49" s="72" t="s">
        <v>37</v>
      </c>
      <c r="C49" s="71">
        <v>1764.193</v>
      </c>
      <c r="D49" s="117">
        <v>47.072726751131498</v>
      </c>
      <c r="E49" s="117">
        <v>-84.739529523204197</v>
      </c>
      <c r="F49" s="72">
        <v>4</v>
      </c>
      <c r="G49" s="73">
        <v>357.8</v>
      </c>
      <c r="H49" s="73">
        <v>64.2</v>
      </c>
      <c r="I49" s="73">
        <v>301.3</v>
      </c>
      <c r="J49" s="73">
        <v>51.2</v>
      </c>
      <c r="K49" s="73">
        <v>6.4</v>
      </c>
      <c r="L49" s="72">
        <v>89</v>
      </c>
      <c r="M49" s="72" t="s">
        <v>2</v>
      </c>
    </row>
    <row r="50" spans="1:13">
      <c r="A50" s="72" t="s">
        <v>133</v>
      </c>
      <c r="B50" s="72" t="s">
        <v>38</v>
      </c>
      <c r="C50" s="71">
        <v>1775.2929999999999</v>
      </c>
      <c r="D50" s="117">
        <v>47.072719321965899</v>
      </c>
      <c r="E50" s="117">
        <v>-84.739608870147293</v>
      </c>
      <c r="F50" s="72">
        <v>5</v>
      </c>
      <c r="G50" s="73">
        <v>6.4</v>
      </c>
      <c r="H50" s="73">
        <v>74.3</v>
      </c>
      <c r="I50" s="73">
        <v>286.10000000000002</v>
      </c>
      <c r="J50" s="73">
        <v>56.9</v>
      </c>
      <c r="K50" s="73">
        <v>8.3000000000000007</v>
      </c>
      <c r="L50" s="72">
        <v>86</v>
      </c>
      <c r="M50" s="72" t="s">
        <v>2</v>
      </c>
    </row>
    <row r="51" spans="1:13">
      <c r="A51" s="72" t="s">
        <v>171</v>
      </c>
      <c r="B51" s="49" t="s">
        <v>39</v>
      </c>
      <c r="C51" s="71">
        <v>1782.4740000000002</v>
      </c>
      <c r="D51" s="117">
        <v>47.071982666822301</v>
      </c>
      <c r="E51" s="117">
        <v>-84.7392185313917</v>
      </c>
      <c r="F51" s="49">
        <v>6</v>
      </c>
      <c r="G51" s="73">
        <v>30</v>
      </c>
      <c r="H51" s="73">
        <v>60.3</v>
      </c>
      <c r="I51" s="73">
        <v>321.39999999999998</v>
      </c>
      <c r="J51" s="73">
        <v>58.4</v>
      </c>
      <c r="K51" s="73">
        <v>11.6</v>
      </c>
      <c r="L51" s="72">
        <v>45</v>
      </c>
      <c r="M51" s="72" t="s">
        <v>7</v>
      </c>
    </row>
    <row r="52" spans="1:13">
      <c r="A52" s="72" t="s">
        <v>171</v>
      </c>
      <c r="B52" s="49" t="s">
        <v>40</v>
      </c>
      <c r="C52" s="71">
        <v>1787.7740000000001</v>
      </c>
      <c r="D52" s="117">
        <v>47.072014329497897</v>
      </c>
      <c r="E52" s="117">
        <v>-84.739454286550099</v>
      </c>
      <c r="F52" s="49">
        <v>6</v>
      </c>
      <c r="G52" s="73">
        <v>16.8</v>
      </c>
      <c r="H52" s="73">
        <v>70.5</v>
      </c>
      <c r="I52" s="73">
        <v>301.3</v>
      </c>
      <c r="J52" s="73">
        <v>54.8</v>
      </c>
      <c r="K52" s="73">
        <v>11.9</v>
      </c>
      <c r="L52" s="72">
        <v>33</v>
      </c>
      <c r="M52" s="72" t="s">
        <v>12</v>
      </c>
    </row>
    <row r="53" spans="1:13">
      <c r="A53" s="72" t="s">
        <v>171</v>
      </c>
      <c r="B53" s="49" t="s">
        <v>41</v>
      </c>
      <c r="C53" s="71">
        <v>1800.6740000000002</v>
      </c>
      <c r="D53" s="117">
        <v>47.072108933069302</v>
      </c>
      <c r="E53" s="117">
        <v>-84.739687379483001</v>
      </c>
      <c r="F53" s="49">
        <v>4</v>
      </c>
      <c r="G53" s="73">
        <v>45.6</v>
      </c>
      <c r="H53" s="73">
        <v>69.8</v>
      </c>
      <c r="I53" s="73">
        <v>300.8</v>
      </c>
      <c r="J53" s="73">
        <v>64.5</v>
      </c>
      <c r="K53" s="73">
        <v>6.4</v>
      </c>
      <c r="L53" s="72">
        <v>145</v>
      </c>
      <c r="M53" s="72" t="s">
        <v>12</v>
      </c>
    </row>
    <row r="54" spans="1:13">
      <c r="A54" s="49" t="s">
        <v>172</v>
      </c>
      <c r="B54" s="49" t="s">
        <v>42</v>
      </c>
      <c r="C54" s="71">
        <v>1820.0740000000001</v>
      </c>
      <c r="D54" s="117">
        <v>47.070864999999998</v>
      </c>
      <c r="E54" s="117">
        <v>-84.740131000000005</v>
      </c>
      <c r="F54" s="49">
        <v>6</v>
      </c>
      <c r="G54" s="73">
        <v>350.2</v>
      </c>
      <c r="H54" s="73">
        <v>36.700000000000003</v>
      </c>
      <c r="I54" s="73">
        <v>328.7</v>
      </c>
      <c r="J54" s="73">
        <v>24.4</v>
      </c>
      <c r="K54" s="73">
        <v>3.6</v>
      </c>
      <c r="L54" s="72">
        <v>341.4</v>
      </c>
      <c r="M54" s="72" t="s">
        <v>7</v>
      </c>
    </row>
    <row r="55" spans="1:13">
      <c r="A55" s="49" t="s">
        <v>172</v>
      </c>
      <c r="B55" s="49" t="s">
        <v>43</v>
      </c>
      <c r="C55" s="71">
        <v>1832.8740000000003</v>
      </c>
      <c r="D55" s="117">
        <v>47.070430999999999</v>
      </c>
      <c r="E55" s="117">
        <v>-84.740133</v>
      </c>
      <c r="F55" s="49">
        <v>6</v>
      </c>
      <c r="G55" s="73">
        <v>350.3</v>
      </c>
      <c r="H55" s="73">
        <v>41</v>
      </c>
      <c r="I55" s="73">
        <v>325.5</v>
      </c>
      <c r="J55" s="73">
        <v>27.6</v>
      </c>
      <c r="K55" s="73">
        <v>23.1</v>
      </c>
      <c r="L55" s="72">
        <v>17</v>
      </c>
      <c r="M55" s="72" t="s">
        <v>12</v>
      </c>
    </row>
    <row r="56" spans="1:13">
      <c r="A56" s="49" t="s">
        <v>172</v>
      </c>
      <c r="B56" s="49" t="s">
        <v>44</v>
      </c>
      <c r="C56" s="71">
        <v>1857.9740000000002</v>
      </c>
      <c r="D56" s="117">
        <v>47.070039276057798</v>
      </c>
      <c r="E56" s="117">
        <v>-84.740604725704799</v>
      </c>
      <c r="F56" s="49">
        <v>5</v>
      </c>
      <c r="G56" s="73">
        <v>336.3</v>
      </c>
      <c r="H56" s="73">
        <v>40.9</v>
      </c>
      <c r="I56" s="73">
        <v>316.7</v>
      </c>
      <c r="J56" s="73">
        <v>20.8</v>
      </c>
      <c r="K56" s="73">
        <v>13</v>
      </c>
      <c r="L56" s="72">
        <v>36</v>
      </c>
      <c r="M56" s="72" t="s">
        <v>12</v>
      </c>
    </row>
    <row r="57" spans="1:13">
      <c r="A57" s="72" t="s">
        <v>45</v>
      </c>
      <c r="B57" s="72" t="s">
        <v>46</v>
      </c>
      <c r="C57" s="71">
        <v>1865.2740000000001</v>
      </c>
      <c r="D57" s="117">
        <v>47.068898639652502</v>
      </c>
      <c r="E57" s="117">
        <v>-84.740718807781406</v>
      </c>
      <c r="F57" s="72">
        <v>9</v>
      </c>
      <c r="G57" s="73">
        <v>146.30000000000001</v>
      </c>
      <c r="H57" s="73">
        <v>-72.2</v>
      </c>
      <c r="I57" s="73">
        <v>106.7</v>
      </c>
      <c r="J57" s="73">
        <v>-39</v>
      </c>
      <c r="K57" s="73">
        <v>3.4</v>
      </c>
      <c r="L57" s="72">
        <v>226</v>
      </c>
      <c r="M57" s="72" t="s">
        <v>2</v>
      </c>
    </row>
    <row r="58" spans="1:13">
      <c r="A58" s="72" t="s">
        <v>47</v>
      </c>
      <c r="B58" s="72" t="s">
        <v>48</v>
      </c>
      <c r="C58" s="71">
        <v>1871.874</v>
      </c>
      <c r="D58" s="117">
        <v>47.068662774963599</v>
      </c>
      <c r="E58" s="117">
        <v>-84.740623410658998</v>
      </c>
      <c r="F58" s="72">
        <v>4</v>
      </c>
      <c r="G58" s="73">
        <v>152.6</v>
      </c>
      <c r="H58" s="73">
        <v>-74.8</v>
      </c>
      <c r="I58" s="73">
        <v>105.7</v>
      </c>
      <c r="J58" s="73">
        <v>-42.1</v>
      </c>
      <c r="K58" s="73">
        <v>7.8</v>
      </c>
      <c r="L58" s="72">
        <v>140</v>
      </c>
      <c r="M58" s="72" t="s">
        <v>2</v>
      </c>
    </row>
    <row r="59" spans="1:13">
      <c r="A59" s="72" t="s">
        <v>171</v>
      </c>
      <c r="B59" s="49" t="s">
        <v>49</v>
      </c>
      <c r="C59" s="71">
        <v>1910.4740000000002</v>
      </c>
      <c r="D59" s="117">
        <v>47.0688261572896</v>
      </c>
      <c r="E59" s="117">
        <v>-84.741604338962603</v>
      </c>
      <c r="F59" s="49">
        <v>5</v>
      </c>
      <c r="G59" s="73">
        <v>136</v>
      </c>
      <c r="H59" s="73">
        <v>-68.3</v>
      </c>
      <c r="I59" s="73">
        <v>112.7</v>
      </c>
      <c r="J59" s="73">
        <v>-33.9</v>
      </c>
      <c r="K59" s="73">
        <v>7.8</v>
      </c>
      <c r="L59" s="72">
        <v>97</v>
      </c>
      <c r="M59" s="72" t="s">
        <v>12</v>
      </c>
    </row>
    <row r="60" spans="1:13">
      <c r="A60" s="72" t="s">
        <v>171</v>
      </c>
      <c r="B60" s="49" t="s">
        <v>50</v>
      </c>
      <c r="C60" s="71">
        <v>1913.1740000000002</v>
      </c>
      <c r="D60" s="117">
        <v>47.068809734924699</v>
      </c>
      <c r="E60" s="117">
        <v>-84.741684059838093</v>
      </c>
      <c r="F60" s="49">
        <v>6</v>
      </c>
      <c r="G60" s="73">
        <v>164.7</v>
      </c>
      <c r="H60" s="73">
        <v>-77.099999999999994</v>
      </c>
      <c r="I60" s="73">
        <v>113.3</v>
      </c>
      <c r="J60" s="73">
        <v>-45.9</v>
      </c>
      <c r="K60" s="73">
        <v>3.8</v>
      </c>
      <c r="L60" s="72">
        <v>416</v>
      </c>
      <c r="M60" s="72" t="s">
        <v>7</v>
      </c>
    </row>
    <row r="61" spans="1:13">
      <c r="A61" s="72" t="s">
        <v>171</v>
      </c>
      <c r="B61" s="49" t="s">
        <v>51</v>
      </c>
      <c r="C61" s="71">
        <v>1924.3740000000003</v>
      </c>
      <c r="D61" s="117">
        <v>47.068865245652702</v>
      </c>
      <c r="E61" s="117">
        <v>-84.741760740919304</v>
      </c>
      <c r="F61" s="49">
        <v>5</v>
      </c>
      <c r="G61" s="73">
        <v>166</v>
      </c>
      <c r="H61" s="73">
        <v>-74.3</v>
      </c>
      <c r="I61" s="73">
        <v>116.9</v>
      </c>
      <c r="J61" s="73">
        <v>-44.5</v>
      </c>
      <c r="K61" s="73">
        <v>4.7</v>
      </c>
      <c r="L61" s="72">
        <v>268</v>
      </c>
      <c r="M61" s="72" t="s">
        <v>7</v>
      </c>
    </row>
    <row r="62" spans="1:13">
      <c r="A62" s="72" t="s">
        <v>171</v>
      </c>
      <c r="B62" s="49" t="s">
        <v>52</v>
      </c>
      <c r="C62" s="71">
        <v>1927.9740000000002</v>
      </c>
      <c r="D62" s="117">
        <v>47.068902252777299</v>
      </c>
      <c r="E62" s="117">
        <v>-84.741811861728394</v>
      </c>
      <c r="F62" s="49">
        <v>6</v>
      </c>
      <c r="G62" s="73">
        <v>183</v>
      </c>
      <c r="H62" s="73">
        <v>-67</v>
      </c>
      <c r="I62" s="73">
        <v>129.80000000000001</v>
      </c>
      <c r="J62" s="73">
        <v>-45.4</v>
      </c>
      <c r="K62" s="73">
        <v>4.9000000000000004</v>
      </c>
      <c r="L62" s="72">
        <v>250</v>
      </c>
      <c r="M62" s="72" t="s">
        <v>7</v>
      </c>
    </row>
    <row r="63" spans="1:13">
      <c r="A63" s="72" t="s">
        <v>171</v>
      </c>
      <c r="B63" s="49" t="s">
        <v>53</v>
      </c>
      <c r="C63" s="71">
        <v>1929.5740000000001</v>
      </c>
      <c r="D63" s="117">
        <v>47.069003241893697</v>
      </c>
      <c r="E63" s="117">
        <v>-84.741912963723607</v>
      </c>
      <c r="F63" s="49">
        <v>3</v>
      </c>
      <c r="G63" s="73">
        <v>182.4</v>
      </c>
      <c r="H63" s="73">
        <v>-70.900000000000006</v>
      </c>
      <c r="I63" s="73">
        <v>124.7</v>
      </c>
      <c r="J63" s="73">
        <v>-47.1</v>
      </c>
      <c r="K63" s="73">
        <v>5.4</v>
      </c>
      <c r="L63" s="72">
        <v>155</v>
      </c>
      <c r="M63" s="72" t="s">
        <v>12</v>
      </c>
    </row>
    <row r="64" spans="1:13">
      <c r="A64" s="72" t="s">
        <v>171</v>
      </c>
      <c r="B64" s="49" t="s">
        <v>54</v>
      </c>
      <c r="C64" s="71">
        <v>1937</v>
      </c>
      <c r="D64" s="117">
        <v>47.069152570481499</v>
      </c>
      <c r="E64" s="117">
        <v>-84.742183249513701</v>
      </c>
      <c r="F64" s="49">
        <v>6</v>
      </c>
      <c r="G64" s="73">
        <v>166.1</v>
      </c>
      <c r="H64" s="73">
        <v>-68.3</v>
      </c>
      <c r="I64" s="73">
        <v>123.3</v>
      </c>
      <c r="J64" s="73">
        <v>-40.9</v>
      </c>
      <c r="K64" s="73">
        <v>8.6999999999999993</v>
      </c>
      <c r="L64" s="72">
        <v>113</v>
      </c>
      <c r="M64" s="72" t="s">
        <v>2</v>
      </c>
    </row>
    <row r="65" spans="1:13">
      <c r="A65" s="72" t="s">
        <v>171</v>
      </c>
      <c r="B65" s="72" t="s">
        <v>55</v>
      </c>
      <c r="C65" s="71">
        <v>2056.2740000000003</v>
      </c>
      <c r="D65" s="117">
        <v>47.068885953454902</v>
      </c>
      <c r="E65" s="117">
        <v>-84.744631178664307</v>
      </c>
      <c r="F65" s="49">
        <v>5</v>
      </c>
      <c r="G65" s="73">
        <v>6.3</v>
      </c>
      <c r="H65" s="73">
        <v>-84.4</v>
      </c>
      <c r="I65" s="73">
        <v>86.9</v>
      </c>
      <c r="J65" s="73">
        <v>-51.6</v>
      </c>
      <c r="K65" s="73">
        <v>13.6</v>
      </c>
      <c r="L65" s="72">
        <v>32</v>
      </c>
      <c r="M65" s="72" t="s">
        <v>12</v>
      </c>
    </row>
    <row r="66" spans="1:13">
      <c r="A66" s="72" t="s">
        <v>171</v>
      </c>
      <c r="B66" s="72" t="s">
        <v>56</v>
      </c>
      <c r="C66" s="71">
        <v>2084.7740000000003</v>
      </c>
      <c r="D66" s="117">
        <v>47.068366355814199</v>
      </c>
      <c r="E66" s="117">
        <v>-84.745206290880006</v>
      </c>
      <c r="F66" s="72">
        <v>3</v>
      </c>
      <c r="G66" s="73">
        <v>184.7</v>
      </c>
      <c r="H66" s="73">
        <v>-80.900000000000006</v>
      </c>
      <c r="I66" s="73">
        <v>100.5</v>
      </c>
      <c r="J66" s="73">
        <v>-50.9</v>
      </c>
      <c r="K66" s="73">
        <v>6</v>
      </c>
      <c r="L66" s="72">
        <v>235</v>
      </c>
      <c r="M66" s="72" t="s">
        <v>2</v>
      </c>
    </row>
    <row r="67" spans="1:13">
      <c r="A67" s="72" t="s">
        <v>138</v>
      </c>
      <c r="B67" s="72" t="s">
        <v>57</v>
      </c>
      <c r="C67" s="71">
        <v>2412.8740000000007</v>
      </c>
      <c r="D67" s="117">
        <v>47.064554699466498</v>
      </c>
      <c r="E67" s="117">
        <v>-84.752716007316707</v>
      </c>
      <c r="F67" s="49">
        <v>5</v>
      </c>
      <c r="G67" s="73">
        <v>320.10000000000002</v>
      </c>
      <c r="H67" s="73">
        <v>68.2</v>
      </c>
      <c r="I67" s="73">
        <v>297.39999999999998</v>
      </c>
      <c r="J67" s="73">
        <v>36.700000000000003</v>
      </c>
      <c r="K67" s="73">
        <v>4.2</v>
      </c>
      <c r="L67" s="72">
        <v>336</v>
      </c>
      <c r="M67" s="72" t="s">
        <v>2</v>
      </c>
    </row>
    <row r="68" spans="1:13">
      <c r="A68" s="72" t="s">
        <v>138</v>
      </c>
      <c r="B68" s="72" t="s">
        <v>58</v>
      </c>
      <c r="C68" s="71">
        <v>2425.9740000000006</v>
      </c>
      <c r="D68" s="117">
        <v>47.064656263662698</v>
      </c>
      <c r="E68" s="117">
        <v>-84.7533043918217</v>
      </c>
      <c r="F68" s="49">
        <v>5</v>
      </c>
      <c r="G68" s="73">
        <v>322.60000000000002</v>
      </c>
      <c r="H68" s="73">
        <v>68.900000000000006</v>
      </c>
      <c r="I68" s="73">
        <v>297.89999999999998</v>
      </c>
      <c r="J68" s="73">
        <v>37.799999999999997</v>
      </c>
      <c r="K68" s="73">
        <v>4.9000000000000004</v>
      </c>
      <c r="L68" s="72">
        <v>248</v>
      </c>
      <c r="M68" s="72" t="s">
        <v>2</v>
      </c>
    </row>
    <row r="69" spans="1:13">
      <c r="A69" s="72" t="s">
        <v>138</v>
      </c>
      <c r="B69" s="72" t="s">
        <v>59</v>
      </c>
      <c r="C69" s="71">
        <v>2447.8740000000007</v>
      </c>
      <c r="D69" s="117">
        <v>47.0644854858242</v>
      </c>
      <c r="E69" s="117">
        <v>-84.753772522880993</v>
      </c>
      <c r="F69" s="49">
        <v>6</v>
      </c>
      <c r="G69" s="73">
        <v>335.5</v>
      </c>
      <c r="H69" s="73">
        <v>74</v>
      </c>
      <c r="I69" s="73">
        <v>298.5</v>
      </c>
      <c r="J69" s="73">
        <v>44.2</v>
      </c>
      <c r="K69" s="73">
        <v>3.1</v>
      </c>
      <c r="L69" s="72">
        <v>478</v>
      </c>
      <c r="M69" s="72" t="s">
        <v>2</v>
      </c>
    </row>
    <row r="70" spans="1:13">
      <c r="A70" s="72" t="s">
        <v>138</v>
      </c>
      <c r="B70" s="72" t="s">
        <v>60</v>
      </c>
      <c r="C70" s="71">
        <v>2450.5740000000005</v>
      </c>
      <c r="D70" s="117">
        <v>47.064487296921399</v>
      </c>
      <c r="E70" s="117">
        <v>-84.753864637238095</v>
      </c>
      <c r="F70" s="49">
        <v>6</v>
      </c>
      <c r="G70" s="73">
        <v>317.89999999999998</v>
      </c>
      <c r="H70" s="73">
        <v>72.7</v>
      </c>
      <c r="I70" s="73">
        <v>293.8</v>
      </c>
      <c r="J70" s="73">
        <v>40.4</v>
      </c>
      <c r="K70" s="73">
        <v>5.7</v>
      </c>
      <c r="L70" s="72">
        <v>137</v>
      </c>
      <c r="M70" s="72" t="s">
        <v>2</v>
      </c>
    </row>
    <row r="71" spans="1:13">
      <c r="A71" s="72" t="s">
        <v>138</v>
      </c>
      <c r="B71" s="72" t="s">
        <v>61</v>
      </c>
      <c r="C71" s="71">
        <v>2459.2740000000003</v>
      </c>
      <c r="D71" s="117">
        <v>47.064258168776199</v>
      </c>
      <c r="E71" s="117">
        <v>-84.754111326443393</v>
      </c>
      <c r="F71" s="49">
        <v>7</v>
      </c>
      <c r="G71" s="73">
        <v>334.2</v>
      </c>
      <c r="H71" s="73">
        <v>75.599999999999994</v>
      </c>
      <c r="I71" s="73">
        <v>296.60000000000002</v>
      </c>
      <c r="J71" s="73">
        <v>45.2</v>
      </c>
      <c r="K71" s="73">
        <v>4.9000000000000004</v>
      </c>
      <c r="L71" s="72">
        <v>155</v>
      </c>
      <c r="M71" s="72" t="s">
        <v>2</v>
      </c>
    </row>
    <row r="72" spans="1:13">
      <c r="A72" s="72" t="s">
        <v>138</v>
      </c>
      <c r="B72" s="72" t="s">
        <v>62</v>
      </c>
      <c r="C72" s="71">
        <v>2468.1740000000004</v>
      </c>
      <c r="D72" s="117">
        <v>47.064094310075802</v>
      </c>
      <c r="E72" s="117">
        <v>-84.754473800927201</v>
      </c>
      <c r="F72" s="49">
        <v>6</v>
      </c>
      <c r="G72" s="73">
        <v>310.8</v>
      </c>
      <c r="H72" s="73">
        <v>75.3</v>
      </c>
      <c r="I72" s="73">
        <v>290.89999999999998</v>
      </c>
      <c r="J72" s="73">
        <v>41.9</v>
      </c>
      <c r="K72" s="73">
        <v>9.1999999999999993</v>
      </c>
      <c r="L72" s="72">
        <v>54</v>
      </c>
      <c r="M72" s="72" t="s">
        <v>2</v>
      </c>
    </row>
    <row r="73" spans="1:13">
      <c r="A73" s="72" t="s">
        <v>138</v>
      </c>
      <c r="B73" s="72" t="s">
        <v>63</v>
      </c>
      <c r="C73" s="71">
        <v>2477.0740000000005</v>
      </c>
      <c r="D73" s="117">
        <v>47.064029617843502</v>
      </c>
      <c r="E73" s="117">
        <v>-84.754845277535395</v>
      </c>
      <c r="F73" s="49">
        <v>5</v>
      </c>
      <c r="G73" s="73">
        <v>306.2</v>
      </c>
      <c r="H73" s="73">
        <v>74.099999999999994</v>
      </c>
      <c r="I73" s="73">
        <v>289.10000000000002</v>
      </c>
      <c r="J73" s="73">
        <v>40.299999999999997</v>
      </c>
      <c r="K73" s="73">
        <v>3.1</v>
      </c>
      <c r="L73" s="72">
        <v>612</v>
      </c>
      <c r="M73" s="72" t="s">
        <v>2</v>
      </c>
    </row>
    <row r="74" spans="1:13">
      <c r="A74" s="72" t="s">
        <v>137</v>
      </c>
      <c r="B74" s="72" t="s">
        <v>64</v>
      </c>
      <c r="C74" s="71">
        <v>2481.7740000000003</v>
      </c>
      <c r="D74" s="117">
        <v>47.060793427043599</v>
      </c>
      <c r="E74" s="117">
        <v>-84.757773065227795</v>
      </c>
      <c r="F74" s="49">
        <v>5</v>
      </c>
      <c r="G74" s="73">
        <v>325.89999999999998</v>
      </c>
      <c r="H74" s="73">
        <v>70.599999999999994</v>
      </c>
      <c r="I74" s="73">
        <v>293.7</v>
      </c>
      <c r="J74" s="73">
        <v>45.3</v>
      </c>
      <c r="K74" s="73">
        <v>6.8</v>
      </c>
      <c r="L74" s="72">
        <v>99</v>
      </c>
      <c r="M74" s="72" t="s">
        <v>2</v>
      </c>
    </row>
    <row r="75" spans="1:13">
      <c r="A75" s="72" t="s">
        <v>137</v>
      </c>
      <c r="B75" s="72" t="s">
        <v>65</v>
      </c>
      <c r="C75" s="71">
        <v>2487.8740000000007</v>
      </c>
      <c r="D75" s="117">
        <v>47.060552973856403</v>
      </c>
      <c r="E75" s="117">
        <v>-84.757901673106602</v>
      </c>
      <c r="F75" s="49">
        <v>6</v>
      </c>
      <c r="G75" s="73">
        <v>348</v>
      </c>
      <c r="H75" s="73">
        <v>72.5</v>
      </c>
      <c r="I75" s="73">
        <v>299</v>
      </c>
      <c r="J75" s="73">
        <v>51.5</v>
      </c>
      <c r="K75" s="73">
        <v>5.5</v>
      </c>
      <c r="L75" s="72">
        <v>148</v>
      </c>
      <c r="M75" s="72" t="s">
        <v>2</v>
      </c>
    </row>
    <row r="76" spans="1:13">
      <c r="A76" s="72" t="s">
        <v>137</v>
      </c>
      <c r="B76" s="72" t="s">
        <v>66</v>
      </c>
      <c r="C76" s="71">
        <v>2500.8740000000007</v>
      </c>
      <c r="D76" s="117">
        <v>47.060317684671702</v>
      </c>
      <c r="E76" s="117">
        <v>-84.758293443926306</v>
      </c>
      <c r="F76" s="49">
        <v>7</v>
      </c>
      <c r="G76" s="73">
        <v>315.5</v>
      </c>
      <c r="H76" s="73">
        <v>70.2</v>
      </c>
      <c r="I76" s="73">
        <v>289.89999999999998</v>
      </c>
      <c r="J76" s="73">
        <v>43</v>
      </c>
      <c r="K76" s="73">
        <v>6.1</v>
      </c>
      <c r="L76" s="72">
        <v>120</v>
      </c>
      <c r="M76" s="72" t="s">
        <v>2</v>
      </c>
    </row>
    <row r="77" spans="1:13">
      <c r="A77" s="72" t="s">
        <v>137</v>
      </c>
      <c r="B77" s="72" t="s">
        <v>67</v>
      </c>
      <c r="C77" s="71">
        <v>2514.1740000000004</v>
      </c>
      <c r="D77" s="117">
        <v>47.060102184590598</v>
      </c>
      <c r="E77" s="117">
        <v>-84.758776564406503</v>
      </c>
      <c r="F77" s="49">
        <v>7</v>
      </c>
      <c r="G77" s="73">
        <v>321.10000000000002</v>
      </c>
      <c r="H77" s="73">
        <v>61.5</v>
      </c>
      <c r="I77" s="73">
        <v>298.10000000000002</v>
      </c>
      <c r="J77" s="73">
        <v>36.6</v>
      </c>
      <c r="K77" s="73">
        <v>6.2</v>
      </c>
      <c r="L77" s="72">
        <v>97</v>
      </c>
      <c r="M77" s="72" t="s">
        <v>2</v>
      </c>
    </row>
    <row r="78" spans="1:13">
      <c r="A78" s="72" t="s">
        <v>137</v>
      </c>
      <c r="B78" s="72" t="s">
        <v>68</v>
      </c>
      <c r="C78" s="71">
        <v>2522.5740000000005</v>
      </c>
      <c r="D78" s="117">
        <v>47.059827569888498</v>
      </c>
      <c r="E78" s="117">
        <v>-84.758998780557505</v>
      </c>
      <c r="F78" s="72">
        <v>6</v>
      </c>
      <c r="G78" s="73">
        <v>333.9</v>
      </c>
      <c r="H78" s="73">
        <v>63</v>
      </c>
      <c r="I78" s="73">
        <v>303.5</v>
      </c>
      <c r="J78" s="73">
        <v>41.1</v>
      </c>
      <c r="K78" s="73">
        <v>5</v>
      </c>
      <c r="L78" s="72">
        <v>179</v>
      </c>
      <c r="M78" s="72" t="s">
        <v>2</v>
      </c>
    </row>
    <row r="79" spans="1:13">
      <c r="A79" s="72" t="s">
        <v>137</v>
      </c>
      <c r="B79" s="72" t="s">
        <v>69</v>
      </c>
      <c r="C79" s="71">
        <v>2531.6740000000004</v>
      </c>
      <c r="D79" s="117">
        <v>47.059457658273097</v>
      </c>
      <c r="E79" s="117">
        <v>-84.759409352468097</v>
      </c>
      <c r="F79" s="72">
        <v>5</v>
      </c>
      <c r="G79" s="73">
        <v>303.60000000000002</v>
      </c>
      <c r="H79" s="73">
        <v>63.3</v>
      </c>
      <c r="I79" s="73">
        <v>288.10000000000002</v>
      </c>
      <c r="J79" s="73">
        <v>34.799999999999997</v>
      </c>
      <c r="K79" s="73">
        <v>3.4</v>
      </c>
      <c r="L79" s="72">
        <v>378</v>
      </c>
      <c r="M79" s="72" t="s">
        <v>2</v>
      </c>
    </row>
    <row r="80" spans="1:13">
      <c r="A80" s="72" t="s">
        <v>136</v>
      </c>
      <c r="B80" s="72" t="s">
        <v>70</v>
      </c>
      <c r="C80" s="71">
        <v>2610.2740000000008</v>
      </c>
      <c r="D80" s="117">
        <v>47.058609000032597</v>
      </c>
      <c r="E80" s="117">
        <v>-84.761565068679701</v>
      </c>
      <c r="F80" s="72">
        <v>3</v>
      </c>
      <c r="G80" s="73">
        <v>313.89999999999998</v>
      </c>
      <c r="H80" s="73">
        <v>53.5</v>
      </c>
      <c r="I80" s="73">
        <v>296.60000000000002</v>
      </c>
      <c r="J80" s="73">
        <v>27.4</v>
      </c>
      <c r="K80" s="73">
        <v>5.8</v>
      </c>
      <c r="L80" s="72">
        <v>451</v>
      </c>
      <c r="M80" s="72" t="s">
        <v>2</v>
      </c>
    </row>
    <row r="81" spans="1:13">
      <c r="A81" s="72" t="s">
        <v>136</v>
      </c>
      <c r="B81" s="72" t="s">
        <v>71</v>
      </c>
      <c r="C81" s="71">
        <v>2614.5740000000005</v>
      </c>
      <c r="D81" s="117">
        <v>47.058396806390803</v>
      </c>
      <c r="E81" s="117">
        <v>-84.761758313434598</v>
      </c>
      <c r="F81" s="72">
        <v>4</v>
      </c>
      <c r="G81" s="73">
        <v>308.60000000000002</v>
      </c>
      <c r="H81" s="73">
        <v>64.3</v>
      </c>
      <c r="I81" s="73">
        <v>290.7</v>
      </c>
      <c r="J81" s="73">
        <v>36.4</v>
      </c>
      <c r="K81" s="73">
        <v>4.9000000000000004</v>
      </c>
      <c r="L81" s="72">
        <v>351</v>
      </c>
      <c r="M81" s="72" t="s">
        <v>2</v>
      </c>
    </row>
    <row r="82" spans="1:13">
      <c r="A82" s="72" t="s">
        <v>136</v>
      </c>
      <c r="B82" s="72" t="s">
        <v>72</v>
      </c>
      <c r="C82" s="71">
        <v>2623.3740000000007</v>
      </c>
      <c r="D82" s="117">
        <v>47.058400672998403</v>
      </c>
      <c r="E82" s="117">
        <v>-84.761955679960195</v>
      </c>
      <c r="F82" s="72">
        <v>4</v>
      </c>
      <c r="G82" s="73">
        <v>317.10000000000002</v>
      </c>
      <c r="H82" s="73">
        <v>58.8</v>
      </c>
      <c r="I82" s="73">
        <v>297.89999999999998</v>
      </c>
      <c r="J82" s="73">
        <v>33.1</v>
      </c>
      <c r="K82" s="73">
        <v>5.2</v>
      </c>
      <c r="L82" s="72">
        <v>311</v>
      </c>
      <c r="M82" s="72" t="s">
        <v>2</v>
      </c>
    </row>
    <row r="83" spans="1:13">
      <c r="A83" s="72" t="s">
        <v>136</v>
      </c>
      <c r="B83" s="72" t="s">
        <v>73</v>
      </c>
      <c r="C83" s="71">
        <v>2645.2740000000008</v>
      </c>
      <c r="D83" s="117">
        <v>47.058115541729201</v>
      </c>
      <c r="E83" s="117">
        <v>-84.7625601987653</v>
      </c>
      <c r="F83" s="72">
        <v>5</v>
      </c>
      <c r="G83" s="73">
        <v>305.89999999999998</v>
      </c>
      <c r="H83" s="73">
        <v>55.8</v>
      </c>
      <c r="I83" s="73">
        <v>292.8</v>
      </c>
      <c r="J83" s="73">
        <v>27.9</v>
      </c>
      <c r="K83" s="73">
        <v>4.2</v>
      </c>
      <c r="L83" s="72">
        <v>339</v>
      </c>
      <c r="M83" s="72" t="s">
        <v>2</v>
      </c>
    </row>
    <row r="84" spans="1:13">
      <c r="A84" s="72" t="s">
        <v>134</v>
      </c>
      <c r="B84" s="72" t="s">
        <v>110</v>
      </c>
      <c r="C84" s="71">
        <v>3043</v>
      </c>
      <c r="D84" s="117">
        <v>47.052439999999997</v>
      </c>
      <c r="E84" s="117">
        <v>-84.769892999999996</v>
      </c>
      <c r="F84" s="72">
        <v>5</v>
      </c>
      <c r="G84" s="73">
        <v>350.6</v>
      </c>
      <c r="H84" s="73">
        <v>59</v>
      </c>
      <c r="I84" s="73">
        <v>305.2</v>
      </c>
      <c r="J84" s="73">
        <v>43.4</v>
      </c>
      <c r="K84" s="73">
        <v>2.9</v>
      </c>
      <c r="L84" s="72">
        <v>566</v>
      </c>
      <c r="M84" s="72" t="s">
        <v>2</v>
      </c>
    </row>
    <row r="85" spans="1:13">
      <c r="A85" s="72" t="s">
        <v>134</v>
      </c>
      <c r="B85" s="72" t="s">
        <v>111</v>
      </c>
      <c r="C85" s="71">
        <f>C84+72.3</f>
        <v>3115.3</v>
      </c>
      <c r="D85" s="117">
        <v>47.052016999999999</v>
      </c>
      <c r="E85" s="117">
        <v>-84.771167000000005</v>
      </c>
      <c r="F85" s="72">
        <v>6</v>
      </c>
      <c r="G85" s="73">
        <v>334.7</v>
      </c>
      <c r="H85" s="73">
        <v>61</v>
      </c>
      <c r="I85" s="73">
        <v>296.7</v>
      </c>
      <c r="J85" s="73">
        <v>38.4</v>
      </c>
      <c r="K85" s="73">
        <v>7.4</v>
      </c>
      <c r="L85" s="72">
        <v>69</v>
      </c>
      <c r="M85" s="72" t="s">
        <v>2</v>
      </c>
    </row>
    <row r="86" spans="1:13">
      <c r="A86" s="72" t="s">
        <v>134</v>
      </c>
      <c r="B86" s="72" t="s">
        <v>112</v>
      </c>
      <c r="C86" s="71">
        <f>C84+113.5</f>
        <v>3156.5</v>
      </c>
      <c r="D86" s="117">
        <v>47.051191000000003</v>
      </c>
      <c r="E86" s="117">
        <v>-84.771818999999994</v>
      </c>
      <c r="F86" s="72">
        <v>8</v>
      </c>
      <c r="G86" s="73">
        <v>341.4</v>
      </c>
      <c r="H86" s="73">
        <v>65.7</v>
      </c>
      <c r="I86" s="73">
        <v>294.2</v>
      </c>
      <c r="J86" s="73">
        <v>43.7</v>
      </c>
      <c r="K86" s="73">
        <v>5.6</v>
      </c>
      <c r="L86" s="72">
        <v>87</v>
      </c>
      <c r="M86" s="72" t="s">
        <v>2</v>
      </c>
    </row>
    <row r="87" spans="1:13">
      <c r="A87" s="72" t="s">
        <v>134</v>
      </c>
      <c r="B87" s="72" t="s">
        <v>113</v>
      </c>
      <c r="C87" s="71">
        <f>C84+125.9</f>
        <v>3168.9</v>
      </c>
      <c r="D87" s="117">
        <v>47.051502999999997</v>
      </c>
      <c r="E87" s="117">
        <v>-84.772234999999995</v>
      </c>
      <c r="F87" s="72">
        <v>6</v>
      </c>
      <c r="G87" s="73">
        <v>333.9</v>
      </c>
      <c r="H87" s="73">
        <v>56.2</v>
      </c>
      <c r="I87" s="73">
        <v>300.60000000000002</v>
      </c>
      <c r="J87" s="73">
        <v>34.799999999999997</v>
      </c>
      <c r="K87" s="73">
        <v>8.8000000000000007</v>
      </c>
      <c r="L87" s="72">
        <v>49</v>
      </c>
      <c r="M87" s="72" t="s">
        <v>2</v>
      </c>
    </row>
    <row r="88" spans="1:13">
      <c r="A88" s="72" t="s">
        <v>134</v>
      </c>
      <c r="B88" s="72" t="s">
        <v>114</v>
      </c>
      <c r="C88" s="71">
        <f>C84+131.4</f>
        <v>3174.4</v>
      </c>
      <c r="D88" s="117">
        <v>47.051732999999999</v>
      </c>
      <c r="E88" s="117">
        <v>-84.772470999999996</v>
      </c>
      <c r="F88" s="72">
        <v>5</v>
      </c>
      <c r="G88" s="73">
        <v>351.3</v>
      </c>
      <c r="H88" s="73">
        <v>61.7</v>
      </c>
      <c r="I88" s="73">
        <v>302.2</v>
      </c>
      <c r="J88" s="73">
        <v>45.2</v>
      </c>
      <c r="K88" s="73">
        <v>3</v>
      </c>
      <c r="L88" s="72">
        <v>518</v>
      </c>
      <c r="M88" s="72" t="s">
        <v>2</v>
      </c>
    </row>
    <row r="89" spans="1:13">
      <c r="A89" s="72" t="s">
        <v>134</v>
      </c>
      <c r="B89" s="72" t="s">
        <v>115</v>
      </c>
      <c r="C89" s="71">
        <f>C84+142.1</f>
        <v>3185.1</v>
      </c>
      <c r="D89" s="117">
        <v>47.051876</v>
      </c>
      <c r="E89" s="117">
        <v>-84.772673999999995</v>
      </c>
      <c r="F89" s="72">
        <v>8</v>
      </c>
      <c r="G89" s="73">
        <v>313.5</v>
      </c>
      <c r="H89" s="73">
        <v>62.2</v>
      </c>
      <c r="I89" s="73">
        <v>286.39999999999998</v>
      </c>
      <c r="J89" s="73">
        <v>32.6</v>
      </c>
      <c r="K89" s="73">
        <v>5.3</v>
      </c>
      <c r="L89" s="72">
        <v>95</v>
      </c>
      <c r="M89" s="72" t="s">
        <v>2</v>
      </c>
    </row>
    <row r="90" spans="1:13">
      <c r="A90" s="72" t="s">
        <v>135</v>
      </c>
      <c r="B90" s="72" t="s">
        <v>74</v>
      </c>
      <c r="C90" s="71">
        <v>3350</v>
      </c>
      <c r="D90" s="117">
        <v>47.047332317931101</v>
      </c>
      <c r="E90" s="117">
        <v>-84.774886950594393</v>
      </c>
      <c r="F90" s="72">
        <v>4</v>
      </c>
      <c r="G90" s="73">
        <v>326.39999999999998</v>
      </c>
      <c r="H90" s="73">
        <v>61.9</v>
      </c>
      <c r="I90" s="73">
        <v>298.5</v>
      </c>
      <c r="J90" s="73">
        <v>42.6</v>
      </c>
      <c r="K90" s="73">
        <v>6.1</v>
      </c>
      <c r="L90" s="72">
        <v>232</v>
      </c>
      <c r="M90" s="72" t="s">
        <v>2</v>
      </c>
    </row>
    <row r="91" spans="1:13">
      <c r="A91" s="72" t="s">
        <v>135</v>
      </c>
      <c r="B91" s="72" t="s">
        <v>75</v>
      </c>
      <c r="C91" s="71">
        <f>C90+10.2</f>
        <v>3360.2</v>
      </c>
      <c r="D91" s="117">
        <v>47.0471845800501</v>
      </c>
      <c r="E91" s="117">
        <v>-84.775156413104895</v>
      </c>
      <c r="F91" s="72">
        <v>6</v>
      </c>
      <c r="G91" s="73">
        <v>323.5</v>
      </c>
      <c r="H91" s="73">
        <v>60.2</v>
      </c>
      <c r="I91" s="73">
        <v>298.2</v>
      </c>
      <c r="J91" s="73">
        <v>40.299999999999997</v>
      </c>
      <c r="K91" s="73">
        <v>5.8</v>
      </c>
      <c r="L91" s="72">
        <v>135</v>
      </c>
      <c r="M91" s="72" t="s">
        <v>2</v>
      </c>
    </row>
    <row r="92" spans="1:13">
      <c r="A92" s="72" t="s">
        <v>135</v>
      </c>
      <c r="B92" s="72" t="s">
        <v>76</v>
      </c>
      <c r="C92" s="71">
        <f>C90+15.5</f>
        <v>3365.5</v>
      </c>
      <c r="D92" s="117">
        <v>47.047045064904097</v>
      </c>
      <c r="E92" s="117">
        <v>-84.775386034819505</v>
      </c>
      <c r="F92" s="72">
        <v>5</v>
      </c>
      <c r="G92" s="73">
        <v>322.7</v>
      </c>
      <c r="H92" s="73">
        <v>63.9</v>
      </c>
      <c r="I92" s="73">
        <v>295.10000000000002</v>
      </c>
      <c r="J92" s="73">
        <v>43.2</v>
      </c>
      <c r="K92" s="73">
        <v>6.8</v>
      </c>
      <c r="L92" s="72">
        <v>128</v>
      </c>
      <c r="M92" s="72" t="s">
        <v>2</v>
      </c>
    </row>
    <row r="93" spans="1:13">
      <c r="A93" s="72" t="s">
        <v>135</v>
      </c>
      <c r="B93" s="72" t="s">
        <v>77</v>
      </c>
      <c r="C93" s="71">
        <f>C90+22.2</f>
        <v>3372.2</v>
      </c>
      <c r="D93" s="117">
        <v>47.046826927445501</v>
      </c>
      <c r="E93" s="117">
        <v>-84.775737416642698</v>
      </c>
      <c r="F93" s="72">
        <v>5</v>
      </c>
      <c r="G93" s="73">
        <v>318.3</v>
      </c>
      <c r="H93" s="73">
        <v>59.7</v>
      </c>
      <c r="I93" s="73">
        <v>295.7</v>
      </c>
      <c r="J93" s="73">
        <v>38.6</v>
      </c>
      <c r="K93" s="73">
        <v>6.4</v>
      </c>
      <c r="L93" s="72">
        <v>142</v>
      </c>
      <c r="M93" s="72" t="s">
        <v>2</v>
      </c>
    </row>
    <row r="94" spans="1:13">
      <c r="A94" s="72" t="s">
        <v>106</v>
      </c>
      <c r="B94" s="72" t="s">
        <v>117</v>
      </c>
      <c r="C94" s="71">
        <f>3632+2.6</f>
        <v>3634.6</v>
      </c>
      <c r="D94" s="117">
        <v>47.043143000000001</v>
      </c>
      <c r="E94" s="117">
        <v>-84.780271999999997</v>
      </c>
      <c r="F94" s="72">
        <v>8</v>
      </c>
      <c r="G94" s="73">
        <v>321.89999999999998</v>
      </c>
      <c r="H94" s="73">
        <v>59.4</v>
      </c>
      <c r="I94" s="73">
        <v>290.39999999999998</v>
      </c>
      <c r="J94" s="73">
        <v>34.6</v>
      </c>
      <c r="K94" s="73">
        <v>2.8</v>
      </c>
      <c r="L94" s="72">
        <v>336</v>
      </c>
      <c r="M94" s="72" t="s">
        <v>2</v>
      </c>
    </row>
    <row r="95" spans="1:13">
      <c r="A95" s="72" t="s">
        <v>106</v>
      </c>
      <c r="B95" s="72" t="s">
        <v>118</v>
      </c>
      <c r="C95" s="71">
        <f>3632+26.7</f>
        <v>3658.7</v>
      </c>
      <c r="D95" s="117">
        <v>47.043216000000001</v>
      </c>
      <c r="E95" s="117">
        <v>-84.780893000000006</v>
      </c>
      <c r="F95" s="72">
        <v>6</v>
      </c>
      <c r="G95" s="73">
        <v>319.10000000000002</v>
      </c>
      <c r="H95" s="73">
        <v>58.7</v>
      </c>
      <c r="I95" s="73">
        <v>289.60000000000002</v>
      </c>
      <c r="J95" s="73">
        <v>33.299999999999997</v>
      </c>
      <c r="K95" s="73">
        <v>2.4</v>
      </c>
      <c r="L95" s="72">
        <v>678</v>
      </c>
      <c r="M95" s="72" t="s">
        <v>2</v>
      </c>
    </row>
    <row r="96" spans="1:13">
      <c r="A96" s="72" t="s">
        <v>106</v>
      </c>
      <c r="B96" s="72" t="s">
        <v>119</v>
      </c>
      <c r="C96" s="71">
        <f>3632+39</f>
        <v>3671</v>
      </c>
      <c r="D96" s="117">
        <v>47.042980999999997</v>
      </c>
      <c r="E96" s="117">
        <v>-84.781063000000003</v>
      </c>
      <c r="F96" s="72">
        <v>6</v>
      </c>
      <c r="G96" s="73">
        <v>319.7</v>
      </c>
      <c r="H96" s="73">
        <v>58.1</v>
      </c>
      <c r="I96" s="73">
        <v>290.3</v>
      </c>
      <c r="J96" s="73">
        <v>32.9</v>
      </c>
      <c r="K96" s="73">
        <v>1.9</v>
      </c>
      <c r="L96" s="72">
        <v>1035</v>
      </c>
      <c r="M96" s="72" t="s">
        <v>2</v>
      </c>
    </row>
    <row r="97" spans="1:13">
      <c r="A97" s="72" t="s">
        <v>106</v>
      </c>
      <c r="B97" s="72" t="s">
        <v>120</v>
      </c>
      <c r="C97" s="71">
        <f>3632+44.5</f>
        <v>3676.5</v>
      </c>
      <c r="D97" s="117">
        <v>47.042980999999997</v>
      </c>
      <c r="E97" s="117">
        <v>-84.781195999999994</v>
      </c>
      <c r="F97" s="72">
        <v>6</v>
      </c>
      <c r="G97" s="73">
        <v>335.6</v>
      </c>
      <c r="H97" s="73">
        <v>61.4</v>
      </c>
      <c r="I97" s="73">
        <v>294.60000000000002</v>
      </c>
      <c r="J97" s="73">
        <v>40.799999999999997</v>
      </c>
      <c r="K97" s="73">
        <v>5.6</v>
      </c>
      <c r="L97" s="72">
        <v>122</v>
      </c>
      <c r="M97" s="72" t="s">
        <v>2</v>
      </c>
    </row>
    <row r="98" spans="1:13">
      <c r="A98" s="72" t="s">
        <v>106</v>
      </c>
      <c r="B98" s="72" t="s">
        <v>123</v>
      </c>
      <c r="C98" s="71">
        <f>3632+73.6</f>
        <v>3705.6</v>
      </c>
      <c r="D98" s="117">
        <v>47.042825000000001</v>
      </c>
      <c r="E98" s="117">
        <v>-84.781632999999999</v>
      </c>
      <c r="F98" s="72">
        <v>8</v>
      </c>
      <c r="G98" s="73">
        <v>288.39999999999998</v>
      </c>
      <c r="H98" s="73">
        <v>48.7</v>
      </c>
      <c r="I98" s="73">
        <v>277.60000000000002</v>
      </c>
      <c r="J98" s="73">
        <v>15.8</v>
      </c>
      <c r="K98" s="73">
        <v>6.7</v>
      </c>
      <c r="L98" s="72">
        <v>60</v>
      </c>
      <c r="M98" s="72" t="s">
        <v>2</v>
      </c>
    </row>
    <row r="99" spans="1:13">
      <c r="A99" s="72" t="s">
        <v>106</v>
      </c>
      <c r="B99" s="72" t="s">
        <v>121</v>
      </c>
      <c r="C99" s="71">
        <f>3632+96.4</f>
        <v>3728.4</v>
      </c>
      <c r="D99" s="117">
        <v>47.042821000000004</v>
      </c>
      <c r="E99" s="117">
        <v>-84.782077999999998</v>
      </c>
      <c r="F99" s="72">
        <v>6</v>
      </c>
      <c r="G99" s="73">
        <v>291.89999999999998</v>
      </c>
      <c r="H99" s="73">
        <v>50.8</v>
      </c>
      <c r="I99" s="73">
        <v>279.10000000000002</v>
      </c>
      <c r="J99" s="73">
        <v>18.7</v>
      </c>
      <c r="K99" s="73">
        <v>14.1</v>
      </c>
      <c r="L99" s="72">
        <v>20</v>
      </c>
      <c r="M99" s="72" t="s">
        <v>2</v>
      </c>
    </row>
    <row r="100" spans="1:13">
      <c r="A100" s="72" t="s">
        <v>106</v>
      </c>
      <c r="B100" s="72" t="s">
        <v>122</v>
      </c>
      <c r="C100" s="71">
        <f>3632+102.1</f>
        <v>3734.1</v>
      </c>
      <c r="D100" s="117">
        <v>47.042791000000001</v>
      </c>
      <c r="E100" s="117">
        <v>-84.782240000000002</v>
      </c>
      <c r="F100" s="72">
        <v>8</v>
      </c>
      <c r="G100" s="73">
        <v>288.7</v>
      </c>
      <c r="H100" s="73">
        <v>39.5</v>
      </c>
      <c r="I100" s="73">
        <v>280.89999999999998</v>
      </c>
      <c r="J100" s="73">
        <v>7.2</v>
      </c>
      <c r="K100" s="73">
        <v>7.9</v>
      </c>
      <c r="L100" s="72">
        <v>44</v>
      </c>
      <c r="M100" s="72" t="s">
        <v>2</v>
      </c>
    </row>
    <row r="104" spans="1:13">
      <c r="B104" s="49"/>
      <c r="L104" s="71"/>
    </row>
    <row r="105" spans="1:13">
      <c r="A105" s="49"/>
      <c r="B105" s="49"/>
      <c r="F105" s="49"/>
    </row>
    <row r="106" spans="1:13">
      <c r="L106" s="71"/>
    </row>
    <row r="108" spans="1:13">
      <c r="M108" s="7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3"/>
  <sheetViews>
    <sheetView workbookViewId="0">
      <selection activeCell="G14" sqref="G14"/>
    </sheetView>
  </sheetViews>
  <sheetFormatPr baseColWidth="10" defaultRowHeight="15" x14ac:dyDescent="0"/>
  <cols>
    <col min="5" max="5" width="16.1640625" customWidth="1"/>
  </cols>
  <sheetData>
    <row r="1" spans="1:59" ht="61" thickBot="1">
      <c r="A1" s="79" t="s">
        <v>182</v>
      </c>
      <c r="B1" s="79" t="s">
        <v>183</v>
      </c>
      <c r="C1" s="79" t="s">
        <v>184</v>
      </c>
      <c r="D1" s="79" t="s">
        <v>185</v>
      </c>
      <c r="E1" s="79" t="s">
        <v>186</v>
      </c>
      <c r="F1" s="79" t="s">
        <v>187</v>
      </c>
      <c r="G1" s="79" t="s">
        <v>188</v>
      </c>
      <c r="H1" s="79" t="s">
        <v>189</v>
      </c>
      <c r="I1" s="79" t="s">
        <v>190</v>
      </c>
      <c r="J1" s="79" t="s">
        <v>191</v>
      </c>
      <c r="K1" s="79" t="s">
        <v>192</v>
      </c>
      <c r="L1" s="79" t="s">
        <v>193</v>
      </c>
      <c r="M1" s="79" t="s">
        <v>194</v>
      </c>
      <c r="N1" s="79" t="s">
        <v>195</v>
      </c>
      <c r="O1" s="79" t="s">
        <v>196</v>
      </c>
      <c r="P1" s="79" t="s">
        <v>197</v>
      </c>
      <c r="Q1" s="79" t="s">
        <v>198</v>
      </c>
      <c r="R1" s="79" t="s">
        <v>199</v>
      </c>
      <c r="S1" s="79" t="s">
        <v>200</v>
      </c>
      <c r="T1" s="79" t="s">
        <v>201</v>
      </c>
      <c r="U1" s="79" t="s">
        <v>202</v>
      </c>
      <c r="V1" s="79" t="s">
        <v>203</v>
      </c>
      <c r="W1" s="79" t="s">
        <v>204</v>
      </c>
      <c r="X1" s="79" t="s">
        <v>205</v>
      </c>
      <c r="Y1" s="79" t="s">
        <v>206</v>
      </c>
      <c r="Z1" s="79" t="s">
        <v>207</v>
      </c>
      <c r="AA1" s="80" t="s">
        <v>208</v>
      </c>
      <c r="AB1" s="80" t="s">
        <v>209</v>
      </c>
      <c r="AC1" s="80" t="s">
        <v>210</v>
      </c>
      <c r="AD1" s="80" t="s">
        <v>211</v>
      </c>
      <c r="AE1" s="79" t="s">
        <v>212</v>
      </c>
      <c r="AF1" s="79" t="s">
        <v>213</v>
      </c>
      <c r="AG1" s="79" t="s">
        <v>214</v>
      </c>
      <c r="AH1" s="79" t="s">
        <v>215</v>
      </c>
      <c r="AI1" s="81" t="s">
        <v>216</v>
      </c>
      <c r="AJ1" s="82" t="s">
        <v>217</v>
      </c>
      <c r="AK1" s="79" t="s">
        <v>218</v>
      </c>
      <c r="AL1" s="79" t="s">
        <v>219</v>
      </c>
      <c r="AM1" s="79" t="s">
        <v>220</v>
      </c>
      <c r="AN1" s="79" t="s">
        <v>221</v>
      </c>
      <c r="AO1" s="79" t="s">
        <v>222</v>
      </c>
      <c r="AP1" s="79" t="s">
        <v>223</v>
      </c>
      <c r="AQ1" s="79" t="s">
        <v>224</v>
      </c>
      <c r="AR1" s="79" t="s">
        <v>225</v>
      </c>
      <c r="AS1" s="79" t="s">
        <v>226</v>
      </c>
      <c r="AT1" s="79" t="s">
        <v>227</v>
      </c>
      <c r="AU1" s="79" t="s">
        <v>228</v>
      </c>
      <c r="AV1" s="79" t="s">
        <v>229</v>
      </c>
      <c r="AW1" s="79" t="s">
        <v>230</v>
      </c>
      <c r="AX1" s="79" t="s">
        <v>231</v>
      </c>
      <c r="AY1" s="79" t="s">
        <v>232</v>
      </c>
      <c r="AZ1" s="79" t="s">
        <v>233</v>
      </c>
      <c r="BA1" s="79" t="s">
        <v>234</v>
      </c>
      <c r="BB1" s="79" t="s">
        <v>235</v>
      </c>
      <c r="BC1" s="79" t="s">
        <v>236</v>
      </c>
      <c r="BD1" s="79" t="s">
        <v>237</v>
      </c>
      <c r="BE1" s="79" t="s">
        <v>238</v>
      </c>
    </row>
    <row r="2" spans="1:59" ht="40" thickBot="1">
      <c r="A2" s="83" t="s">
        <v>239</v>
      </c>
      <c r="B2" s="83" t="s">
        <v>240</v>
      </c>
      <c r="C2" s="83" t="s">
        <v>241</v>
      </c>
      <c r="D2" s="83" t="s">
        <v>242</v>
      </c>
      <c r="E2" s="83" t="s">
        <v>243</v>
      </c>
      <c r="F2" s="83" t="s">
        <v>244</v>
      </c>
      <c r="G2" s="83" t="s">
        <v>245</v>
      </c>
      <c r="H2" s="83" t="s">
        <v>246</v>
      </c>
      <c r="I2" s="83" t="s">
        <v>247</v>
      </c>
      <c r="J2" s="83" t="s">
        <v>248</v>
      </c>
      <c r="K2" s="83" t="s">
        <v>249</v>
      </c>
      <c r="L2" s="83" t="s">
        <v>250</v>
      </c>
      <c r="M2" s="83" t="s">
        <v>251</v>
      </c>
      <c r="N2" s="83" t="s">
        <v>252</v>
      </c>
      <c r="O2" s="83" t="s">
        <v>253</v>
      </c>
      <c r="P2" s="83" t="s">
        <v>254</v>
      </c>
      <c r="Q2" s="83" t="s">
        <v>255</v>
      </c>
      <c r="R2" s="83" t="s">
        <v>256</v>
      </c>
      <c r="S2" s="83" t="s">
        <v>257</v>
      </c>
      <c r="T2" s="83" t="s">
        <v>258</v>
      </c>
      <c r="U2" s="83" t="s">
        <v>259</v>
      </c>
      <c r="V2" s="83" t="s">
        <v>260</v>
      </c>
      <c r="W2" s="83" t="s">
        <v>261</v>
      </c>
      <c r="X2" s="83" t="s">
        <v>262</v>
      </c>
      <c r="Y2" s="83" t="s">
        <v>263</v>
      </c>
      <c r="Z2" s="83" t="s">
        <v>264</v>
      </c>
      <c r="AA2" s="84" t="s">
        <v>265</v>
      </c>
      <c r="AB2" s="84" t="s">
        <v>266</v>
      </c>
      <c r="AC2" s="84" t="s">
        <v>267</v>
      </c>
      <c r="AD2" s="84" t="s">
        <v>268</v>
      </c>
      <c r="AE2" s="83" t="s">
        <v>269</v>
      </c>
      <c r="AF2" s="83" t="s">
        <v>270</v>
      </c>
      <c r="AG2" s="83" t="s">
        <v>271</v>
      </c>
      <c r="AH2" s="83" t="s">
        <v>272</v>
      </c>
      <c r="AI2" s="85" t="s">
        <v>273</v>
      </c>
      <c r="AJ2" s="86" t="s">
        <v>274</v>
      </c>
      <c r="AK2" s="83" t="s">
        <v>275</v>
      </c>
      <c r="AL2" s="83" t="s">
        <v>276</v>
      </c>
      <c r="AM2" s="83" t="s">
        <v>277</v>
      </c>
      <c r="AN2" s="83" t="s">
        <v>278</v>
      </c>
      <c r="AO2" s="83" t="s">
        <v>279</v>
      </c>
      <c r="AP2" s="83" t="s">
        <v>280</v>
      </c>
      <c r="AQ2" s="83" t="s">
        <v>281</v>
      </c>
      <c r="AR2" s="83" t="s">
        <v>282</v>
      </c>
      <c r="AS2" s="83" t="s">
        <v>283</v>
      </c>
      <c r="AT2" s="83" t="s">
        <v>284</v>
      </c>
      <c r="AU2" s="83" t="s">
        <v>285</v>
      </c>
      <c r="AV2" s="83" t="s">
        <v>286</v>
      </c>
      <c r="AW2" s="83" t="s">
        <v>287</v>
      </c>
      <c r="AX2" s="83" t="s">
        <v>288</v>
      </c>
      <c r="AY2" s="83" t="s">
        <v>289</v>
      </c>
      <c r="AZ2" s="83" t="s">
        <v>290</v>
      </c>
      <c r="BA2" s="83" t="s">
        <v>291</v>
      </c>
      <c r="BB2" s="83" t="s">
        <v>292</v>
      </c>
      <c r="BC2" s="83" t="s">
        <v>293</v>
      </c>
      <c r="BD2" s="83" t="s">
        <v>294</v>
      </c>
      <c r="BE2" s="83" t="s">
        <v>295</v>
      </c>
    </row>
    <row r="3" spans="1:59" ht="27" thickBot="1">
      <c r="A3" s="87" t="s">
        <v>296</v>
      </c>
      <c r="B3" s="87" t="s">
        <v>296</v>
      </c>
      <c r="C3" s="87" t="s">
        <v>296</v>
      </c>
      <c r="D3" s="87" t="s">
        <v>296</v>
      </c>
      <c r="E3" s="87" t="s">
        <v>296</v>
      </c>
      <c r="F3" s="87" t="s">
        <v>297</v>
      </c>
      <c r="G3" s="87" t="s">
        <v>297</v>
      </c>
      <c r="H3" s="87" t="s">
        <v>297</v>
      </c>
      <c r="I3" s="87" t="s">
        <v>297</v>
      </c>
      <c r="J3" s="87" t="s">
        <v>297</v>
      </c>
      <c r="K3" s="87" t="s">
        <v>297</v>
      </c>
      <c r="L3" s="87" t="s">
        <v>298</v>
      </c>
      <c r="M3" s="87" t="s">
        <v>298</v>
      </c>
      <c r="N3" s="87" t="s">
        <v>299</v>
      </c>
      <c r="O3" s="87" t="s">
        <v>300</v>
      </c>
      <c r="P3" s="87" t="s">
        <v>300</v>
      </c>
      <c r="Q3" s="87" t="s">
        <v>300</v>
      </c>
      <c r="R3" s="87" t="s">
        <v>300</v>
      </c>
      <c r="S3" s="87" t="s">
        <v>301</v>
      </c>
      <c r="T3" s="87" t="s">
        <v>301</v>
      </c>
      <c r="U3" s="87" t="s">
        <v>299</v>
      </c>
      <c r="V3" s="87" t="s">
        <v>298</v>
      </c>
      <c r="W3" s="87" t="s">
        <v>298</v>
      </c>
      <c r="X3" s="87" t="s">
        <v>298</v>
      </c>
      <c r="Y3" s="87" t="s">
        <v>298</v>
      </c>
      <c r="Z3" s="87" t="s">
        <v>299</v>
      </c>
      <c r="AA3" s="88" t="s">
        <v>298</v>
      </c>
      <c r="AB3" s="88" t="s">
        <v>298</v>
      </c>
      <c r="AC3" s="88" t="s">
        <v>298</v>
      </c>
      <c r="AD3" s="88" t="s">
        <v>298</v>
      </c>
      <c r="AE3" s="87" t="s">
        <v>301</v>
      </c>
      <c r="AF3" s="87" t="s">
        <v>301</v>
      </c>
      <c r="AG3" s="87" t="s">
        <v>301</v>
      </c>
      <c r="AH3" s="87" t="s">
        <v>301</v>
      </c>
      <c r="AI3" s="89" t="s">
        <v>298</v>
      </c>
      <c r="AJ3" s="90" t="s">
        <v>298</v>
      </c>
      <c r="AK3" s="87" t="s">
        <v>298</v>
      </c>
      <c r="AL3" s="87" t="s">
        <v>298</v>
      </c>
      <c r="AM3" s="87" t="s">
        <v>298</v>
      </c>
      <c r="AN3" s="87" t="s">
        <v>298</v>
      </c>
      <c r="AO3" s="87" t="s">
        <v>298</v>
      </c>
      <c r="AP3" s="87" t="s">
        <v>298</v>
      </c>
      <c r="AQ3" s="87" t="s">
        <v>298</v>
      </c>
      <c r="AR3" s="87" t="s">
        <v>301</v>
      </c>
      <c r="AS3" s="87" t="s">
        <v>298</v>
      </c>
      <c r="AT3" s="87" t="s">
        <v>298</v>
      </c>
      <c r="AU3" s="87" t="s">
        <v>298</v>
      </c>
      <c r="AV3" s="87" t="s">
        <v>302</v>
      </c>
      <c r="AW3" s="87" t="s">
        <v>303</v>
      </c>
      <c r="AX3" s="87" t="s">
        <v>303</v>
      </c>
      <c r="AY3" s="87" t="s">
        <v>303</v>
      </c>
      <c r="AZ3" s="87" t="s">
        <v>303</v>
      </c>
      <c r="BA3" s="87" t="s">
        <v>303</v>
      </c>
      <c r="BB3" s="87" t="s">
        <v>303</v>
      </c>
      <c r="BC3" s="87" t="s">
        <v>303</v>
      </c>
      <c r="BD3" s="87" t="s">
        <v>303</v>
      </c>
      <c r="BE3" s="87" t="s">
        <v>303</v>
      </c>
    </row>
    <row r="4" spans="1:59" ht="27" thickBot="1">
      <c r="A4" s="91" t="s">
        <v>304</v>
      </c>
      <c r="B4" s="91" t="s">
        <v>304</v>
      </c>
      <c r="C4" s="91" t="s">
        <v>304</v>
      </c>
      <c r="D4" s="91" t="s">
        <v>304</v>
      </c>
      <c r="E4" s="91" t="s">
        <v>304</v>
      </c>
      <c r="F4" s="91" t="s">
        <v>304</v>
      </c>
      <c r="G4" s="91" t="s">
        <v>304</v>
      </c>
      <c r="H4" s="91" t="s">
        <v>304</v>
      </c>
      <c r="I4" s="91" t="s">
        <v>304</v>
      </c>
      <c r="J4" s="91" t="s">
        <v>304</v>
      </c>
      <c r="K4" s="91" t="s">
        <v>304</v>
      </c>
      <c r="L4" s="91" t="s">
        <v>305</v>
      </c>
      <c r="M4" s="91" t="s">
        <v>305</v>
      </c>
      <c r="N4" s="91" t="s">
        <v>304</v>
      </c>
      <c r="O4" s="91" t="s">
        <v>306</v>
      </c>
      <c r="P4" s="91" t="s">
        <v>306</v>
      </c>
      <c r="Q4" s="91" t="s">
        <v>306</v>
      </c>
      <c r="R4" s="91" t="s">
        <v>306</v>
      </c>
      <c r="S4" s="91" t="s">
        <v>301</v>
      </c>
      <c r="T4" s="91" t="s">
        <v>301</v>
      </c>
      <c r="U4" s="91" t="s">
        <v>304</v>
      </c>
      <c r="V4" s="91" t="s">
        <v>305</v>
      </c>
      <c r="W4" s="91" t="s">
        <v>305</v>
      </c>
      <c r="X4" s="91" t="s">
        <v>305</v>
      </c>
      <c r="Y4" s="91" t="s">
        <v>305</v>
      </c>
      <c r="Z4" s="91" t="s">
        <v>304</v>
      </c>
      <c r="AA4" s="92" t="s">
        <v>307</v>
      </c>
      <c r="AB4" s="92" t="s">
        <v>307</v>
      </c>
      <c r="AC4" s="92" t="s">
        <v>307</v>
      </c>
      <c r="AD4" s="92" t="s">
        <v>307</v>
      </c>
      <c r="AE4" s="91" t="s">
        <v>301</v>
      </c>
      <c r="AF4" s="91" t="s">
        <v>301</v>
      </c>
      <c r="AG4" s="91" t="s">
        <v>301</v>
      </c>
      <c r="AH4" s="91" t="s">
        <v>301</v>
      </c>
      <c r="AI4" s="93" t="s">
        <v>308</v>
      </c>
      <c r="AJ4" s="94" t="s">
        <v>308</v>
      </c>
      <c r="AK4" s="91" t="s">
        <v>309</v>
      </c>
      <c r="AL4" s="91" t="s">
        <v>310</v>
      </c>
      <c r="AM4" s="91" t="s">
        <v>310</v>
      </c>
      <c r="AN4" s="91" t="s">
        <v>309</v>
      </c>
      <c r="AO4" s="91" t="s">
        <v>308</v>
      </c>
      <c r="AP4" s="91" t="s">
        <v>308</v>
      </c>
      <c r="AQ4" s="91" t="s">
        <v>309</v>
      </c>
      <c r="AR4" s="91" t="s">
        <v>301</v>
      </c>
      <c r="AS4" s="91" t="s">
        <v>311</v>
      </c>
      <c r="AT4" s="91" t="s">
        <v>312</v>
      </c>
      <c r="AU4" s="91" t="s">
        <v>313</v>
      </c>
      <c r="AV4" s="91" t="s">
        <v>304</v>
      </c>
      <c r="AW4" s="91" t="s">
        <v>304</v>
      </c>
      <c r="AX4" s="91" t="s">
        <v>304</v>
      </c>
      <c r="AY4" s="91" t="s">
        <v>304</v>
      </c>
      <c r="AZ4" s="91" t="s">
        <v>304</v>
      </c>
      <c r="BA4" s="91" t="s">
        <v>304</v>
      </c>
      <c r="BB4" s="91" t="s">
        <v>304</v>
      </c>
      <c r="BC4" s="91" t="s">
        <v>304</v>
      </c>
      <c r="BD4" s="91" t="s">
        <v>304</v>
      </c>
      <c r="BE4" s="91" t="s">
        <v>304</v>
      </c>
    </row>
    <row r="5" spans="1:59" ht="27" thickBot="1">
      <c r="A5" s="95" t="s">
        <v>314</v>
      </c>
      <c r="B5" s="95" t="s">
        <v>315</v>
      </c>
      <c r="C5" s="95" t="s">
        <v>314</v>
      </c>
      <c r="D5" s="95" t="s">
        <v>314</v>
      </c>
      <c r="E5" s="95" t="s">
        <v>315</v>
      </c>
      <c r="F5" s="95" t="s">
        <v>316</v>
      </c>
      <c r="G5" s="95" t="s">
        <v>316</v>
      </c>
      <c r="H5" s="95" t="s">
        <v>316</v>
      </c>
      <c r="I5" s="95" t="s">
        <v>316</v>
      </c>
      <c r="J5" s="95" t="s">
        <v>314</v>
      </c>
      <c r="K5" s="95" t="s">
        <v>314</v>
      </c>
      <c r="L5" s="95" t="s">
        <v>314</v>
      </c>
      <c r="M5" s="95" t="s">
        <v>314</v>
      </c>
      <c r="N5" s="95" t="s">
        <v>314</v>
      </c>
      <c r="O5" s="95" t="s">
        <v>316</v>
      </c>
      <c r="P5" s="95" t="s">
        <v>316</v>
      </c>
      <c r="Q5" s="95" t="s">
        <v>316</v>
      </c>
      <c r="R5" s="95" t="s">
        <v>316</v>
      </c>
      <c r="S5" s="95" t="s">
        <v>316</v>
      </c>
      <c r="T5" s="95" t="s">
        <v>316</v>
      </c>
      <c r="U5" s="95" t="s">
        <v>316</v>
      </c>
      <c r="V5" s="95" t="s">
        <v>316</v>
      </c>
      <c r="W5" s="95" t="s">
        <v>316</v>
      </c>
      <c r="X5" s="95" t="s">
        <v>316</v>
      </c>
      <c r="Y5" s="95" t="s">
        <v>316</v>
      </c>
      <c r="Z5" s="95" t="s">
        <v>316</v>
      </c>
      <c r="AA5" s="96" t="s">
        <v>316</v>
      </c>
      <c r="AB5" s="96" t="s">
        <v>316</v>
      </c>
      <c r="AC5" s="96" t="s">
        <v>316</v>
      </c>
      <c r="AD5" s="96" t="s">
        <v>316</v>
      </c>
      <c r="AE5" s="95" t="s">
        <v>316</v>
      </c>
      <c r="AF5" s="95" t="s">
        <v>316</v>
      </c>
      <c r="AG5" s="95" t="s">
        <v>316</v>
      </c>
      <c r="AH5" s="95" t="s">
        <v>316</v>
      </c>
      <c r="AI5" s="97" t="s">
        <v>316</v>
      </c>
      <c r="AJ5" s="98" t="s">
        <v>316</v>
      </c>
      <c r="AK5" s="95" t="s">
        <v>316</v>
      </c>
      <c r="AL5" s="95" t="s">
        <v>316</v>
      </c>
      <c r="AM5" s="95" t="s">
        <v>316</v>
      </c>
      <c r="AN5" s="95" t="s">
        <v>316</v>
      </c>
      <c r="AO5" s="95" t="s">
        <v>316</v>
      </c>
      <c r="AP5" s="95" t="s">
        <v>316</v>
      </c>
      <c r="AQ5" s="95" t="s">
        <v>316</v>
      </c>
      <c r="AR5" s="95" t="s">
        <v>316</v>
      </c>
      <c r="AS5" s="95" t="s">
        <v>314</v>
      </c>
      <c r="AT5" s="95" t="s">
        <v>314</v>
      </c>
      <c r="AU5" s="95" t="s">
        <v>314</v>
      </c>
      <c r="AV5" s="95" t="s">
        <v>314</v>
      </c>
      <c r="AW5" s="95" t="s">
        <v>316</v>
      </c>
      <c r="AX5" s="95" t="s">
        <v>314</v>
      </c>
      <c r="AY5" s="95" t="s">
        <v>314</v>
      </c>
      <c r="AZ5" s="95" t="s">
        <v>316</v>
      </c>
      <c r="BA5" s="95" t="s">
        <v>314</v>
      </c>
      <c r="BB5" s="95" t="s">
        <v>315</v>
      </c>
      <c r="BC5" s="95" t="s">
        <v>315</v>
      </c>
      <c r="BD5" s="95" t="s">
        <v>315</v>
      </c>
      <c r="BE5" s="95" t="s">
        <v>315</v>
      </c>
      <c r="BF5" s="115" t="s">
        <v>167</v>
      </c>
      <c r="BG5" s="115" t="s">
        <v>168</v>
      </c>
    </row>
    <row r="6" spans="1:59" s="120" customFormat="1" ht="14">
      <c r="A6" s="20"/>
      <c r="B6" s="20" t="s">
        <v>173</v>
      </c>
      <c r="C6" s="20"/>
      <c r="D6" s="20"/>
      <c r="E6" s="72" t="s">
        <v>320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118"/>
      <c r="W6" s="20"/>
      <c r="X6" s="20"/>
      <c r="Y6" s="17"/>
      <c r="Z6" s="20"/>
      <c r="AA6" s="73">
        <v>-63.2</v>
      </c>
      <c r="AB6" s="73">
        <v>131.6</v>
      </c>
      <c r="AC6" s="125"/>
      <c r="AD6" s="73">
        <v>9.1999999999999993</v>
      </c>
      <c r="AE6" s="72">
        <v>6</v>
      </c>
      <c r="AF6" s="72">
        <v>6</v>
      </c>
      <c r="AG6" s="126"/>
      <c r="AH6" s="20"/>
      <c r="AI6" s="71">
        <v>54</v>
      </c>
      <c r="AJ6" s="119"/>
      <c r="AK6" s="20">
        <v>100</v>
      </c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 t="s">
        <v>420</v>
      </c>
      <c r="AW6" s="20"/>
      <c r="AX6" s="20"/>
      <c r="AY6" s="20"/>
      <c r="AZ6" s="20"/>
      <c r="BA6" s="20"/>
      <c r="BB6" s="20" t="s">
        <v>419</v>
      </c>
      <c r="BC6" s="20"/>
      <c r="BD6" s="20"/>
      <c r="BE6" s="72" t="s">
        <v>318</v>
      </c>
      <c r="BF6" s="117">
        <v>47.0988032380737</v>
      </c>
      <c r="BG6" s="117">
        <v>-84.712252949819799</v>
      </c>
    </row>
    <row r="7" spans="1:59" s="120" customFormat="1" ht="14">
      <c r="A7" s="20"/>
      <c r="B7" s="20" t="s">
        <v>173</v>
      </c>
      <c r="C7" s="20"/>
      <c r="D7" s="20"/>
      <c r="E7" s="72" t="s">
        <v>321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118"/>
      <c r="W7" s="20"/>
      <c r="X7" s="20"/>
      <c r="Y7" s="17"/>
      <c r="Z7" s="20"/>
      <c r="AA7" s="73">
        <v>-77.2</v>
      </c>
      <c r="AB7" s="73">
        <v>146</v>
      </c>
      <c r="AC7" s="125"/>
      <c r="AD7" s="73">
        <v>13.7</v>
      </c>
      <c r="AE7" s="72">
        <v>3</v>
      </c>
      <c r="AF7" s="72">
        <v>3</v>
      </c>
      <c r="AG7" s="126"/>
      <c r="AH7" s="20"/>
      <c r="AI7" s="71">
        <v>54</v>
      </c>
      <c r="AJ7" s="119"/>
      <c r="AK7" s="20">
        <v>100</v>
      </c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 t="s">
        <v>420</v>
      </c>
      <c r="AW7" s="20"/>
      <c r="AX7" s="20"/>
      <c r="AY7" s="20"/>
      <c r="AZ7" s="20"/>
      <c r="BA7" s="20"/>
      <c r="BB7" s="20" t="s">
        <v>419</v>
      </c>
      <c r="BC7" s="20"/>
      <c r="BD7" s="20"/>
      <c r="BE7" s="72" t="s">
        <v>92</v>
      </c>
      <c r="BF7" s="117">
        <v>47.098654000000003</v>
      </c>
      <c r="BG7" s="117">
        <v>-84.712383000000003</v>
      </c>
    </row>
    <row r="8" spans="1:59" s="120" customFormat="1" ht="14">
      <c r="A8" s="20"/>
      <c r="B8" s="20" t="s">
        <v>173</v>
      </c>
      <c r="C8" s="20"/>
      <c r="D8" s="20"/>
      <c r="E8" s="72" t="s">
        <v>322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118"/>
      <c r="X8" s="20"/>
      <c r="Y8" s="17"/>
      <c r="Z8" s="20"/>
      <c r="AA8" s="73">
        <v>-77.5</v>
      </c>
      <c r="AB8" s="73">
        <v>120.3</v>
      </c>
      <c r="AC8" s="125"/>
      <c r="AD8" s="73">
        <v>7.4</v>
      </c>
      <c r="AE8" s="72">
        <v>5</v>
      </c>
      <c r="AF8" s="72">
        <v>5</v>
      </c>
      <c r="AG8" s="126"/>
      <c r="AH8" s="126"/>
      <c r="AI8" s="71">
        <v>87.5</v>
      </c>
      <c r="AJ8" s="121"/>
      <c r="AK8" s="20">
        <v>100</v>
      </c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 t="s">
        <v>420</v>
      </c>
      <c r="AW8" s="20"/>
      <c r="AX8" s="20"/>
      <c r="AY8" s="20"/>
      <c r="AZ8" s="20"/>
      <c r="BA8" s="20"/>
      <c r="BB8" s="20" t="s">
        <v>418</v>
      </c>
      <c r="BC8" s="20"/>
      <c r="BD8" s="20"/>
      <c r="BE8" s="72" t="s">
        <v>92</v>
      </c>
      <c r="BF8" s="117">
        <v>47.098618000000002</v>
      </c>
      <c r="BG8" s="117">
        <v>-84.712419999999995</v>
      </c>
    </row>
    <row r="9" spans="1:59" s="120" customFormat="1" ht="14">
      <c r="A9" s="20"/>
      <c r="B9" s="20" t="s">
        <v>173</v>
      </c>
      <c r="C9" s="20"/>
      <c r="D9" s="20"/>
      <c r="E9" s="72" t="s">
        <v>323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118"/>
      <c r="X9" s="20"/>
      <c r="Y9" s="17"/>
      <c r="Z9" s="20"/>
      <c r="AA9" s="73">
        <v>-66.400000000000006</v>
      </c>
      <c r="AB9" s="73">
        <v>141.5</v>
      </c>
      <c r="AC9" s="125"/>
      <c r="AD9" s="73">
        <v>8.4</v>
      </c>
      <c r="AE9" s="72">
        <v>4</v>
      </c>
      <c r="AF9" s="72">
        <v>4</v>
      </c>
      <c r="AG9" s="126"/>
      <c r="AH9" s="126"/>
      <c r="AI9" s="71">
        <v>120.7</v>
      </c>
      <c r="AJ9" s="121"/>
      <c r="AK9" s="20">
        <v>100</v>
      </c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 t="s">
        <v>420</v>
      </c>
      <c r="AW9" s="20"/>
      <c r="AX9" s="20"/>
      <c r="AY9" s="20"/>
      <c r="AZ9" s="20"/>
      <c r="BA9" s="20"/>
      <c r="BB9" s="20" t="s">
        <v>419</v>
      </c>
      <c r="BC9" s="20"/>
      <c r="BD9" s="20"/>
      <c r="BE9" s="72" t="s">
        <v>318</v>
      </c>
      <c r="BF9" s="117">
        <v>47.098592717409304</v>
      </c>
      <c r="BG9" s="117">
        <v>-84.712525542127906</v>
      </c>
    </row>
    <row r="10" spans="1:59" s="120" customFormat="1" ht="14">
      <c r="A10" s="20"/>
      <c r="B10" s="20" t="s">
        <v>173</v>
      </c>
      <c r="C10" s="20"/>
      <c r="D10" s="20"/>
      <c r="E10" s="72" t="s">
        <v>324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118"/>
      <c r="W10" s="122"/>
      <c r="X10" s="20"/>
      <c r="Y10" s="17"/>
      <c r="Z10" s="20"/>
      <c r="AA10" s="73">
        <v>-72.7</v>
      </c>
      <c r="AB10" s="73">
        <v>126.6</v>
      </c>
      <c r="AC10" s="122"/>
      <c r="AD10" s="73">
        <v>4.5</v>
      </c>
      <c r="AE10" s="72">
        <v>6</v>
      </c>
      <c r="AF10" s="72">
        <v>6</v>
      </c>
      <c r="AG10" s="126"/>
      <c r="AH10" s="126"/>
      <c r="AI10" s="71">
        <v>189</v>
      </c>
      <c r="AJ10" s="121"/>
      <c r="AK10" s="20">
        <v>100</v>
      </c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 t="s">
        <v>420</v>
      </c>
      <c r="AW10" s="20"/>
      <c r="AX10" s="20"/>
      <c r="AY10" s="20"/>
      <c r="AZ10" s="20"/>
      <c r="BA10" s="20"/>
      <c r="BB10" s="20" t="s">
        <v>419</v>
      </c>
      <c r="BC10" s="20"/>
      <c r="BD10" s="20"/>
      <c r="BE10" s="72" t="s">
        <v>92</v>
      </c>
      <c r="BF10" s="117">
        <f>AVERAGE(BF9,BF11)</f>
        <v>47.098579757573702</v>
      </c>
      <c r="BG10" s="117">
        <f>AVERAGE(BG9,BG11)</f>
        <v>-84.712552454480857</v>
      </c>
    </row>
    <row r="11" spans="1:59" s="120" customFormat="1" ht="14">
      <c r="A11" s="20"/>
      <c r="B11" s="20" t="s">
        <v>173</v>
      </c>
      <c r="C11" s="20"/>
      <c r="D11" s="20"/>
      <c r="E11" s="72" t="s">
        <v>325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18"/>
      <c r="X11" s="20"/>
      <c r="Y11" s="17"/>
      <c r="Z11" s="20"/>
      <c r="AA11" s="73">
        <v>-72.900000000000006</v>
      </c>
      <c r="AB11" s="73">
        <v>122.6</v>
      </c>
      <c r="AC11" s="122"/>
      <c r="AD11" s="73">
        <v>9.6</v>
      </c>
      <c r="AE11" s="72">
        <v>4</v>
      </c>
      <c r="AF11" s="72">
        <v>4</v>
      </c>
      <c r="AG11" s="126"/>
      <c r="AH11" s="126"/>
      <c r="AI11" s="71">
        <v>92.7</v>
      </c>
      <c r="AJ11" s="121"/>
      <c r="AK11" s="20">
        <v>100</v>
      </c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 t="s">
        <v>420</v>
      </c>
      <c r="AW11" s="20"/>
      <c r="AX11" s="20"/>
      <c r="AY11" s="20"/>
      <c r="AZ11" s="20"/>
      <c r="BA11" s="20"/>
      <c r="BB11" s="20" t="s">
        <v>419</v>
      </c>
      <c r="BC11" s="20"/>
      <c r="BD11" s="20"/>
      <c r="BE11" s="72" t="s">
        <v>318</v>
      </c>
      <c r="BF11" s="117">
        <v>47.098566797738101</v>
      </c>
      <c r="BG11" s="117">
        <v>-84.712579366833793</v>
      </c>
    </row>
    <row r="12" spans="1:59" s="120" customFormat="1" ht="14">
      <c r="A12" s="20"/>
      <c r="B12" s="20" t="s">
        <v>173</v>
      </c>
      <c r="C12" s="20"/>
      <c r="D12" s="20"/>
      <c r="E12" s="72" t="s">
        <v>326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118"/>
      <c r="X12" s="20"/>
      <c r="Y12" s="17"/>
      <c r="Z12" s="20"/>
      <c r="AA12" s="73">
        <v>-67.099999999999994</v>
      </c>
      <c r="AB12" s="73">
        <v>108.9</v>
      </c>
      <c r="AC12" s="125"/>
      <c r="AD12" s="73">
        <v>7.4</v>
      </c>
      <c r="AE12" s="72">
        <v>5</v>
      </c>
      <c r="AF12" s="72">
        <v>5</v>
      </c>
      <c r="AG12" s="126"/>
      <c r="AH12" s="126"/>
      <c r="AI12" s="71">
        <v>87</v>
      </c>
      <c r="AJ12" s="121"/>
      <c r="AK12" s="20">
        <v>100</v>
      </c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 t="s">
        <v>420</v>
      </c>
      <c r="AW12" s="20"/>
      <c r="AX12" s="20"/>
      <c r="AY12" s="20"/>
      <c r="AZ12" s="20"/>
      <c r="BA12" s="20"/>
      <c r="BB12" s="20" t="s">
        <v>419</v>
      </c>
      <c r="BC12" s="20"/>
      <c r="BD12" s="20"/>
      <c r="BE12" s="72" t="s">
        <v>92</v>
      </c>
      <c r="BF12" s="117">
        <v>47.098498999999997</v>
      </c>
      <c r="BG12" s="117">
        <v>-84.712599999999995</v>
      </c>
    </row>
    <row r="13" spans="1:59" s="120" customFormat="1" ht="14">
      <c r="A13" s="20"/>
      <c r="B13" s="20" t="s">
        <v>173</v>
      </c>
      <c r="C13" s="20"/>
      <c r="D13" s="20"/>
      <c r="E13" s="72" t="s">
        <v>327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118"/>
      <c r="X13" s="20"/>
      <c r="Y13" s="17"/>
      <c r="Z13" s="20"/>
      <c r="AA13" s="73">
        <v>-72.400000000000006</v>
      </c>
      <c r="AB13" s="73">
        <v>128.9</v>
      </c>
      <c r="AC13" s="125"/>
      <c r="AD13" s="73">
        <v>2.2999999999999998</v>
      </c>
      <c r="AE13" s="72">
        <v>3</v>
      </c>
      <c r="AF13" s="72">
        <v>3</v>
      </c>
      <c r="AG13" s="126"/>
      <c r="AH13" s="126"/>
      <c r="AI13" s="71">
        <v>1895</v>
      </c>
      <c r="AJ13" s="121"/>
      <c r="AK13" s="20">
        <v>100</v>
      </c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 t="s">
        <v>420</v>
      </c>
      <c r="AW13" s="20"/>
      <c r="AX13" s="20"/>
      <c r="AY13" s="20"/>
      <c r="AZ13" s="20"/>
      <c r="BA13" s="20"/>
      <c r="BB13" s="20" t="s">
        <v>419</v>
      </c>
      <c r="BC13" s="20"/>
      <c r="BD13" s="20"/>
      <c r="BE13" s="72" t="s">
        <v>92</v>
      </c>
      <c r="BF13" s="117">
        <v>47.098453999999997</v>
      </c>
      <c r="BG13" s="117">
        <v>-84.712644999999995</v>
      </c>
    </row>
    <row r="14" spans="1:59" s="120" customFormat="1" ht="14">
      <c r="A14" s="20"/>
      <c r="B14" s="20" t="s">
        <v>173</v>
      </c>
      <c r="C14" s="20"/>
      <c r="D14" s="20"/>
      <c r="E14" s="72" t="s">
        <v>328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118"/>
      <c r="W14" s="118"/>
      <c r="X14" s="20"/>
      <c r="Y14" s="17"/>
      <c r="Z14" s="20"/>
      <c r="AA14" s="73">
        <v>-70.7</v>
      </c>
      <c r="AB14" s="73">
        <v>138.69999999999999</v>
      </c>
      <c r="AC14" s="122"/>
      <c r="AD14" s="73">
        <v>5.5</v>
      </c>
      <c r="AE14" s="72">
        <v>3</v>
      </c>
      <c r="AF14" s="72">
        <v>3</v>
      </c>
      <c r="AG14" s="126"/>
      <c r="AH14" s="126"/>
      <c r="AI14" s="71">
        <v>337</v>
      </c>
      <c r="AJ14" s="121"/>
      <c r="AK14" s="20">
        <v>100</v>
      </c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 t="s">
        <v>420</v>
      </c>
      <c r="AW14" s="20"/>
      <c r="AX14" s="20"/>
      <c r="AY14" s="20"/>
      <c r="AZ14" s="20"/>
      <c r="BA14" s="20"/>
      <c r="BB14" s="20" t="s">
        <v>419</v>
      </c>
      <c r="BC14" s="20"/>
      <c r="BD14" s="20"/>
      <c r="BE14" s="72" t="s">
        <v>92</v>
      </c>
      <c r="BF14" s="117">
        <v>47.098443000000003</v>
      </c>
      <c r="BG14" s="117">
        <v>-84.712665000000001</v>
      </c>
    </row>
    <row r="15" spans="1:59" s="120" customFormat="1" ht="14">
      <c r="A15" s="20"/>
      <c r="B15" s="20" t="s">
        <v>173</v>
      </c>
      <c r="C15" s="20"/>
      <c r="D15" s="20"/>
      <c r="E15" s="72" t="s">
        <v>329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118"/>
      <c r="X15" s="20"/>
      <c r="Y15" s="17"/>
      <c r="Z15" s="20"/>
      <c r="AA15" s="73">
        <v>-67.2</v>
      </c>
      <c r="AB15" s="73">
        <v>125.8</v>
      </c>
      <c r="AC15" s="122"/>
      <c r="AD15" s="73">
        <v>6.6</v>
      </c>
      <c r="AE15" s="72">
        <v>6</v>
      </c>
      <c r="AF15" s="72">
        <v>6</v>
      </c>
      <c r="AG15" s="126"/>
      <c r="AH15" s="126"/>
      <c r="AI15" s="71">
        <v>105.1</v>
      </c>
      <c r="AJ15" s="121"/>
      <c r="AK15" s="20">
        <v>100</v>
      </c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 t="s">
        <v>420</v>
      </c>
      <c r="AW15" s="20"/>
      <c r="AX15" s="20"/>
      <c r="AY15" s="20"/>
      <c r="AZ15" s="20"/>
      <c r="BA15" s="20"/>
      <c r="BB15" s="20" t="s">
        <v>419</v>
      </c>
      <c r="BC15" s="20"/>
      <c r="BD15" s="20"/>
      <c r="BE15" s="72" t="s">
        <v>318</v>
      </c>
      <c r="BF15" s="117">
        <v>47.098407588585196</v>
      </c>
      <c r="BG15" s="117">
        <v>-84.712717973514799</v>
      </c>
    </row>
    <row r="16" spans="1:59" s="120" customFormat="1" ht="14">
      <c r="A16" s="20"/>
      <c r="B16" s="20" t="s">
        <v>173</v>
      </c>
      <c r="C16" s="20"/>
      <c r="D16" s="20"/>
      <c r="E16" s="72" t="s">
        <v>330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118"/>
      <c r="X16" s="20"/>
      <c r="Y16" s="17"/>
      <c r="Z16" s="20"/>
      <c r="AA16" s="73">
        <v>-63.7</v>
      </c>
      <c r="AB16" s="73">
        <v>117</v>
      </c>
      <c r="AC16" s="122"/>
      <c r="AD16" s="73">
        <v>5</v>
      </c>
      <c r="AE16" s="72">
        <v>5</v>
      </c>
      <c r="AF16" s="72">
        <v>5</v>
      </c>
      <c r="AG16" s="126"/>
      <c r="AH16" s="126"/>
      <c r="AI16" s="71">
        <v>189</v>
      </c>
      <c r="AJ16" s="121"/>
      <c r="AK16" s="20">
        <v>100</v>
      </c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 t="s">
        <v>420</v>
      </c>
      <c r="AW16" s="20"/>
      <c r="AX16" s="20"/>
      <c r="AY16" s="20"/>
      <c r="AZ16" s="20"/>
      <c r="BA16" s="20"/>
      <c r="BB16" s="20" t="s">
        <v>419</v>
      </c>
      <c r="BC16" s="20"/>
      <c r="BD16" s="20"/>
      <c r="BE16" s="72" t="s">
        <v>92</v>
      </c>
      <c r="BF16" s="117">
        <f>AVERAGE(BF15,BF17)</f>
        <v>47.098359058458797</v>
      </c>
      <c r="BG16" s="117">
        <f>AVERAGE(BG15,BG17)</f>
        <v>-84.712766177417308</v>
      </c>
    </row>
    <row r="17" spans="1:59" s="120" customFormat="1" ht="14">
      <c r="A17" s="20"/>
      <c r="B17" s="20" t="s">
        <v>173</v>
      </c>
      <c r="C17" s="20"/>
      <c r="D17" s="20"/>
      <c r="E17" s="72" t="s">
        <v>331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118"/>
      <c r="W17" s="20"/>
      <c r="X17" s="20"/>
      <c r="Y17" s="17"/>
      <c r="Z17" s="20"/>
      <c r="AA17" s="73">
        <v>-64.599999999999994</v>
      </c>
      <c r="AB17" s="73">
        <v>122</v>
      </c>
      <c r="AC17" s="122"/>
      <c r="AD17" s="73">
        <v>2.6</v>
      </c>
      <c r="AE17" s="72">
        <v>4</v>
      </c>
      <c r="AF17" s="72">
        <v>4</v>
      </c>
      <c r="AG17" s="126"/>
      <c r="AH17" s="126"/>
      <c r="AI17" s="71">
        <v>1205</v>
      </c>
      <c r="AJ17" s="121"/>
      <c r="AK17" s="20">
        <v>100</v>
      </c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 t="s">
        <v>420</v>
      </c>
      <c r="AW17" s="20"/>
      <c r="AX17" s="20"/>
      <c r="AY17" s="20"/>
      <c r="AZ17" s="20"/>
      <c r="BA17" s="20"/>
      <c r="BB17" s="20" t="s">
        <v>419</v>
      </c>
      <c r="BC17" s="20"/>
      <c r="BD17" s="20"/>
      <c r="BE17" s="72" t="s">
        <v>318</v>
      </c>
      <c r="BF17" s="117">
        <v>47.098310528332398</v>
      </c>
      <c r="BG17" s="117">
        <v>-84.712814381319802</v>
      </c>
    </row>
    <row r="18" spans="1:59" s="120" customFormat="1" ht="14">
      <c r="A18" s="20"/>
      <c r="B18" s="20" t="s">
        <v>173</v>
      </c>
      <c r="C18" s="20"/>
      <c r="D18" s="20"/>
      <c r="E18" s="72" t="s">
        <v>332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118"/>
      <c r="W18" s="20"/>
      <c r="X18" s="20"/>
      <c r="Y18" s="17"/>
      <c r="Z18" s="20"/>
      <c r="AA18" s="73">
        <v>-75</v>
      </c>
      <c r="AB18" s="73">
        <v>78.599999999999994</v>
      </c>
      <c r="AC18" s="122"/>
      <c r="AD18" s="73">
        <v>3.3</v>
      </c>
      <c r="AE18" s="72">
        <v>6</v>
      </c>
      <c r="AF18" s="72">
        <v>6</v>
      </c>
      <c r="AG18" s="20"/>
      <c r="AH18" s="126"/>
      <c r="AI18" s="71">
        <v>419</v>
      </c>
      <c r="AJ18" s="121"/>
      <c r="AK18" s="20">
        <v>100</v>
      </c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 t="s">
        <v>420</v>
      </c>
      <c r="AW18" s="20"/>
      <c r="AX18" s="20"/>
      <c r="AY18" s="20"/>
      <c r="AZ18" s="20"/>
      <c r="BA18" s="20"/>
      <c r="BB18" s="20" t="s">
        <v>419</v>
      </c>
      <c r="BC18" s="20"/>
      <c r="BD18" s="20"/>
      <c r="BE18" s="72" t="s">
        <v>318</v>
      </c>
      <c r="BF18" s="117">
        <v>47.096718916783502</v>
      </c>
      <c r="BG18" s="117">
        <v>-84.714674785375294</v>
      </c>
    </row>
    <row r="19" spans="1:59" s="120" customFormat="1" ht="14">
      <c r="A19" s="20"/>
      <c r="B19" s="20" t="s">
        <v>173</v>
      </c>
      <c r="C19" s="20"/>
      <c r="D19" s="20"/>
      <c r="E19" s="72" t="s">
        <v>333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118"/>
      <c r="W19" s="20"/>
      <c r="X19" s="20"/>
      <c r="Y19" s="17"/>
      <c r="Z19" s="20"/>
      <c r="AA19" s="73">
        <v>-67.099999999999994</v>
      </c>
      <c r="AB19" s="73">
        <v>120.3</v>
      </c>
      <c r="AC19" s="122"/>
      <c r="AD19" s="73">
        <v>6.9</v>
      </c>
      <c r="AE19" s="72">
        <v>4</v>
      </c>
      <c r="AF19" s="72">
        <v>4</v>
      </c>
      <c r="AG19" s="20"/>
      <c r="AH19" s="126"/>
      <c r="AI19" s="71">
        <v>178.6</v>
      </c>
      <c r="AJ19" s="121"/>
      <c r="AK19" s="20">
        <v>100</v>
      </c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 t="s">
        <v>420</v>
      </c>
      <c r="AW19" s="20"/>
      <c r="AX19" s="20"/>
      <c r="AY19" s="20"/>
      <c r="AZ19" s="20"/>
      <c r="BA19" s="20"/>
      <c r="BB19" s="20" t="s">
        <v>419</v>
      </c>
      <c r="BC19" s="20"/>
      <c r="BD19" s="20"/>
      <c r="BE19" s="72" t="s">
        <v>318</v>
      </c>
      <c r="BF19" s="117">
        <v>47.0946179616164</v>
      </c>
      <c r="BG19" s="117">
        <v>-84.716266955079007</v>
      </c>
    </row>
    <row r="20" spans="1:59" s="120" customFormat="1" ht="14">
      <c r="A20" s="20"/>
      <c r="B20" s="20" t="s">
        <v>173</v>
      </c>
      <c r="C20" s="20"/>
      <c r="D20" s="20"/>
      <c r="E20" s="72" t="s">
        <v>334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118"/>
      <c r="W20" s="20"/>
      <c r="X20" s="20"/>
      <c r="Y20" s="17"/>
      <c r="Z20" s="20"/>
      <c r="AA20" s="73">
        <v>-73.5</v>
      </c>
      <c r="AB20" s="73">
        <v>118.5</v>
      </c>
      <c r="AC20" s="122"/>
      <c r="AD20" s="73">
        <v>5.9</v>
      </c>
      <c r="AE20" s="72">
        <v>6</v>
      </c>
      <c r="AF20" s="72">
        <v>6</v>
      </c>
      <c r="AG20" s="20"/>
      <c r="AH20" s="126"/>
      <c r="AI20" s="71">
        <v>108</v>
      </c>
      <c r="AJ20" s="121"/>
      <c r="AK20" s="20">
        <v>100</v>
      </c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 t="s">
        <v>420</v>
      </c>
      <c r="AW20" s="20"/>
      <c r="AX20" s="20"/>
      <c r="AY20" s="20"/>
      <c r="AZ20" s="20"/>
      <c r="BA20" s="20"/>
      <c r="BB20" s="20" t="s">
        <v>419</v>
      </c>
      <c r="BC20" s="20"/>
      <c r="BD20" s="20"/>
      <c r="BE20" s="72" t="s">
        <v>92</v>
      </c>
      <c r="BF20" s="117">
        <f>AVERAGE(BF19,BF21)</f>
        <v>47.094546688044701</v>
      </c>
      <c r="BG20" s="117">
        <f>AVERAGE(BG19,BG21)</f>
        <v>-84.716302947481907</v>
      </c>
    </row>
    <row r="21" spans="1:59" s="120" customFormat="1" ht="14">
      <c r="A21" s="20"/>
      <c r="B21" s="20" t="s">
        <v>173</v>
      </c>
      <c r="C21" s="20"/>
      <c r="D21" s="20"/>
      <c r="E21" s="72" t="s">
        <v>335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118"/>
      <c r="W21" s="20"/>
      <c r="X21" s="20"/>
      <c r="Y21" s="17"/>
      <c r="Z21" s="20"/>
      <c r="AA21" s="73">
        <v>-84.7</v>
      </c>
      <c r="AB21" s="73">
        <v>94.7</v>
      </c>
      <c r="AC21" s="122"/>
      <c r="AD21" s="73">
        <v>1.8</v>
      </c>
      <c r="AE21" s="72">
        <v>6</v>
      </c>
      <c r="AF21" s="72">
        <v>6</v>
      </c>
      <c r="AG21" s="20"/>
      <c r="AH21" s="126"/>
      <c r="AI21" s="71">
        <v>1343</v>
      </c>
      <c r="AJ21" s="121"/>
      <c r="AK21" s="20">
        <v>100</v>
      </c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 t="s">
        <v>420</v>
      </c>
      <c r="AW21" s="20"/>
      <c r="AX21" s="20"/>
      <c r="AY21" s="20"/>
      <c r="AZ21" s="20"/>
      <c r="BA21" s="20"/>
      <c r="BB21" s="20" t="s">
        <v>419</v>
      </c>
      <c r="BC21" s="20"/>
      <c r="BD21" s="20"/>
      <c r="BE21" s="72" t="s">
        <v>318</v>
      </c>
      <c r="BF21" s="117">
        <v>47.094475414473003</v>
      </c>
      <c r="BG21" s="117">
        <v>-84.716338939884807</v>
      </c>
    </row>
    <row r="22" spans="1:59" s="120" customFormat="1" ht="14">
      <c r="A22" s="20"/>
      <c r="B22" s="20" t="s">
        <v>173</v>
      </c>
      <c r="C22" s="20"/>
      <c r="D22" s="20"/>
      <c r="E22" s="72" t="s">
        <v>336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118"/>
      <c r="W22" s="20"/>
      <c r="X22" s="20"/>
      <c r="Y22" s="17"/>
      <c r="Z22" s="20"/>
      <c r="AA22" s="73">
        <v>-80.099999999999994</v>
      </c>
      <c r="AB22" s="73">
        <v>119.6</v>
      </c>
      <c r="AC22" s="122"/>
      <c r="AD22" s="73">
        <v>4.7</v>
      </c>
      <c r="AE22" s="72">
        <v>4</v>
      </c>
      <c r="AF22" s="72">
        <v>4</v>
      </c>
      <c r="AG22" s="20"/>
      <c r="AH22" s="126"/>
      <c r="AI22" s="71">
        <v>384.3</v>
      </c>
      <c r="AJ22" s="121"/>
      <c r="AK22" s="20">
        <v>100</v>
      </c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 t="s">
        <v>420</v>
      </c>
      <c r="AW22" s="20"/>
      <c r="AX22" s="20"/>
      <c r="AY22" s="20"/>
      <c r="AZ22" s="20"/>
      <c r="BA22" s="20"/>
      <c r="BB22" s="20" t="s">
        <v>419</v>
      </c>
      <c r="BC22" s="20"/>
      <c r="BD22" s="20"/>
      <c r="BE22" s="72" t="s">
        <v>318</v>
      </c>
      <c r="BF22" s="117">
        <v>47.094317779253103</v>
      </c>
      <c r="BG22" s="117">
        <v>-84.716556521651995</v>
      </c>
    </row>
    <row r="23" spans="1:59" s="120" customFormat="1" ht="14">
      <c r="A23" s="20"/>
      <c r="B23" s="20" t="s">
        <v>173</v>
      </c>
      <c r="C23" s="20"/>
      <c r="D23" s="20"/>
      <c r="E23" s="72" t="s">
        <v>337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118"/>
      <c r="W23" s="20"/>
      <c r="X23" s="20"/>
      <c r="Y23" s="17"/>
      <c r="Z23" s="20"/>
      <c r="AA23" s="73">
        <v>-77.7</v>
      </c>
      <c r="AB23" s="73">
        <v>86.9</v>
      </c>
      <c r="AC23" s="122"/>
      <c r="AD23" s="73">
        <v>3.3</v>
      </c>
      <c r="AE23" s="72">
        <v>4</v>
      </c>
      <c r="AF23" s="72">
        <v>4</v>
      </c>
      <c r="AG23" s="20"/>
      <c r="AH23" s="126"/>
      <c r="AI23" s="71">
        <v>594</v>
      </c>
      <c r="AJ23" s="121"/>
      <c r="AK23" s="20">
        <v>100</v>
      </c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 t="s">
        <v>420</v>
      </c>
      <c r="AW23" s="20"/>
      <c r="AX23" s="20"/>
      <c r="AY23" s="20"/>
      <c r="AZ23" s="20"/>
      <c r="BA23" s="20"/>
      <c r="BB23" s="20" t="s">
        <v>419</v>
      </c>
      <c r="BC23" s="20"/>
      <c r="BD23" s="20"/>
      <c r="BE23" s="72" t="s">
        <v>92</v>
      </c>
      <c r="BF23" s="117">
        <f>AVERAGE(BF22,BF24)</f>
        <v>47.094202074640506</v>
      </c>
      <c r="BG23" s="117">
        <f>AVERAGE(BG22,BG24)</f>
        <v>-84.716620768419006</v>
      </c>
    </row>
    <row r="24" spans="1:59" s="120" customFormat="1" ht="14">
      <c r="A24" s="20"/>
      <c r="B24" s="20" t="s">
        <v>173</v>
      </c>
      <c r="C24" s="20"/>
      <c r="D24" s="20"/>
      <c r="E24" s="72" t="s">
        <v>338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118"/>
      <c r="W24" s="20"/>
      <c r="X24" s="20"/>
      <c r="Y24" s="17"/>
      <c r="Z24" s="20"/>
      <c r="AA24" s="73">
        <v>-76.5</v>
      </c>
      <c r="AB24" s="73">
        <v>63.2</v>
      </c>
      <c r="AC24" s="122"/>
      <c r="AD24" s="73">
        <v>5.8</v>
      </c>
      <c r="AE24" s="72">
        <v>6</v>
      </c>
      <c r="AF24" s="72">
        <v>6</v>
      </c>
      <c r="AG24" s="20"/>
      <c r="AH24" s="126"/>
      <c r="AI24" s="71">
        <v>133.5</v>
      </c>
      <c r="AJ24" s="121"/>
      <c r="AK24" s="20">
        <v>100</v>
      </c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 t="s">
        <v>420</v>
      </c>
      <c r="AW24" s="20"/>
      <c r="AX24" s="20"/>
      <c r="AY24" s="20"/>
      <c r="AZ24" s="20"/>
      <c r="BA24" s="20"/>
      <c r="BB24" s="20" t="s">
        <v>419</v>
      </c>
      <c r="BC24" s="20"/>
      <c r="BD24" s="20"/>
      <c r="BE24" s="72" t="s">
        <v>318</v>
      </c>
      <c r="BF24" s="117">
        <v>47.094086370027902</v>
      </c>
      <c r="BG24" s="117">
        <v>-84.716685015186002</v>
      </c>
    </row>
    <row r="25" spans="1:59" s="120" customFormat="1" ht="14">
      <c r="A25" s="20"/>
      <c r="B25" s="20" t="s">
        <v>173</v>
      </c>
      <c r="C25" s="20"/>
      <c r="D25" s="20"/>
      <c r="E25" s="72" t="s">
        <v>339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118"/>
      <c r="W25" s="20"/>
      <c r="X25" s="20"/>
      <c r="Y25" s="17"/>
      <c r="Z25" s="20"/>
      <c r="AA25" s="73">
        <v>-70.900000000000006</v>
      </c>
      <c r="AB25" s="73">
        <v>99.6</v>
      </c>
      <c r="AC25" s="122"/>
      <c r="AD25" s="73">
        <v>6.5</v>
      </c>
      <c r="AE25" s="72">
        <v>6</v>
      </c>
      <c r="AF25" s="72">
        <v>6</v>
      </c>
      <c r="AG25" s="20"/>
      <c r="AH25" s="126"/>
      <c r="AI25" s="71">
        <v>108.6</v>
      </c>
      <c r="AJ25" s="121"/>
      <c r="AK25" s="20">
        <v>100</v>
      </c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 t="s">
        <v>420</v>
      </c>
      <c r="AW25" s="20"/>
      <c r="AX25" s="20"/>
      <c r="AY25" s="20"/>
      <c r="AZ25" s="20"/>
      <c r="BA25" s="20"/>
      <c r="BB25" s="20" t="s">
        <v>419</v>
      </c>
      <c r="BC25" s="20"/>
      <c r="BD25" s="20"/>
      <c r="BE25" s="72" t="s">
        <v>318</v>
      </c>
      <c r="BF25" s="117">
        <v>47.091228470801603</v>
      </c>
      <c r="BG25" s="117">
        <v>-84.718678316026001</v>
      </c>
    </row>
    <row r="26" spans="1:59" s="120" customFormat="1" ht="14">
      <c r="A26" s="20"/>
      <c r="B26" s="20" t="s">
        <v>173</v>
      </c>
      <c r="C26" s="20"/>
      <c r="D26" s="20"/>
      <c r="E26" s="72" t="s">
        <v>340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118"/>
      <c r="W26" s="20"/>
      <c r="X26" s="20"/>
      <c r="Y26" s="17"/>
      <c r="Z26" s="20"/>
      <c r="AA26" s="73">
        <v>-69.900000000000006</v>
      </c>
      <c r="AB26" s="73">
        <v>92.9</v>
      </c>
      <c r="AC26" s="122"/>
      <c r="AD26" s="73">
        <v>2.7</v>
      </c>
      <c r="AE26" s="72">
        <v>5</v>
      </c>
      <c r="AF26" s="72">
        <v>5</v>
      </c>
      <c r="AG26" s="20"/>
      <c r="AH26" s="126"/>
      <c r="AI26" s="71">
        <v>813.9</v>
      </c>
      <c r="AJ26" s="121"/>
      <c r="AK26" s="20">
        <v>100</v>
      </c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 t="s">
        <v>420</v>
      </c>
      <c r="AW26" s="20"/>
      <c r="AX26" s="20"/>
      <c r="AY26" s="20"/>
      <c r="AZ26" s="20"/>
      <c r="BA26" s="20"/>
      <c r="BB26" s="20" t="s">
        <v>419</v>
      </c>
      <c r="BC26" s="20"/>
      <c r="BD26" s="20"/>
      <c r="BE26" s="72" t="s">
        <v>318</v>
      </c>
      <c r="BF26" s="117">
        <v>47.091139870652299</v>
      </c>
      <c r="BG26" s="117">
        <v>-84.718747984718306</v>
      </c>
    </row>
    <row r="27" spans="1:59" s="120" customFormat="1" ht="14">
      <c r="A27" s="20"/>
      <c r="B27" s="20" t="s">
        <v>173</v>
      </c>
      <c r="C27" s="20"/>
      <c r="D27" s="20"/>
      <c r="E27" s="72" t="s">
        <v>341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118"/>
      <c r="W27" s="20"/>
      <c r="X27" s="20"/>
      <c r="Y27" s="17"/>
      <c r="Z27" s="20"/>
      <c r="AA27" s="73">
        <v>-71</v>
      </c>
      <c r="AB27" s="73">
        <v>85.2</v>
      </c>
      <c r="AC27" s="122"/>
      <c r="AD27" s="73">
        <v>6.3</v>
      </c>
      <c r="AE27" s="72">
        <v>5</v>
      </c>
      <c r="AF27" s="72">
        <v>5</v>
      </c>
      <c r="AG27" s="20"/>
      <c r="AH27" s="126"/>
      <c r="AI27" s="71">
        <v>120</v>
      </c>
      <c r="AJ27" s="121"/>
      <c r="AK27" s="20">
        <v>100</v>
      </c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 t="s">
        <v>420</v>
      </c>
      <c r="AW27" s="20"/>
      <c r="AX27" s="20"/>
      <c r="AY27" s="20"/>
      <c r="AZ27" s="20"/>
      <c r="BA27" s="20"/>
      <c r="BB27" s="20" t="s">
        <v>418</v>
      </c>
      <c r="BC27" s="20"/>
      <c r="BD27" s="20"/>
      <c r="BE27" s="72" t="s">
        <v>92</v>
      </c>
      <c r="BF27" s="117">
        <f>AVERAGE(BF26,BF28)</f>
        <v>47.091077587623204</v>
      </c>
      <c r="BG27" s="117">
        <f>AVERAGE(BG26,BG28)</f>
        <v>-84.718783587196555</v>
      </c>
    </row>
    <row r="28" spans="1:59" s="120" customFormat="1" ht="14">
      <c r="A28" s="20"/>
      <c r="B28" s="20" t="s">
        <v>173</v>
      </c>
      <c r="C28" s="20"/>
      <c r="D28" s="20"/>
      <c r="E28" s="72" t="s">
        <v>342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118"/>
      <c r="W28" s="20"/>
      <c r="X28" s="20"/>
      <c r="Y28" s="17"/>
      <c r="Z28" s="20"/>
      <c r="AA28" s="73">
        <v>-63.5</v>
      </c>
      <c r="AB28" s="73">
        <v>91.6</v>
      </c>
      <c r="AC28" s="122"/>
      <c r="AD28" s="73">
        <v>5.8</v>
      </c>
      <c r="AE28" s="72">
        <v>6</v>
      </c>
      <c r="AF28" s="72">
        <v>6</v>
      </c>
      <c r="AG28" s="20"/>
      <c r="AH28" s="126"/>
      <c r="AI28" s="71">
        <v>134.6</v>
      </c>
      <c r="AJ28" s="121"/>
      <c r="AK28" s="20">
        <v>100</v>
      </c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 t="s">
        <v>420</v>
      </c>
      <c r="AW28" s="20"/>
      <c r="AX28" s="20"/>
      <c r="AY28" s="20"/>
      <c r="AZ28" s="20"/>
      <c r="BA28" s="20"/>
      <c r="BB28" s="20" t="s">
        <v>419</v>
      </c>
      <c r="BC28" s="20"/>
      <c r="BD28" s="20"/>
      <c r="BE28" s="72" t="s">
        <v>318</v>
      </c>
      <c r="BF28" s="117">
        <v>47.091015304594102</v>
      </c>
      <c r="BG28" s="117">
        <v>-84.718819189674804</v>
      </c>
    </row>
    <row r="29" spans="1:59" s="120" customFormat="1" ht="14">
      <c r="A29" s="20"/>
      <c r="B29" s="20" t="s">
        <v>173</v>
      </c>
      <c r="C29" s="20"/>
      <c r="D29" s="20"/>
      <c r="E29" s="72" t="s">
        <v>343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118"/>
      <c r="W29" s="20"/>
      <c r="X29" s="20"/>
      <c r="Y29" s="17"/>
      <c r="Z29" s="20"/>
      <c r="AA29" s="73">
        <v>-68.7</v>
      </c>
      <c r="AB29" s="73">
        <v>88</v>
      </c>
      <c r="AC29" s="122"/>
      <c r="AD29" s="73">
        <v>8.6</v>
      </c>
      <c r="AE29" s="72">
        <v>5</v>
      </c>
      <c r="AF29" s="72">
        <v>5</v>
      </c>
      <c r="AG29" s="20"/>
      <c r="AH29" s="126"/>
      <c r="AI29" s="71">
        <v>79.8</v>
      </c>
      <c r="AJ29" s="121"/>
      <c r="AK29" s="20">
        <v>100</v>
      </c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 t="s">
        <v>420</v>
      </c>
      <c r="AW29" s="20"/>
      <c r="AX29" s="20"/>
      <c r="AY29" s="20"/>
      <c r="AZ29" s="20"/>
      <c r="BA29" s="20"/>
      <c r="BB29" s="20" t="s">
        <v>419</v>
      </c>
      <c r="BC29" s="20"/>
      <c r="BD29" s="20"/>
      <c r="BE29" s="72" t="s">
        <v>318</v>
      </c>
      <c r="BF29" s="117">
        <v>47.0909267043467</v>
      </c>
      <c r="BG29" s="117">
        <v>-84.718888857845201</v>
      </c>
    </row>
    <row r="30" spans="1:59" s="120" customFormat="1" ht="14">
      <c r="A30" s="20"/>
      <c r="B30" s="20" t="s">
        <v>173</v>
      </c>
      <c r="C30" s="20"/>
      <c r="D30" s="20"/>
      <c r="E30" s="72" t="s">
        <v>344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118"/>
      <c r="W30" s="20"/>
      <c r="X30" s="20"/>
      <c r="Y30" s="17"/>
      <c r="Z30" s="20"/>
      <c r="AA30" s="73">
        <v>-46.5</v>
      </c>
      <c r="AB30" s="73">
        <v>105.8</v>
      </c>
      <c r="AC30" s="122"/>
      <c r="AD30" s="73">
        <v>8.4</v>
      </c>
      <c r="AE30" s="72">
        <v>3</v>
      </c>
      <c r="AF30" s="72">
        <v>3</v>
      </c>
      <c r="AG30" s="20"/>
      <c r="AH30" s="126"/>
      <c r="AI30" s="71">
        <v>216.4</v>
      </c>
      <c r="AJ30" s="121"/>
      <c r="AK30" s="20">
        <v>100</v>
      </c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 t="s">
        <v>420</v>
      </c>
      <c r="AW30" s="20"/>
      <c r="AX30" s="20"/>
      <c r="AY30" s="20"/>
      <c r="AZ30" s="20"/>
      <c r="BA30" s="20"/>
      <c r="BB30" s="20" t="s">
        <v>419</v>
      </c>
      <c r="BC30" s="20"/>
      <c r="BD30" s="20"/>
      <c r="BE30" s="72" t="s">
        <v>318</v>
      </c>
      <c r="BF30" s="117">
        <v>47.0854057795339</v>
      </c>
      <c r="BG30" s="117">
        <v>-84.725435619853599</v>
      </c>
    </row>
    <row r="31" spans="1:59" s="120" customFormat="1" ht="14">
      <c r="A31" s="20"/>
      <c r="B31" s="20" t="s">
        <v>173</v>
      </c>
      <c r="C31" s="20"/>
      <c r="D31" s="20"/>
      <c r="E31" s="72" t="s">
        <v>345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118"/>
      <c r="W31" s="20"/>
      <c r="X31" s="20"/>
      <c r="Y31" s="17"/>
      <c r="Z31" s="20"/>
      <c r="AA31" s="73">
        <v>-53.5</v>
      </c>
      <c r="AB31" s="73">
        <v>106.7</v>
      </c>
      <c r="AC31" s="122"/>
      <c r="AD31" s="73">
        <v>8.9</v>
      </c>
      <c r="AE31" s="72">
        <v>4</v>
      </c>
      <c r="AF31" s="72">
        <v>4</v>
      </c>
      <c r="AG31" s="20"/>
      <c r="AH31" s="126"/>
      <c r="AI31" s="71">
        <v>107.6</v>
      </c>
      <c r="AJ31" s="121"/>
      <c r="AK31" s="20">
        <v>100</v>
      </c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 t="s">
        <v>420</v>
      </c>
      <c r="AW31" s="20"/>
      <c r="AX31" s="20"/>
      <c r="AY31" s="20"/>
      <c r="AZ31" s="20"/>
      <c r="BA31" s="20"/>
      <c r="BB31" s="20" t="s">
        <v>419</v>
      </c>
      <c r="BC31" s="20"/>
      <c r="BD31" s="20"/>
      <c r="BE31" s="72" t="s">
        <v>318</v>
      </c>
      <c r="BF31" s="117">
        <v>47.085297800214498</v>
      </c>
      <c r="BG31" s="117">
        <v>-84.725888176095097</v>
      </c>
    </row>
    <row r="32" spans="1:59" s="120" customFormat="1" ht="14">
      <c r="A32" s="20"/>
      <c r="B32" s="20" t="s">
        <v>173</v>
      </c>
      <c r="C32" s="20"/>
      <c r="D32" s="20"/>
      <c r="E32" s="72" t="s">
        <v>346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122"/>
      <c r="W32" s="20"/>
      <c r="X32" s="20"/>
      <c r="Y32" s="17"/>
      <c r="Z32" s="20"/>
      <c r="AA32" s="73">
        <v>-60.2</v>
      </c>
      <c r="AB32" s="73">
        <v>115.9</v>
      </c>
      <c r="AC32" s="122"/>
      <c r="AD32" s="73">
        <v>12.7</v>
      </c>
      <c r="AE32" s="72">
        <v>4</v>
      </c>
      <c r="AF32" s="72">
        <v>4</v>
      </c>
      <c r="AG32" s="20"/>
      <c r="AH32" s="126"/>
      <c r="AI32" s="71">
        <v>53.3</v>
      </c>
      <c r="AJ32" s="121"/>
      <c r="AK32" s="20">
        <v>100</v>
      </c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 t="s">
        <v>420</v>
      </c>
      <c r="AW32" s="20"/>
      <c r="AX32" s="20"/>
      <c r="AY32" s="20"/>
      <c r="AZ32" s="20"/>
      <c r="BA32" s="20"/>
      <c r="BB32" s="20" t="s">
        <v>419</v>
      </c>
      <c r="BC32" s="20"/>
      <c r="BD32" s="20"/>
      <c r="BE32" s="72" t="s">
        <v>318</v>
      </c>
      <c r="BF32" s="117">
        <v>47.085189999999997</v>
      </c>
      <c r="BG32" s="117">
        <v>-84.725949999999997</v>
      </c>
    </row>
    <row r="33" spans="1:59" s="120" customFormat="1" ht="14">
      <c r="A33" s="20"/>
      <c r="B33" s="20" t="s">
        <v>173</v>
      </c>
      <c r="C33" s="20"/>
      <c r="D33" s="20"/>
      <c r="E33" s="72" t="s">
        <v>347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122"/>
      <c r="W33" s="20"/>
      <c r="X33" s="20"/>
      <c r="Y33" s="17"/>
      <c r="Z33" s="20"/>
      <c r="AA33" s="73">
        <v>-53.4</v>
      </c>
      <c r="AB33" s="73">
        <v>109.1</v>
      </c>
      <c r="AC33" s="122"/>
      <c r="AD33" s="73">
        <v>8.6999999999999993</v>
      </c>
      <c r="AE33" s="72">
        <v>3</v>
      </c>
      <c r="AF33" s="72">
        <v>3</v>
      </c>
      <c r="AG33" s="20"/>
      <c r="AH33" s="126"/>
      <c r="AI33" s="71">
        <v>203.1</v>
      </c>
      <c r="AJ33" s="121"/>
      <c r="AK33" s="20">
        <v>100</v>
      </c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 t="s">
        <v>420</v>
      </c>
      <c r="AW33" s="20"/>
      <c r="AX33" s="20"/>
      <c r="AY33" s="20"/>
      <c r="AZ33" s="20"/>
      <c r="BA33" s="20"/>
      <c r="BB33" s="20" t="s">
        <v>419</v>
      </c>
      <c r="BC33" s="20"/>
      <c r="BD33" s="20"/>
      <c r="BE33" s="72" t="s">
        <v>318</v>
      </c>
      <c r="BF33" s="117">
        <v>47.085190950150498</v>
      </c>
      <c r="BG33" s="117">
        <v>-84.725945426534295</v>
      </c>
    </row>
    <row r="34" spans="1:59" s="120" customFormat="1" ht="14">
      <c r="A34" s="20"/>
      <c r="B34" s="20" t="s">
        <v>173</v>
      </c>
      <c r="C34" s="20"/>
      <c r="D34" s="20"/>
      <c r="E34" s="72" t="s">
        <v>348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8"/>
      <c r="W34" s="20"/>
      <c r="X34" s="20"/>
      <c r="Y34" s="17"/>
      <c r="Z34" s="20"/>
      <c r="AA34" s="73">
        <v>-59.6</v>
      </c>
      <c r="AB34" s="73">
        <v>104.5</v>
      </c>
      <c r="AC34" s="122"/>
      <c r="AD34" s="73">
        <v>8.3000000000000007</v>
      </c>
      <c r="AE34" s="72">
        <v>5</v>
      </c>
      <c r="AF34" s="72">
        <v>5</v>
      </c>
      <c r="AG34" s="20"/>
      <c r="AH34" s="126"/>
      <c r="AI34" s="71">
        <v>86.6</v>
      </c>
      <c r="AJ34" s="121"/>
      <c r="AK34" s="20">
        <v>100</v>
      </c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 t="s">
        <v>420</v>
      </c>
      <c r="AW34" s="20"/>
      <c r="AX34" s="20"/>
      <c r="AY34" s="20"/>
      <c r="AZ34" s="20"/>
      <c r="BA34" s="20"/>
      <c r="BB34" s="20" t="s">
        <v>419</v>
      </c>
      <c r="BC34" s="20"/>
      <c r="BD34" s="20"/>
      <c r="BE34" s="72" t="s">
        <v>318</v>
      </c>
      <c r="BF34" s="117">
        <v>47.085065592949398</v>
      </c>
      <c r="BG34" s="117">
        <v>-84.725977114392407</v>
      </c>
    </row>
    <row r="35" spans="1:59" s="120" customFormat="1" ht="14">
      <c r="A35" s="20"/>
      <c r="B35" s="20" t="s">
        <v>173</v>
      </c>
      <c r="C35" s="20"/>
      <c r="D35" s="20"/>
      <c r="E35" s="72" t="s">
        <v>349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118"/>
      <c r="W35" s="20"/>
      <c r="X35" s="20"/>
      <c r="Y35" s="17"/>
      <c r="Z35" s="20"/>
      <c r="AA35" s="73">
        <v>-70.599999999999994</v>
      </c>
      <c r="AB35" s="73">
        <v>107.1</v>
      </c>
      <c r="AC35" s="122"/>
      <c r="AD35" s="73">
        <v>6.8</v>
      </c>
      <c r="AE35" s="72">
        <v>4</v>
      </c>
      <c r="AF35" s="72">
        <v>4</v>
      </c>
      <c r="AG35" s="20"/>
      <c r="AH35" s="126"/>
      <c r="AI35" s="71">
        <v>181.5</v>
      </c>
      <c r="AJ35" s="121"/>
      <c r="AK35" s="20">
        <v>100</v>
      </c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 t="s">
        <v>420</v>
      </c>
      <c r="AW35" s="20"/>
      <c r="AX35" s="20"/>
      <c r="AY35" s="20"/>
      <c r="AZ35" s="20"/>
      <c r="BA35" s="20"/>
      <c r="BB35" s="20" t="s">
        <v>419</v>
      </c>
      <c r="BC35" s="20"/>
      <c r="BD35" s="20"/>
      <c r="BE35" s="72" t="s">
        <v>318</v>
      </c>
      <c r="BF35" s="117">
        <v>47.0842881381231</v>
      </c>
      <c r="BG35" s="117">
        <v>-84.727156438727803</v>
      </c>
    </row>
    <row r="36" spans="1:59" s="120" customFormat="1" ht="14">
      <c r="A36" s="20"/>
      <c r="B36" s="20" t="s">
        <v>173</v>
      </c>
      <c r="C36" s="20"/>
      <c r="D36" s="20"/>
      <c r="E36" s="72" t="s">
        <v>350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7"/>
      <c r="Z36" s="20"/>
      <c r="AA36" s="73">
        <v>-61.9</v>
      </c>
      <c r="AB36" s="73">
        <v>101.1</v>
      </c>
      <c r="AC36" s="127"/>
      <c r="AD36" s="73">
        <v>4.5</v>
      </c>
      <c r="AE36" s="72">
        <v>4</v>
      </c>
      <c r="AF36" s="72">
        <v>4</v>
      </c>
      <c r="AG36" s="20"/>
      <c r="AH36" s="126"/>
      <c r="AI36" s="71">
        <v>421.6</v>
      </c>
      <c r="AJ36" s="121"/>
      <c r="AK36" s="20">
        <v>100</v>
      </c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 t="s">
        <v>420</v>
      </c>
      <c r="AW36" s="20"/>
      <c r="AX36" s="20"/>
      <c r="AY36" s="20"/>
      <c r="AZ36" s="20"/>
      <c r="BA36" s="20"/>
      <c r="BB36" s="20" t="s">
        <v>419</v>
      </c>
      <c r="BC36" s="20"/>
      <c r="BD36" s="20"/>
      <c r="BE36" s="72" t="s">
        <v>318</v>
      </c>
      <c r="BF36" s="117">
        <v>47.083840829993598</v>
      </c>
      <c r="BG36" s="117">
        <v>-84.727741992587994</v>
      </c>
    </row>
    <row r="37" spans="1:59" s="120" customFormat="1" ht="14">
      <c r="A37" s="20"/>
      <c r="B37" s="20" t="s">
        <v>173</v>
      </c>
      <c r="C37" s="20"/>
      <c r="D37" s="20"/>
      <c r="E37" s="72" t="s">
        <v>351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7"/>
      <c r="Z37" s="20"/>
      <c r="AA37" s="73">
        <v>-62.6</v>
      </c>
      <c r="AB37" s="73">
        <v>110.3</v>
      </c>
      <c r="AC37" s="127"/>
      <c r="AD37" s="73">
        <v>9.1999999999999993</v>
      </c>
      <c r="AE37" s="72">
        <v>4</v>
      </c>
      <c r="AF37" s="72">
        <v>4</v>
      </c>
      <c r="AG37" s="20"/>
      <c r="AH37" s="126"/>
      <c r="AI37" s="71">
        <v>101.2</v>
      </c>
      <c r="AJ37" s="121"/>
      <c r="AK37" s="20">
        <v>100</v>
      </c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 t="s">
        <v>420</v>
      </c>
      <c r="AW37" s="20"/>
      <c r="AX37" s="20"/>
      <c r="AY37" s="20"/>
      <c r="AZ37" s="20"/>
      <c r="BA37" s="20"/>
      <c r="BB37" s="20" t="s">
        <v>419</v>
      </c>
      <c r="BC37" s="20"/>
      <c r="BD37" s="20"/>
      <c r="BE37" s="72" t="s">
        <v>318</v>
      </c>
      <c r="BF37" s="117">
        <v>47.083635333830799</v>
      </c>
      <c r="BG37" s="117">
        <v>-84.727816609016898</v>
      </c>
    </row>
    <row r="38" spans="1:59" s="120" customFormat="1" ht="14">
      <c r="A38" s="20"/>
      <c r="B38" s="20" t="s">
        <v>173</v>
      </c>
      <c r="C38" s="20"/>
      <c r="D38" s="20"/>
      <c r="E38" s="72" t="s">
        <v>352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17"/>
      <c r="Z38" s="20"/>
      <c r="AA38" s="73">
        <v>-69.8</v>
      </c>
      <c r="AB38" s="73">
        <v>112.6</v>
      </c>
      <c r="AC38" s="127"/>
      <c r="AD38" s="73">
        <v>2.4</v>
      </c>
      <c r="AE38" s="72">
        <v>4</v>
      </c>
      <c r="AF38" s="72">
        <v>4</v>
      </c>
      <c r="AG38" s="20"/>
      <c r="AH38" s="126"/>
      <c r="AI38" s="71">
        <v>1512</v>
      </c>
      <c r="AJ38" s="121"/>
      <c r="AK38" s="20">
        <v>100</v>
      </c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 t="s">
        <v>420</v>
      </c>
      <c r="AW38" s="20"/>
      <c r="AX38" s="20"/>
      <c r="AY38" s="20"/>
      <c r="AZ38" s="20"/>
      <c r="BA38" s="20"/>
      <c r="BB38" s="20" t="s">
        <v>419</v>
      </c>
      <c r="BC38" s="20"/>
      <c r="BD38" s="20"/>
      <c r="BE38" s="72" t="s">
        <v>318</v>
      </c>
      <c r="BF38" s="117">
        <v>47.083521323749402</v>
      </c>
      <c r="BG38" s="117">
        <v>-84.727966381745702</v>
      </c>
    </row>
    <row r="39" spans="1:59" s="120" customFormat="1" ht="14">
      <c r="A39" s="20"/>
      <c r="B39" s="20" t="s">
        <v>173</v>
      </c>
      <c r="C39" s="20"/>
      <c r="D39" s="20"/>
      <c r="E39" s="72" t="s">
        <v>353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7"/>
      <c r="Z39" s="20"/>
      <c r="AA39" s="73">
        <v>-58.6</v>
      </c>
      <c r="AB39" s="73">
        <v>105.4</v>
      </c>
      <c r="AC39" s="127"/>
      <c r="AD39" s="73">
        <v>3.3</v>
      </c>
      <c r="AE39" s="72">
        <v>6</v>
      </c>
      <c r="AF39" s="72">
        <v>6</v>
      </c>
      <c r="AG39" s="20"/>
      <c r="AH39" s="126"/>
      <c r="AI39" s="71">
        <v>336</v>
      </c>
      <c r="AJ39" s="121"/>
      <c r="AK39" s="20">
        <v>100</v>
      </c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 t="s">
        <v>420</v>
      </c>
      <c r="AW39" s="20"/>
      <c r="AX39" s="20"/>
      <c r="AY39" s="20"/>
      <c r="AZ39" s="20"/>
      <c r="BA39" s="20"/>
      <c r="BB39" s="20" t="s">
        <v>418</v>
      </c>
      <c r="BC39" s="20"/>
      <c r="BD39" s="20"/>
      <c r="BE39" s="72" t="s">
        <v>92</v>
      </c>
      <c r="BF39" s="117">
        <v>47.083849000000001</v>
      </c>
      <c r="BG39" s="117">
        <v>-84.730072000000007</v>
      </c>
    </row>
    <row r="40" spans="1:59" s="120" customFormat="1" ht="14">
      <c r="A40" s="20"/>
      <c r="B40" s="20" t="s">
        <v>173</v>
      </c>
      <c r="C40" s="20"/>
      <c r="D40" s="20"/>
      <c r="E40" s="72" t="s">
        <v>354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7"/>
      <c r="Z40" s="20"/>
      <c r="AA40" s="73">
        <v>-49.3</v>
      </c>
      <c r="AB40" s="73">
        <v>104</v>
      </c>
      <c r="AC40" s="127"/>
      <c r="AD40" s="73">
        <v>5.4</v>
      </c>
      <c r="AE40" s="72">
        <v>3</v>
      </c>
      <c r="AF40" s="72">
        <v>3</v>
      </c>
      <c r="AG40" s="20"/>
      <c r="AH40" s="126"/>
      <c r="AI40" s="71">
        <v>513</v>
      </c>
      <c r="AJ40" s="121"/>
      <c r="AK40" s="20">
        <v>100</v>
      </c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 t="s">
        <v>420</v>
      </c>
      <c r="AW40" s="20"/>
      <c r="AX40" s="20"/>
      <c r="AY40" s="20"/>
      <c r="AZ40" s="20"/>
      <c r="BA40" s="20"/>
      <c r="BB40" s="20" t="s">
        <v>419</v>
      </c>
      <c r="BC40" s="20"/>
      <c r="BD40" s="20"/>
      <c r="BE40" s="72" t="s">
        <v>318</v>
      </c>
      <c r="BF40" s="117">
        <v>47.083626394106602</v>
      </c>
      <c r="BG40" s="117">
        <v>-84.730083056236893</v>
      </c>
    </row>
    <row r="41" spans="1:59" s="120" customFormat="1" ht="14">
      <c r="A41" s="20"/>
      <c r="B41" s="20" t="s">
        <v>173</v>
      </c>
      <c r="C41" s="20"/>
      <c r="D41" s="20"/>
      <c r="E41" s="72" t="s">
        <v>355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7"/>
      <c r="Z41" s="20"/>
      <c r="AA41" s="73">
        <v>-58.3</v>
      </c>
      <c r="AB41" s="73">
        <v>111.4</v>
      </c>
      <c r="AC41" s="127"/>
      <c r="AD41" s="73">
        <v>7.6</v>
      </c>
      <c r="AE41" s="72">
        <v>5</v>
      </c>
      <c r="AF41" s="72">
        <v>5</v>
      </c>
      <c r="AG41" s="20"/>
      <c r="AH41" s="126"/>
      <c r="AI41" s="71">
        <v>82</v>
      </c>
      <c r="AJ41" s="121"/>
      <c r="AK41" s="20">
        <v>100</v>
      </c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 t="s">
        <v>420</v>
      </c>
      <c r="AW41" s="20"/>
      <c r="AX41" s="20"/>
      <c r="AY41" s="20"/>
      <c r="AZ41" s="20"/>
      <c r="BA41" s="20"/>
      <c r="BB41" s="20" t="s">
        <v>418</v>
      </c>
      <c r="BC41" s="20"/>
      <c r="BD41" s="20"/>
      <c r="BE41" s="72" t="s">
        <v>92</v>
      </c>
      <c r="BF41" s="117">
        <f>AVERAGE(BF40,BF42)</f>
        <v>47.083685362265356</v>
      </c>
      <c r="BG41" s="117">
        <f>AVERAGE(BG40,BG42)</f>
        <v>-84.730106899824506</v>
      </c>
    </row>
    <row r="42" spans="1:59" s="120" customFormat="1" ht="14">
      <c r="A42" s="20"/>
      <c r="B42" s="20" t="s">
        <v>173</v>
      </c>
      <c r="C42" s="20"/>
      <c r="D42" s="20"/>
      <c r="E42" s="72" t="s">
        <v>356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17"/>
      <c r="Z42" s="20"/>
      <c r="AA42" s="73">
        <v>-53.9</v>
      </c>
      <c r="AB42" s="73">
        <v>99.7</v>
      </c>
      <c r="AC42" s="127"/>
      <c r="AD42" s="73">
        <v>8.5</v>
      </c>
      <c r="AE42" s="72">
        <v>4</v>
      </c>
      <c r="AF42" s="72">
        <v>4</v>
      </c>
      <c r="AG42" s="20"/>
      <c r="AH42" s="126"/>
      <c r="AI42" s="71">
        <v>118</v>
      </c>
      <c r="AJ42" s="121"/>
      <c r="AK42" s="20">
        <v>100</v>
      </c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 t="s">
        <v>420</v>
      </c>
      <c r="AW42" s="20"/>
      <c r="AX42" s="20"/>
      <c r="AY42" s="20"/>
      <c r="AZ42" s="20"/>
      <c r="BA42" s="20"/>
      <c r="BB42" s="20" t="s">
        <v>419</v>
      </c>
      <c r="BC42" s="20"/>
      <c r="BD42" s="20"/>
      <c r="BE42" s="72" t="s">
        <v>318</v>
      </c>
      <c r="BF42" s="117">
        <v>47.083744330424103</v>
      </c>
      <c r="BG42" s="117">
        <v>-84.730130743412104</v>
      </c>
    </row>
    <row r="43" spans="1:59" s="120" customFormat="1" ht="14">
      <c r="A43" s="20"/>
      <c r="B43" s="20" t="s">
        <v>173</v>
      </c>
      <c r="C43" s="20"/>
      <c r="D43" s="20"/>
      <c r="E43" s="72" t="s">
        <v>357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17"/>
      <c r="Z43" s="20"/>
      <c r="AA43" s="73">
        <v>-48.3</v>
      </c>
      <c r="AB43" s="73">
        <v>97.3</v>
      </c>
      <c r="AC43" s="127"/>
      <c r="AD43" s="73">
        <v>16.399999999999999</v>
      </c>
      <c r="AE43" s="72">
        <v>4</v>
      </c>
      <c r="AF43" s="72">
        <v>4</v>
      </c>
      <c r="AG43" s="20"/>
      <c r="AH43" s="126"/>
      <c r="AI43" s="71">
        <v>32</v>
      </c>
      <c r="AJ43" s="121"/>
      <c r="AK43" s="20">
        <v>100</v>
      </c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 t="s">
        <v>420</v>
      </c>
      <c r="AW43" s="20"/>
      <c r="AX43" s="20"/>
      <c r="AY43" s="20"/>
      <c r="AZ43" s="20"/>
      <c r="BA43" s="20"/>
      <c r="BB43" s="20" t="s">
        <v>419</v>
      </c>
      <c r="BC43" s="20"/>
      <c r="BD43" s="20"/>
      <c r="BE43" s="72" t="s">
        <v>318</v>
      </c>
      <c r="BF43" s="117">
        <v>47.083628748014597</v>
      </c>
      <c r="BG43" s="117">
        <v>-84.730201529464907</v>
      </c>
    </row>
    <row r="44" spans="1:59" s="120" customFormat="1" ht="14">
      <c r="A44" s="20"/>
      <c r="B44" s="20" t="s">
        <v>173</v>
      </c>
      <c r="C44" s="20"/>
      <c r="D44" s="20"/>
      <c r="E44" s="72" t="s">
        <v>358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7"/>
      <c r="Z44" s="20"/>
      <c r="AA44" s="73">
        <v>53.6</v>
      </c>
      <c r="AB44" s="73">
        <v>287.7</v>
      </c>
      <c r="AC44" s="127"/>
      <c r="AD44" s="73">
        <v>5.2</v>
      </c>
      <c r="AE44" s="72">
        <v>5</v>
      </c>
      <c r="AF44" s="72">
        <v>5</v>
      </c>
      <c r="AG44" s="20"/>
      <c r="AH44" s="126"/>
      <c r="AI44" s="71">
        <v>218</v>
      </c>
      <c r="AJ44" s="121"/>
      <c r="AK44" s="20">
        <v>100</v>
      </c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 t="s">
        <v>420</v>
      </c>
      <c r="AW44" s="20"/>
      <c r="AX44" s="20"/>
      <c r="AY44" s="20"/>
      <c r="AZ44" s="20"/>
      <c r="BA44" s="20"/>
      <c r="BB44" s="20" t="s">
        <v>419</v>
      </c>
      <c r="BC44" s="20"/>
      <c r="BD44" s="20"/>
      <c r="BE44" s="72" t="s">
        <v>318</v>
      </c>
      <c r="BF44" s="117">
        <v>47.083481282378202</v>
      </c>
      <c r="BG44" s="117">
        <v>-84.730932408612802</v>
      </c>
    </row>
    <row r="45" spans="1:59" s="120" customFormat="1" ht="14">
      <c r="A45" s="20"/>
      <c r="B45" s="20" t="s">
        <v>173</v>
      </c>
      <c r="C45" s="20"/>
      <c r="D45" s="20"/>
      <c r="E45" s="72" t="s">
        <v>359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7"/>
      <c r="Z45" s="20"/>
      <c r="AA45" s="73">
        <v>44.5</v>
      </c>
      <c r="AB45" s="73">
        <v>283.7</v>
      </c>
      <c r="AC45" s="127"/>
      <c r="AD45" s="73">
        <v>6.1</v>
      </c>
      <c r="AE45" s="72">
        <v>5</v>
      </c>
      <c r="AF45" s="72">
        <v>5</v>
      </c>
      <c r="AG45" s="20"/>
      <c r="AH45" s="126"/>
      <c r="AI45" s="71">
        <v>129</v>
      </c>
      <c r="AJ45" s="121"/>
      <c r="AK45" s="20">
        <v>100</v>
      </c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 t="s">
        <v>420</v>
      </c>
      <c r="AW45" s="20"/>
      <c r="AX45" s="20"/>
      <c r="AY45" s="20"/>
      <c r="AZ45" s="20"/>
      <c r="BA45" s="20"/>
      <c r="BB45" s="20" t="s">
        <v>419</v>
      </c>
      <c r="BC45" s="20"/>
      <c r="BD45" s="20"/>
      <c r="BE45" s="72" t="s">
        <v>319</v>
      </c>
      <c r="BF45" s="117">
        <v>47.083361936463398</v>
      </c>
      <c r="BG45" s="117">
        <v>-84.731266847249998</v>
      </c>
    </row>
    <row r="46" spans="1:59" s="120" customFormat="1" ht="14">
      <c r="A46" s="20"/>
      <c r="B46" s="20" t="s">
        <v>173</v>
      </c>
      <c r="C46" s="20"/>
      <c r="D46" s="20"/>
      <c r="E46" s="72" t="s">
        <v>360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17"/>
      <c r="Z46" s="20"/>
      <c r="AA46" s="73">
        <v>42.7</v>
      </c>
      <c r="AB46" s="73">
        <v>271.8</v>
      </c>
      <c r="AC46" s="127"/>
      <c r="AD46" s="73">
        <v>6.7</v>
      </c>
      <c r="AE46" s="72">
        <v>5</v>
      </c>
      <c r="AF46" s="72">
        <v>5</v>
      </c>
      <c r="AG46" s="20"/>
      <c r="AH46" s="126"/>
      <c r="AI46" s="71">
        <v>131</v>
      </c>
      <c r="AJ46" s="121"/>
      <c r="AK46" s="20">
        <v>100</v>
      </c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 t="s">
        <v>420</v>
      </c>
      <c r="AW46" s="20"/>
      <c r="AX46" s="20"/>
      <c r="AY46" s="20"/>
      <c r="AZ46" s="20"/>
      <c r="BA46" s="20"/>
      <c r="BB46" s="20" t="s">
        <v>419</v>
      </c>
      <c r="BC46" s="20"/>
      <c r="BD46" s="20"/>
      <c r="BE46" s="72" t="s">
        <v>318</v>
      </c>
      <c r="BF46" s="117">
        <v>47.083657769416497</v>
      </c>
      <c r="BG46" s="117">
        <v>-84.731662700504899</v>
      </c>
    </row>
    <row r="47" spans="1:59" s="120" customFormat="1" ht="14">
      <c r="A47" s="20"/>
      <c r="B47" s="20" t="s">
        <v>173</v>
      </c>
      <c r="C47" s="20"/>
      <c r="D47" s="20"/>
      <c r="E47" s="72" t="s">
        <v>361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7"/>
      <c r="Z47" s="20"/>
      <c r="AA47" s="73">
        <v>42.6</v>
      </c>
      <c r="AB47" s="73">
        <v>294.5</v>
      </c>
      <c r="AC47" s="127"/>
      <c r="AD47" s="73">
        <v>7.7</v>
      </c>
      <c r="AE47" s="72">
        <v>6</v>
      </c>
      <c r="AF47" s="72">
        <v>6</v>
      </c>
      <c r="AG47" s="20"/>
      <c r="AH47" s="126"/>
      <c r="AI47" s="71">
        <v>64</v>
      </c>
      <c r="AJ47" s="121"/>
      <c r="AK47" s="20">
        <v>100</v>
      </c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 t="s">
        <v>420</v>
      </c>
      <c r="AW47" s="20"/>
      <c r="AX47" s="20"/>
      <c r="AY47" s="20"/>
      <c r="AZ47" s="20"/>
      <c r="BA47" s="20"/>
      <c r="BB47" s="20" t="s">
        <v>418</v>
      </c>
      <c r="BC47" s="20"/>
      <c r="BD47" s="20"/>
      <c r="BE47" s="72" t="s">
        <v>92</v>
      </c>
      <c r="BF47" s="116">
        <v>47.083120152142499</v>
      </c>
      <c r="BG47" s="117">
        <v>-84.732686808081695</v>
      </c>
    </row>
    <row r="48" spans="1:59" s="120" customFormat="1" ht="14">
      <c r="A48" s="20"/>
      <c r="B48" s="20" t="s">
        <v>173</v>
      </c>
      <c r="C48" s="20"/>
      <c r="D48" s="20"/>
      <c r="E48" s="72" t="s">
        <v>362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7"/>
      <c r="Z48" s="20"/>
      <c r="AA48" s="73">
        <v>39.6</v>
      </c>
      <c r="AB48" s="73">
        <v>300.5</v>
      </c>
      <c r="AC48" s="127"/>
      <c r="AD48" s="73">
        <v>2.4</v>
      </c>
      <c r="AE48" s="72">
        <v>8</v>
      </c>
      <c r="AF48" s="72">
        <v>8</v>
      </c>
      <c r="AG48" s="20"/>
      <c r="AH48" s="126"/>
      <c r="AI48" s="71">
        <v>478</v>
      </c>
      <c r="AJ48" s="121"/>
      <c r="AK48" s="20">
        <v>100</v>
      </c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 t="s">
        <v>420</v>
      </c>
      <c r="AW48" s="20"/>
      <c r="AX48" s="20"/>
      <c r="AY48" s="20"/>
      <c r="AZ48" s="20"/>
      <c r="BA48" s="20"/>
      <c r="BB48" s="20" t="s">
        <v>418</v>
      </c>
      <c r="BC48" s="20"/>
      <c r="BD48" s="20"/>
      <c r="BE48" s="72" t="s">
        <v>92</v>
      </c>
      <c r="BF48" s="116">
        <v>47.083013971686903</v>
      </c>
      <c r="BG48" s="116">
        <v>-84.733231476146997</v>
      </c>
    </row>
    <row r="49" spans="1:59" s="120" customFormat="1" ht="14">
      <c r="A49" s="20"/>
      <c r="B49" s="20" t="s">
        <v>173</v>
      </c>
      <c r="C49" s="20"/>
      <c r="D49" s="20"/>
      <c r="E49" s="72" t="s">
        <v>363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7"/>
      <c r="Z49" s="20"/>
      <c r="AA49" s="73">
        <v>39.4</v>
      </c>
      <c r="AB49" s="73">
        <v>283.5</v>
      </c>
      <c r="AC49" s="127"/>
      <c r="AD49" s="73">
        <v>5.5</v>
      </c>
      <c r="AE49" s="72">
        <v>8</v>
      </c>
      <c r="AF49" s="72">
        <v>8</v>
      </c>
      <c r="AG49" s="20"/>
      <c r="AH49" s="126"/>
      <c r="AI49" s="71">
        <v>103</v>
      </c>
      <c r="AJ49" s="121"/>
      <c r="AK49" s="20">
        <v>100</v>
      </c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 t="s">
        <v>420</v>
      </c>
      <c r="AW49" s="20"/>
      <c r="AX49" s="20"/>
      <c r="AY49" s="20"/>
      <c r="AZ49" s="20"/>
      <c r="BA49" s="20"/>
      <c r="BB49" s="20" t="s">
        <v>419</v>
      </c>
      <c r="BC49" s="20"/>
      <c r="BD49" s="20"/>
      <c r="BE49" s="72" t="s">
        <v>318</v>
      </c>
      <c r="BF49" s="117">
        <v>47.078209599262202</v>
      </c>
      <c r="BG49" s="117">
        <v>-84.733290433833702</v>
      </c>
    </row>
    <row r="50" spans="1:59" s="120" customFormat="1" ht="14">
      <c r="A50" s="20"/>
      <c r="B50" s="20" t="s">
        <v>173</v>
      </c>
      <c r="C50" s="20"/>
      <c r="D50" s="20"/>
      <c r="E50" s="72" t="s">
        <v>364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7"/>
      <c r="Z50" s="20"/>
      <c r="AA50" s="73">
        <v>36.299999999999997</v>
      </c>
      <c r="AB50" s="73">
        <v>282.8</v>
      </c>
      <c r="AC50" s="127"/>
      <c r="AD50" s="73">
        <v>16.2</v>
      </c>
      <c r="AE50" s="72">
        <v>3</v>
      </c>
      <c r="AF50" s="72">
        <v>3</v>
      </c>
      <c r="AG50" s="20"/>
      <c r="AH50" s="126"/>
      <c r="AI50" s="71">
        <v>59</v>
      </c>
      <c r="AJ50" s="121"/>
      <c r="AK50" s="20">
        <v>100</v>
      </c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 t="s">
        <v>420</v>
      </c>
      <c r="AW50" s="20"/>
      <c r="AX50" s="20"/>
      <c r="AY50" s="20"/>
      <c r="AZ50" s="20"/>
      <c r="BA50" s="20"/>
      <c r="BB50" s="20" t="s">
        <v>419</v>
      </c>
      <c r="BC50" s="20"/>
      <c r="BD50" s="20"/>
      <c r="BE50" s="72" t="s">
        <v>318</v>
      </c>
      <c r="BF50" s="117">
        <v>47.0780405873749</v>
      </c>
      <c r="BG50" s="117">
        <v>-84.733389819059596</v>
      </c>
    </row>
    <row r="51" spans="1:59" s="120" customFormat="1" ht="14">
      <c r="A51" s="20"/>
      <c r="B51" s="20" t="s">
        <v>173</v>
      </c>
      <c r="C51" s="20"/>
      <c r="D51" s="20"/>
      <c r="E51" s="72" t="s">
        <v>365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7"/>
      <c r="Z51" s="20"/>
      <c r="AA51" s="73">
        <v>34.799999999999997</v>
      </c>
      <c r="AB51" s="73">
        <v>310.89999999999998</v>
      </c>
      <c r="AC51" s="127"/>
      <c r="AD51" s="73">
        <v>11.7</v>
      </c>
      <c r="AE51" s="72">
        <v>3</v>
      </c>
      <c r="AF51" s="72">
        <v>3</v>
      </c>
      <c r="AG51" s="20"/>
      <c r="AH51" s="126"/>
      <c r="AI51" s="71">
        <v>113</v>
      </c>
      <c r="AJ51" s="121"/>
      <c r="AK51" s="20">
        <v>100</v>
      </c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 t="s">
        <v>420</v>
      </c>
      <c r="AW51" s="20"/>
      <c r="AX51" s="20"/>
      <c r="AY51" s="20"/>
      <c r="AZ51" s="20"/>
      <c r="BA51" s="20"/>
      <c r="BB51" s="20" t="s">
        <v>419</v>
      </c>
      <c r="BC51" s="20"/>
      <c r="BD51" s="20"/>
      <c r="BE51" s="72" t="s">
        <v>318</v>
      </c>
      <c r="BF51" s="117">
        <v>47.074545402592001</v>
      </c>
      <c r="BG51" s="117">
        <v>-84.739571133393994</v>
      </c>
    </row>
    <row r="52" spans="1:59" s="120" customFormat="1" ht="14">
      <c r="A52" s="20"/>
      <c r="B52" s="20" t="s">
        <v>173</v>
      </c>
      <c r="C52" s="20"/>
      <c r="D52" s="20"/>
      <c r="E52" s="72" t="s">
        <v>366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7"/>
      <c r="Z52" s="20"/>
      <c r="AA52" s="73">
        <v>36.200000000000003</v>
      </c>
      <c r="AB52" s="73">
        <v>307.7</v>
      </c>
      <c r="AC52" s="127"/>
      <c r="AD52" s="73">
        <v>3.1</v>
      </c>
      <c r="AE52" s="72">
        <v>5</v>
      </c>
      <c r="AF52" s="72">
        <v>5</v>
      </c>
      <c r="AG52" s="20"/>
      <c r="AH52" s="126"/>
      <c r="AI52" s="71">
        <v>599</v>
      </c>
      <c r="AJ52" s="121"/>
      <c r="AK52" s="20">
        <v>100</v>
      </c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 t="s">
        <v>420</v>
      </c>
      <c r="AW52" s="20"/>
      <c r="AX52" s="20"/>
      <c r="AY52" s="20"/>
      <c r="AZ52" s="20"/>
      <c r="BA52" s="20"/>
      <c r="BB52" s="20" t="s">
        <v>419</v>
      </c>
      <c r="BC52" s="20"/>
      <c r="BD52" s="20"/>
      <c r="BE52" s="72" t="s">
        <v>318</v>
      </c>
      <c r="BF52" s="117">
        <v>47.074501746550801</v>
      </c>
      <c r="BG52" s="117">
        <v>-84.739638843108295</v>
      </c>
    </row>
    <row r="53" spans="1:59" s="120" customFormat="1" ht="14">
      <c r="A53" s="20"/>
      <c r="B53" s="20" t="s">
        <v>173</v>
      </c>
      <c r="C53" s="20"/>
      <c r="D53" s="20"/>
      <c r="E53" s="72" t="s">
        <v>367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7"/>
      <c r="Z53" s="20"/>
      <c r="AA53" s="73">
        <v>51.2</v>
      </c>
      <c r="AB53" s="73">
        <v>301.3</v>
      </c>
      <c r="AC53" s="127"/>
      <c r="AD53" s="73">
        <v>6.4</v>
      </c>
      <c r="AE53" s="72">
        <v>4</v>
      </c>
      <c r="AF53" s="72">
        <v>4</v>
      </c>
      <c r="AG53" s="20"/>
      <c r="AH53" s="126"/>
      <c r="AI53" s="71">
        <v>89</v>
      </c>
      <c r="AJ53" s="121"/>
      <c r="AK53" s="20">
        <v>100</v>
      </c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 t="s">
        <v>420</v>
      </c>
      <c r="AW53" s="20"/>
      <c r="AX53" s="20"/>
      <c r="AY53" s="20"/>
      <c r="AZ53" s="20"/>
      <c r="BA53" s="20"/>
      <c r="BB53" s="20" t="s">
        <v>419</v>
      </c>
      <c r="BC53" s="20"/>
      <c r="BD53" s="20"/>
      <c r="BE53" s="72" t="s">
        <v>318</v>
      </c>
      <c r="BF53" s="117">
        <v>47.072726751131498</v>
      </c>
      <c r="BG53" s="117">
        <v>-84.739529523204197</v>
      </c>
    </row>
    <row r="54" spans="1:59" s="120" customFormat="1" ht="14">
      <c r="A54" s="20"/>
      <c r="B54" s="20" t="s">
        <v>173</v>
      </c>
      <c r="C54" s="20"/>
      <c r="D54" s="20"/>
      <c r="E54" s="72" t="s">
        <v>368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7"/>
      <c r="Z54" s="20"/>
      <c r="AA54" s="73">
        <v>56.9</v>
      </c>
      <c r="AB54" s="73">
        <v>286.10000000000002</v>
      </c>
      <c r="AC54" s="127"/>
      <c r="AD54" s="73">
        <v>8.3000000000000007</v>
      </c>
      <c r="AE54" s="72">
        <v>5</v>
      </c>
      <c r="AF54" s="72">
        <v>5</v>
      </c>
      <c r="AG54" s="20"/>
      <c r="AH54" s="126"/>
      <c r="AI54" s="71">
        <v>86</v>
      </c>
      <c r="AJ54" s="121"/>
      <c r="AK54" s="20">
        <v>100</v>
      </c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 t="s">
        <v>420</v>
      </c>
      <c r="AW54" s="20"/>
      <c r="AX54" s="20"/>
      <c r="AY54" s="20"/>
      <c r="AZ54" s="20"/>
      <c r="BA54" s="20"/>
      <c r="BB54" s="20" t="s">
        <v>419</v>
      </c>
      <c r="BC54" s="20"/>
      <c r="BD54" s="20"/>
      <c r="BE54" s="72" t="s">
        <v>318</v>
      </c>
      <c r="BF54" s="117">
        <v>47.072719321965899</v>
      </c>
      <c r="BG54" s="117">
        <v>-84.739608870147293</v>
      </c>
    </row>
    <row r="55" spans="1:59" s="120" customFormat="1" ht="14">
      <c r="A55" s="20"/>
      <c r="B55" s="20" t="s">
        <v>173</v>
      </c>
      <c r="C55" s="20"/>
      <c r="D55" s="20"/>
      <c r="E55" s="72" t="s">
        <v>369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7"/>
      <c r="Z55" s="20"/>
      <c r="AA55" s="73">
        <v>58.4</v>
      </c>
      <c r="AB55" s="73">
        <v>321.39999999999998</v>
      </c>
      <c r="AC55" s="127"/>
      <c r="AD55" s="73">
        <v>11.6</v>
      </c>
      <c r="AE55" s="72">
        <v>6</v>
      </c>
      <c r="AF55" s="72">
        <v>6</v>
      </c>
      <c r="AG55" s="20"/>
      <c r="AH55" s="126"/>
      <c r="AI55" s="71">
        <v>45</v>
      </c>
      <c r="AJ55" s="121"/>
      <c r="AK55" s="20">
        <v>100</v>
      </c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 t="s">
        <v>420</v>
      </c>
      <c r="AW55" s="20"/>
      <c r="AX55" s="20"/>
      <c r="AY55" s="20"/>
      <c r="AZ55" s="20"/>
      <c r="BA55" s="20"/>
      <c r="BB55" s="20" t="s">
        <v>419</v>
      </c>
      <c r="BC55" s="20"/>
      <c r="BD55" s="20"/>
      <c r="BE55" s="72" t="s">
        <v>318</v>
      </c>
      <c r="BF55" s="117">
        <v>47.071982666822301</v>
      </c>
      <c r="BG55" s="117">
        <v>-84.7392185313917</v>
      </c>
    </row>
    <row r="56" spans="1:59" s="120" customFormat="1" ht="14">
      <c r="A56" s="17"/>
      <c r="B56" s="20" t="s">
        <v>173</v>
      </c>
      <c r="C56" s="17"/>
      <c r="D56" s="17"/>
      <c r="E56" s="72" t="s">
        <v>370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73">
        <v>54.8</v>
      </c>
      <c r="AB56" s="73">
        <v>301.3</v>
      </c>
      <c r="AC56" s="17"/>
      <c r="AD56" s="73">
        <v>11.9</v>
      </c>
      <c r="AE56" s="72">
        <v>6</v>
      </c>
      <c r="AF56" s="72">
        <v>6</v>
      </c>
      <c r="AG56" s="17"/>
      <c r="AH56" s="17"/>
      <c r="AI56" s="71">
        <v>33</v>
      </c>
      <c r="AJ56" s="17"/>
      <c r="AK56" s="20">
        <v>100</v>
      </c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20" t="s">
        <v>420</v>
      </c>
      <c r="AW56" s="17"/>
      <c r="AX56" s="17"/>
      <c r="AY56" s="17"/>
      <c r="AZ56" s="17"/>
      <c r="BA56" s="17"/>
      <c r="BB56" s="20" t="s">
        <v>419</v>
      </c>
      <c r="BC56" s="17"/>
      <c r="BD56" s="17"/>
      <c r="BE56" s="72" t="s">
        <v>318</v>
      </c>
      <c r="BF56" s="117">
        <v>47.072014329497897</v>
      </c>
      <c r="BG56" s="117">
        <v>-84.739454286550099</v>
      </c>
    </row>
    <row r="57" spans="1:59" s="120" customFormat="1" ht="14">
      <c r="A57" s="17"/>
      <c r="B57" s="20" t="s">
        <v>173</v>
      </c>
      <c r="C57" s="17"/>
      <c r="D57" s="17"/>
      <c r="E57" s="72" t="s">
        <v>371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73">
        <v>64.5</v>
      </c>
      <c r="AB57" s="73">
        <v>300.8</v>
      </c>
      <c r="AC57" s="17"/>
      <c r="AD57" s="73">
        <v>6.4</v>
      </c>
      <c r="AE57" s="72">
        <v>4</v>
      </c>
      <c r="AF57" s="72">
        <v>4</v>
      </c>
      <c r="AG57" s="17"/>
      <c r="AH57" s="17"/>
      <c r="AI57" s="71">
        <v>145</v>
      </c>
      <c r="AJ57" s="17"/>
      <c r="AK57" s="20">
        <v>100</v>
      </c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20" t="s">
        <v>420</v>
      </c>
      <c r="AW57" s="17"/>
      <c r="AX57" s="17"/>
      <c r="AY57" s="17"/>
      <c r="AZ57" s="17"/>
      <c r="BA57" s="17"/>
      <c r="BB57" s="20" t="s">
        <v>419</v>
      </c>
      <c r="BC57" s="17"/>
      <c r="BD57" s="17"/>
      <c r="BE57" s="72" t="s">
        <v>318</v>
      </c>
      <c r="BF57" s="117">
        <v>47.072108933069302</v>
      </c>
      <c r="BG57" s="117">
        <v>-84.739687379483001</v>
      </c>
    </row>
    <row r="58" spans="1:59" s="120" customFormat="1" ht="14">
      <c r="A58" s="20"/>
      <c r="B58" s="20" t="s">
        <v>173</v>
      </c>
      <c r="C58" s="20"/>
      <c r="D58" s="20"/>
      <c r="E58" s="72" t="s">
        <v>372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7"/>
      <c r="Z58" s="20"/>
      <c r="AA58" s="73">
        <v>24.4</v>
      </c>
      <c r="AB58" s="73">
        <v>328.7</v>
      </c>
      <c r="AC58" s="127"/>
      <c r="AD58" s="73">
        <v>3.6</v>
      </c>
      <c r="AE58" s="72">
        <v>6</v>
      </c>
      <c r="AF58" s="72">
        <v>6</v>
      </c>
      <c r="AG58" s="20"/>
      <c r="AH58" s="126"/>
      <c r="AI58" s="71">
        <v>341.4</v>
      </c>
      <c r="AJ58" s="121"/>
      <c r="AK58" s="20">
        <v>100</v>
      </c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 t="s">
        <v>420</v>
      </c>
      <c r="AW58" s="20"/>
      <c r="AX58" s="20"/>
      <c r="AY58" s="20"/>
      <c r="AZ58" s="20"/>
      <c r="BA58" s="20"/>
      <c r="BB58" s="20" t="s">
        <v>419</v>
      </c>
      <c r="BC58" s="20"/>
      <c r="BD58" s="20"/>
      <c r="BE58" s="72" t="s">
        <v>318</v>
      </c>
      <c r="BF58" s="117">
        <v>47.070864999999998</v>
      </c>
      <c r="BG58" s="117">
        <v>-84.740131000000005</v>
      </c>
    </row>
    <row r="59" spans="1:59" s="120" customFormat="1" ht="14">
      <c r="A59" s="20"/>
      <c r="B59" s="20" t="s">
        <v>173</v>
      </c>
      <c r="C59" s="20"/>
      <c r="D59" s="20"/>
      <c r="E59" s="72" t="s">
        <v>373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7"/>
      <c r="Z59" s="20"/>
      <c r="AA59" s="73">
        <v>27.6</v>
      </c>
      <c r="AB59" s="73">
        <v>325.5</v>
      </c>
      <c r="AC59" s="127"/>
      <c r="AD59" s="73">
        <v>23.1</v>
      </c>
      <c r="AE59" s="72">
        <v>6</v>
      </c>
      <c r="AF59" s="72">
        <v>6</v>
      </c>
      <c r="AG59" s="20"/>
      <c r="AH59" s="126"/>
      <c r="AI59" s="71">
        <v>17</v>
      </c>
      <c r="AJ59" s="121"/>
      <c r="AK59" s="20">
        <v>100</v>
      </c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 t="s">
        <v>420</v>
      </c>
      <c r="AW59" s="20"/>
      <c r="AX59" s="20"/>
      <c r="AY59" s="20"/>
      <c r="AZ59" s="20"/>
      <c r="BA59" s="20"/>
      <c r="BB59" s="20" t="s">
        <v>419</v>
      </c>
      <c r="BC59" s="20"/>
      <c r="BD59" s="20"/>
      <c r="BE59" s="72" t="s">
        <v>318</v>
      </c>
      <c r="BF59" s="117">
        <v>47.070430999999999</v>
      </c>
      <c r="BG59" s="117">
        <v>-84.740133</v>
      </c>
    </row>
    <row r="60" spans="1:59" s="120" customFormat="1" ht="14">
      <c r="A60" s="20"/>
      <c r="B60" s="20" t="s">
        <v>173</v>
      </c>
      <c r="C60" s="20"/>
      <c r="D60" s="20"/>
      <c r="E60" s="72" t="s">
        <v>374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7"/>
      <c r="Z60" s="20"/>
      <c r="AA60" s="73">
        <v>20.8</v>
      </c>
      <c r="AB60" s="73">
        <v>316.7</v>
      </c>
      <c r="AC60" s="127"/>
      <c r="AD60" s="73">
        <v>13</v>
      </c>
      <c r="AE60" s="72">
        <v>5</v>
      </c>
      <c r="AF60" s="72">
        <v>5</v>
      </c>
      <c r="AG60" s="20"/>
      <c r="AH60" s="126"/>
      <c r="AI60" s="71">
        <v>36</v>
      </c>
      <c r="AJ60" s="121"/>
      <c r="AK60" s="20">
        <v>100</v>
      </c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 t="s">
        <v>420</v>
      </c>
      <c r="AW60" s="20"/>
      <c r="AX60" s="20"/>
      <c r="AY60" s="20"/>
      <c r="AZ60" s="20"/>
      <c r="BA60" s="20"/>
      <c r="BB60" s="20" t="s">
        <v>419</v>
      </c>
      <c r="BC60" s="20"/>
      <c r="BD60" s="20"/>
      <c r="BE60" s="72" t="s">
        <v>318</v>
      </c>
      <c r="BF60" s="117">
        <v>47.070039276057798</v>
      </c>
      <c r="BG60" s="117">
        <v>-84.740604725704799</v>
      </c>
    </row>
    <row r="61" spans="1:59" s="120" customFormat="1" ht="14">
      <c r="A61" s="20"/>
      <c r="B61" s="20" t="s">
        <v>173</v>
      </c>
      <c r="C61" s="20"/>
      <c r="D61" s="20"/>
      <c r="E61" s="72" t="s">
        <v>375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7"/>
      <c r="Z61" s="20"/>
      <c r="AA61" s="73">
        <v>-39</v>
      </c>
      <c r="AB61" s="73">
        <v>106.7</v>
      </c>
      <c r="AC61" s="127"/>
      <c r="AD61" s="73">
        <v>3.4</v>
      </c>
      <c r="AE61" s="72">
        <v>9</v>
      </c>
      <c r="AF61" s="72">
        <v>9</v>
      </c>
      <c r="AG61" s="20"/>
      <c r="AH61" s="126"/>
      <c r="AI61" s="71">
        <v>226</v>
      </c>
      <c r="AJ61" s="121"/>
      <c r="AK61" s="20">
        <v>100</v>
      </c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 t="s">
        <v>420</v>
      </c>
      <c r="AW61" s="20"/>
      <c r="AX61" s="20"/>
      <c r="AY61" s="20"/>
      <c r="AZ61" s="20"/>
      <c r="BA61" s="20"/>
      <c r="BB61" s="20" t="s">
        <v>419</v>
      </c>
      <c r="BC61" s="20"/>
      <c r="BD61" s="20"/>
      <c r="BE61" s="72" t="s">
        <v>318</v>
      </c>
      <c r="BF61" s="117">
        <v>47.068898639652502</v>
      </c>
      <c r="BG61" s="117">
        <v>-84.740718807781406</v>
      </c>
    </row>
    <row r="62" spans="1:59" s="120" customFormat="1" ht="14">
      <c r="A62" s="20"/>
      <c r="B62" s="20" t="s">
        <v>173</v>
      </c>
      <c r="C62" s="20"/>
      <c r="D62" s="20"/>
      <c r="E62" s="72" t="s">
        <v>376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7"/>
      <c r="Z62" s="20"/>
      <c r="AA62" s="73">
        <v>-42.1</v>
      </c>
      <c r="AB62" s="73">
        <v>105.7</v>
      </c>
      <c r="AC62" s="127"/>
      <c r="AD62" s="73">
        <v>7.8</v>
      </c>
      <c r="AE62" s="72">
        <v>4</v>
      </c>
      <c r="AF62" s="72">
        <v>4</v>
      </c>
      <c r="AG62" s="20"/>
      <c r="AH62" s="126"/>
      <c r="AI62" s="71">
        <v>140</v>
      </c>
      <c r="AJ62" s="121"/>
      <c r="AK62" s="20">
        <v>100</v>
      </c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 t="s">
        <v>420</v>
      </c>
      <c r="AW62" s="20"/>
      <c r="AX62" s="20"/>
      <c r="AY62" s="20"/>
      <c r="AZ62" s="20"/>
      <c r="BA62" s="20"/>
      <c r="BB62" s="20" t="s">
        <v>419</v>
      </c>
      <c r="BC62" s="20"/>
      <c r="BD62" s="20"/>
      <c r="BE62" s="72" t="s">
        <v>318</v>
      </c>
      <c r="BF62" s="117">
        <v>47.068662774963599</v>
      </c>
      <c r="BG62" s="117">
        <v>-84.740623410658998</v>
      </c>
    </row>
    <row r="63" spans="1:59" s="120" customFormat="1" ht="14">
      <c r="A63" s="20"/>
      <c r="B63" s="20" t="s">
        <v>173</v>
      </c>
      <c r="C63" s="20"/>
      <c r="D63" s="20"/>
      <c r="E63" s="72" t="s">
        <v>377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7"/>
      <c r="Z63" s="20"/>
      <c r="AA63" s="73">
        <v>-33.9</v>
      </c>
      <c r="AB63" s="73">
        <v>112.7</v>
      </c>
      <c r="AC63" s="127"/>
      <c r="AD63" s="73">
        <v>7.8</v>
      </c>
      <c r="AE63" s="72">
        <v>5</v>
      </c>
      <c r="AF63" s="72">
        <v>5</v>
      </c>
      <c r="AG63" s="20"/>
      <c r="AH63" s="126"/>
      <c r="AI63" s="71">
        <v>97</v>
      </c>
      <c r="AJ63" s="121"/>
      <c r="AK63" s="20">
        <v>100</v>
      </c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 t="s">
        <v>420</v>
      </c>
      <c r="AW63" s="20"/>
      <c r="AX63" s="20"/>
      <c r="AY63" s="20"/>
      <c r="AZ63" s="20"/>
      <c r="BA63" s="20"/>
      <c r="BB63" s="20" t="s">
        <v>419</v>
      </c>
      <c r="BC63" s="20"/>
      <c r="BD63" s="20"/>
      <c r="BE63" s="72" t="s">
        <v>318</v>
      </c>
      <c r="BF63" s="117">
        <v>47.0688261572896</v>
      </c>
      <c r="BG63" s="117">
        <v>-84.741604338962603</v>
      </c>
    </row>
    <row r="64" spans="1:59" s="120" customFormat="1" ht="14">
      <c r="A64" s="20"/>
      <c r="B64" s="20" t="s">
        <v>173</v>
      </c>
      <c r="C64" s="20"/>
      <c r="D64" s="20"/>
      <c r="E64" s="72" t="s">
        <v>378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7"/>
      <c r="Z64" s="20"/>
      <c r="AA64" s="73">
        <v>-45.9</v>
      </c>
      <c r="AB64" s="73">
        <v>113.3</v>
      </c>
      <c r="AC64" s="127"/>
      <c r="AD64" s="73">
        <v>3.8</v>
      </c>
      <c r="AE64" s="72">
        <v>6</v>
      </c>
      <c r="AF64" s="72">
        <v>6</v>
      </c>
      <c r="AG64" s="20"/>
      <c r="AH64" s="126"/>
      <c r="AI64" s="71">
        <v>416</v>
      </c>
      <c r="AJ64" s="121"/>
      <c r="AK64" s="20">
        <v>100</v>
      </c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 t="s">
        <v>420</v>
      </c>
      <c r="AW64" s="20"/>
      <c r="AX64" s="20"/>
      <c r="AY64" s="20"/>
      <c r="AZ64" s="20"/>
      <c r="BA64" s="20"/>
      <c r="BB64" s="20" t="s">
        <v>419</v>
      </c>
      <c r="BC64" s="20"/>
      <c r="BD64" s="20"/>
      <c r="BE64" s="72" t="s">
        <v>318</v>
      </c>
      <c r="BF64" s="117">
        <v>47.068809734924699</v>
      </c>
      <c r="BG64" s="117">
        <v>-84.741684059838093</v>
      </c>
    </row>
    <row r="65" spans="1:59" s="120" customFormat="1" ht="14">
      <c r="A65" s="20"/>
      <c r="B65" s="20" t="s">
        <v>173</v>
      </c>
      <c r="C65" s="20"/>
      <c r="D65" s="20"/>
      <c r="E65" s="72" t="s">
        <v>379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7"/>
      <c r="Z65" s="20"/>
      <c r="AA65" s="73">
        <v>-44.5</v>
      </c>
      <c r="AB65" s="73">
        <v>116.9</v>
      </c>
      <c r="AC65" s="127"/>
      <c r="AD65" s="73">
        <v>4.7</v>
      </c>
      <c r="AE65" s="72">
        <v>5</v>
      </c>
      <c r="AF65" s="72">
        <v>5</v>
      </c>
      <c r="AG65" s="20"/>
      <c r="AH65" s="126"/>
      <c r="AI65" s="71">
        <v>268</v>
      </c>
      <c r="AJ65" s="121"/>
      <c r="AK65" s="20">
        <v>100</v>
      </c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 t="s">
        <v>420</v>
      </c>
      <c r="AW65" s="20"/>
      <c r="AX65" s="20"/>
      <c r="AY65" s="20"/>
      <c r="AZ65" s="20"/>
      <c r="BA65" s="20"/>
      <c r="BB65" s="20" t="s">
        <v>419</v>
      </c>
      <c r="BC65" s="20"/>
      <c r="BD65" s="20"/>
      <c r="BE65" s="72" t="s">
        <v>318</v>
      </c>
      <c r="BF65" s="117">
        <v>47.068865245652702</v>
      </c>
      <c r="BG65" s="117">
        <v>-84.741760740919304</v>
      </c>
    </row>
    <row r="66" spans="1:59" s="120" customFormat="1" ht="14">
      <c r="A66" s="20"/>
      <c r="B66" s="20" t="s">
        <v>173</v>
      </c>
      <c r="C66" s="20"/>
      <c r="D66" s="20"/>
      <c r="E66" s="72" t="s">
        <v>380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123"/>
      <c r="W66" s="118"/>
      <c r="X66" s="20"/>
      <c r="Y66" s="17"/>
      <c r="Z66" s="20"/>
      <c r="AA66" s="73">
        <v>-45.4</v>
      </c>
      <c r="AB66" s="73">
        <v>129.80000000000001</v>
      </c>
      <c r="AC66" s="127"/>
      <c r="AD66" s="73">
        <v>4.9000000000000004</v>
      </c>
      <c r="AE66" s="72">
        <v>6</v>
      </c>
      <c r="AF66" s="72">
        <v>6</v>
      </c>
      <c r="AG66" s="20"/>
      <c r="AH66" s="126"/>
      <c r="AI66" s="71">
        <v>250</v>
      </c>
      <c r="AJ66" s="121"/>
      <c r="AK66" s="20">
        <v>100</v>
      </c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 t="s">
        <v>420</v>
      </c>
      <c r="AW66" s="20"/>
      <c r="AX66" s="20"/>
      <c r="AY66" s="20"/>
      <c r="AZ66" s="20"/>
      <c r="BA66" s="20"/>
      <c r="BB66" s="20" t="s">
        <v>419</v>
      </c>
      <c r="BC66" s="20"/>
      <c r="BD66" s="20"/>
      <c r="BE66" s="72" t="s">
        <v>318</v>
      </c>
      <c r="BF66" s="117">
        <v>47.068902252777299</v>
      </c>
      <c r="BG66" s="117">
        <v>-84.741811861728394</v>
      </c>
    </row>
    <row r="67" spans="1:59" s="120" customFormat="1" ht="14">
      <c r="A67" s="20"/>
      <c r="B67" s="20" t="s">
        <v>173</v>
      </c>
      <c r="C67" s="20"/>
      <c r="D67" s="20"/>
      <c r="E67" s="72" t="s">
        <v>381</v>
      </c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123"/>
      <c r="W67" s="118"/>
      <c r="X67" s="20"/>
      <c r="Y67" s="17"/>
      <c r="Z67" s="20"/>
      <c r="AA67" s="73">
        <v>-47.1</v>
      </c>
      <c r="AB67" s="73">
        <v>124.7</v>
      </c>
      <c r="AC67" s="127"/>
      <c r="AD67" s="73">
        <v>5.4</v>
      </c>
      <c r="AE67" s="72">
        <v>3</v>
      </c>
      <c r="AF67" s="72">
        <v>3</v>
      </c>
      <c r="AG67" s="20"/>
      <c r="AH67" s="126"/>
      <c r="AI67" s="71">
        <v>155</v>
      </c>
      <c r="AJ67" s="121"/>
      <c r="AK67" s="20">
        <v>100</v>
      </c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 t="s">
        <v>420</v>
      </c>
      <c r="AW67" s="20"/>
      <c r="AX67" s="20"/>
      <c r="AY67" s="20"/>
      <c r="AZ67" s="20"/>
      <c r="BA67" s="20"/>
      <c r="BB67" s="20" t="s">
        <v>419</v>
      </c>
      <c r="BC67" s="20"/>
      <c r="BD67" s="20"/>
      <c r="BE67" s="72" t="s">
        <v>318</v>
      </c>
      <c r="BF67" s="117">
        <v>47.069003241893697</v>
      </c>
      <c r="BG67" s="117">
        <v>-84.741912963723607</v>
      </c>
    </row>
    <row r="68" spans="1:59" s="120" customFormat="1" ht="14">
      <c r="A68" s="20"/>
      <c r="B68" s="20" t="s">
        <v>173</v>
      </c>
      <c r="C68" s="20"/>
      <c r="D68" s="20"/>
      <c r="E68" s="72" t="s">
        <v>382</v>
      </c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128"/>
      <c r="W68" s="129"/>
      <c r="X68" s="20"/>
      <c r="Y68" s="17"/>
      <c r="Z68" s="20"/>
      <c r="AA68" s="73">
        <v>-40.9</v>
      </c>
      <c r="AB68" s="73">
        <v>123.3</v>
      </c>
      <c r="AC68" s="127"/>
      <c r="AD68" s="73">
        <v>8.6999999999999993</v>
      </c>
      <c r="AE68" s="72">
        <v>6</v>
      </c>
      <c r="AF68" s="72">
        <v>6</v>
      </c>
      <c r="AG68" s="20"/>
      <c r="AH68" s="126"/>
      <c r="AI68" s="71">
        <v>113</v>
      </c>
      <c r="AJ68" s="130"/>
      <c r="AK68" s="20">
        <v>100</v>
      </c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 t="s">
        <v>420</v>
      </c>
      <c r="AW68" s="20"/>
      <c r="AX68" s="20"/>
      <c r="AY68" s="20"/>
      <c r="AZ68" s="20"/>
      <c r="BA68" s="20"/>
      <c r="BB68" s="20" t="s">
        <v>419</v>
      </c>
      <c r="BC68" s="20"/>
      <c r="BD68" s="20"/>
      <c r="BE68" s="72" t="s">
        <v>318</v>
      </c>
      <c r="BF68" s="117">
        <v>47.069152570481499</v>
      </c>
      <c r="BG68" s="117">
        <v>-84.742183249513701</v>
      </c>
    </row>
    <row r="69" spans="1:59" s="120" customFormat="1" ht="14">
      <c r="A69" s="20"/>
      <c r="B69" s="20" t="s">
        <v>173</v>
      </c>
      <c r="C69" s="20"/>
      <c r="D69" s="20"/>
      <c r="E69" s="72" t="s">
        <v>383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128"/>
      <c r="W69" s="129"/>
      <c r="X69" s="20"/>
      <c r="Y69" s="17"/>
      <c r="Z69" s="20"/>
      <c r="AA69" s="73">
        <v>-51.6</v>
      </c>
      <c r="AB69" s="73">
        <v>86.9</v>
      </c>
      <c r="AC69" s="127"/>
      <c r="AD69" s="73">
        <v>13.6</v>
      </c>
      <c r="AE69" s="72">
        <v>5</v>
      </c>
      <c r="AF69" s="72">
        <v>5</v>
      </c>
      <c r="AG69" s="20"/>
      <c r="AH69" s="126"/>
      <c r="AI69" s="71">
        <v>32</v>
      </c>
      <c r="AJ69" s="130"/>
      <c r="AK69" s="20">
        <v>100</v>
      </c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 t="s">
        <v>420</v>
      </c>
      <c r="AW69" s="20"/>
      <c r="AX69" s="20"/>
      <c r="AY69" s="20"/>
      <c r="AZ69" s="20"/>
      <c r="BA69" s="20"/>
      <c r="BB69" s="20" t="s">
        <v>419</v>
      </c>
      <c r="BC69" s="20"/>
      <c r="BD69" s="20"/>
      <c r="BE69" s="72" t="s">
        <v>318</v>
      </c>
      <c r="BF69" s="117">
        <v>47.068885953454902</v>
      </c>
      <c r="BG69" s="117">
        <v>-84.744631178664307</v>
      </c>
    </row>
    <row r="70" spans="1:59" s="120" customFormat="1" ht="14">
      <c r="A70" s="20"/>
      <c r="B70" s="20" t="s">
        <v>173</v>
      </c>
      <c r="C70" s="20"/>
      <c r="D70" s="20"/>
      <c r="E70" s="72" t="s">
        <v>384</v>
      </c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128"/>
      <c r="W70" s="129"/>
      <c r="X70" s="20"/>
      <c r="Y70" s="17"/>
      <c r="Z70" s="20"/>
      <c r="AA70" s="73">
        <v>-50.9</v>
      </c>
      <c r="AB70" s="73">
        <v>100.5</v>
      </c>
      <c r="AC70" s="127"/>
      <c r="AD70" s="73">
        <v>6</v>
      </c>
      <c r="AE70" s="72">
        <v>3</v>
      </c>
      <c r="AF70" s="72">
        <v>3</v>
      </c>
      <c r="AG70" s="20"/>
      <c r="AH70" s="126"/>
      <c r="AI70" s="71">
        <v>235</v>
      </c>
      <c r="AJ70" s="130"/>
      <c r="AK70" s="20">
        <v>100</v>
      </c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 t="s">
        <v>420</v>
      </c>
      <c r="AW70" s="20"/>
      <c r="AX70" s="20"/>
      <c r="AY70" s="20"/>
      <c r="AZ70" s="20"/>
      <c r="BA70" s="20"/>
      <c r="BB70" s="20" t="s">
        <v>419</v>
      </c>
      <c r="BC70" s="20"/>
      <c r="BD70" s="20"/>
      <c r="BE70" s="72" t="s">
        <v>318</v>
      </c>
      <c r="BF70" s="117">
        <v>47.068366355814199</v>
      </c>
      <c r="BG70" s="117">
        <v>-84.745206290880006</v>
      </c>
    </row>
    <row r="71" spans="1:59" s="120" customFormat="1" ht="14">
      <c r="A71" s="20"/>
      <c r="B71" s="20" t="s">
        <v>173</v>
      </c>
      <c r="C71" s="20"/>
      <c r="D71" s="20"/>
      <c r="E71" s="72" t="s">
        <v>385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128"/>
      <c r="W71" s="129"/>
      <c r="X71" s="20"/>
      <c r="Y71" s="17"/>
      <c r="Z71" s="20"/>
      <c r="AA71" s="73">
        <v>36.700000000000003</v>
      </c>
      <c r="AB71" s="73">
        <v>297.39999999999998</v>
      </c>
      <c r="AC71" s="127"/>
      <c r="AD71" s="73">
        <v>4.2</v>
      </c>
      <c r="AE71" s="72">
        <v>5</v>
      </c>
      <c r="AF71" s="72">
        <v>5</v>
      </c>
      <c r="AG71" s="20"/>
      <c r="AH71" s="126"/>
      <c r="AI71" s="71">
        <v>336</v>
      </c>
      <c r="AJ71" s="130"/>
      <c r="AK71" s="20">
        <v>100</v>
      </c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 t="s">
        <v>420</v>
      </c>
      <c r="AW71" s="20"/>
      <c r="AX71" s="20"/>
      <c r="AY71" s="20"/>
      <c r="AZ71" s="20"/>
      <c r="BA71" s="20"/>
      <c r="BB71" s="20" t="s">
        <v>419</v>
      </c>
      <c r="BC71" s="20"/>
      <c r="BD71" s="20"/>
      <c r="BE71" s="72" t="s">
        <v>318</v>
      </c>
      <c r="BF71" s="117">
        <v>47.064554699466498</v>
      </c>
      <c r="BG71" s="117">
        <v>-84.752716007316707</v>
      </c>
    </row>
    <row r="72" spans="1:59" s="120" customFormat="1" ht="14">
      <c r="A72" s="20"/>
      <c r="B72" s="20" t="s">
        <v>173</v>
      </c>
      <c r="C72" s="20"/>
      <c r="D72" s="20"/>
      <c r="E72" s="72" t="s">
        <v>386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128"/>
      <c r="W72" s="129"/>
      <c r="X72" s="20"/>
      <c r="Y72" s="17"/>
      <c r="Z72" s="20"/>
      <c r="AA72" s="73">
        <v>37.799999999999997</v>
      </c>
      <c r="AB72" s="73">
        <v>297.89999999999998</v>
      </c>
      <c r="AC72" s="127"/>
      <c r="AD72" s="73">
        <v>4.9000000000000004</v>
      </c>
      <c r="AE72" s="72">
        <v>5</v>
      </c>
      <c r="AF72" s="72">
        <v>5</v>
      </c>
      <c r="AG72" s="20"/>
      <c r="AH72" s="126"/>
      <c r="AI72" s="71">
        <v>248</v>
      </c>
      <c r="AJ72" s="130"/>
      <c r="AK72" s="20">
        <v>100</v>
      </c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 t="s">
        <v>420</v>
      </c>
      <c r="AW72" s="20"/>
      <c r="AX72" s="20"/>
      <c r="AY72" s="20"/>
      <c r="AZ72" s="20"/>
      <c r="BA72" s="20"/>
      <c r="BB72" s="20" t="s">
        <v>419</v>
      </c>
      <c r="BC72" s="20"/>
      <c r="BD72" s="20"/>
      <c r="BE72" s="72" t="s">
        <v>318</v>
      </c>
      <c r="BF72" s="117">
        <v>47.064656263662698</v>
      </c>
      <c r="BG72" s="117">
        <v>-84.7533043918217</v>
      </c>
    </row>
    <row r="73" spans="1:59" s="120" customFormat="1" ht="14">
      <c r="A73" s="20"/>
      <c r="B73" s="20" t="s">
        <v>173</v>
      </c>
      <c r="C73" s="20"/>
      <c r="D73" s="20"/>
      <c r="E73" s="72" t="s">
        <v>387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28"/>
      <c r="W73" s="129"/>
      <c r="X73" s="20"/>
      <c r="Y73" s="17"/>
      <c r="Z73" s="20"/>
      <c r="AA73" s="73">
        <v>44.2</v>
      </c>
      <c r="AB73" s="73">
        <v>298.5</v>
      </c>
      <c r="AC73" s="127"/>
      <c r="AD73" s="73">
        <v>3.1</v>
      </c>
      <c r="AE73" s="72">
        <v>6</v>
      </c>
      <c r="AF73" s="72">
        <v>6</v>
      </c>
      <c r="AG73" s="20"/>
      <c r="AH73" s="126"/>
      <c r="AI73" s="71">
        <v>478</v>
      </c>
      <c r="AJ73" s="130"/>
      <c r="AK73" s="20">
        <v>100</v>
      </c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 t="s">
        <v>420</v>
      </c>
      <c r="AW73" s="20"/>
      <c r="AX73" s="20"/>
      <c r="AY73" s="20"/>
      <c r="AZ73" s="20"/>
      <c r="BA73" s="20"/>
      <c r="BB73" s="20" t="s">
        <v>419</v>
      </c>
      <c r="BC73" s="20"/>
      <c r="BD73" s="20"/>
      <c r="BE73" s="72" t="s">
        <v>318</v>
      </c>
      <c r="BF73" s="117">
        <v>47.0644854858242</v>
      </c>
      <c r="BG73" s="117">
        <v>-84.753772522880993</v>
      </c>
    </row>
    <row r="74" spans="1:59" s="120" customFormat="1" ht="14">
      <c r="A74" s="20"/>
      <c r="B74" s="20" t="s">
        <v>173</v>
      </c>
      <c r="C74" s="20"/>
      <c r="D74" s="20"/>
      <c r="E74" s="72" t="s">
        <v>388</v>
      </c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128"/>
      <c r="W74" s="129"/>
      <c r="X74" s="20"/>
      <c r="Y74" s="17"/>
      <c r="Z74" s="20"/>
      <c r="AA74" s="73">
        <v>40.4</v>
      </c>
      <c r="AB74" s="73">
        <v>293.8</v>
      </c>
      <c r="AC74" s="127"/>
      <c r="AD74" s="73">
        <v>5.7</v>
      </c>
      <c r="AE74" s="72">
        <v>6</v>
      </c>
      <c r="AF74" s="72">
        <v>6</v>
      </c>
      <c r="AG74" s="20"/>
      <c r="AH74" s="126"/>
      <c r="AI74" s="71">
        <v>137</v>
      </c>
      <c r="AJ74" s="130"/>
      <c r="AK74" s="20">
        <v>100</v>
      </c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 t="s">
        <v>420</v>
      </c>
      <c r="AW74" s="20"/>
      <c r="AX74" s="20"/>
      <c r="AY74" s="20"/>
      <c r="AZ74" s="20"/>
      <c r="BA74" s="20"/>
      <c r="BB74" s="20" t="s">
        <v>419</v>
      </c>
      <c r="BC74" s="20"/>
      <c r="BD74" s="20"/>
      <c r="BE74" s="72" t="s">
        <v>318</v>
      </c>
      <c r="BF74" s="117">
        <v>47.064487296921399</v>
      </c>
      <c r="BG74" s="117">
        <v>-84.753864637238095</v>
      </c>
    </row>
    <row r="75" spans="1:59" s="120" customFormat="1" ht="14">
      <c r="A75" s="20"/>
      <c r="B75" s="20" t="s">
        <v>173</v>
      </c>
      <c r="C75" s="20"/>
      <c r="D75" s="20"/>
      <c r="E75" s="72" t="s">
        <v>389</v>
      </c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128"/>
      <c r="W75" s="129"/>
      <c r="X75" s="20"/>
      <c r="Y75" s="17"/>
      <c r="Z75" s="20"/>
      <c r="AA75" s="73">
        <v>45.2</v>
      </c>
      <c r="AB75" s="73">
        <v>296.60000000000002</v>
      </c>
      <c r="AC75" s="127"/>
      <c r="AD75" s="73">
        <v>4.9000000000000004</v>
      </c>
      <c r="AE75" s="72">
        <v>7</v>
      </c>
      <c r="AF75" s="72">
        <v>7</v>
      </c>
      <c r="AG75" s="20"/>
      <c r="AH75" s="126"/>
      <c r="AI75" s="71">
        <v>155</v>
      </c>
      <c r="AJ75" s="130"/>
      <c r="AK75" s="20">
        <v>100</v>
      </c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 t="s">
        <v>420</v>
      </c>
      <c r="AW75" s="20"/>
      <c r="AX75" s="20"/>
      <c r="AY75" s="20"/>
      <c r="AZ75" s="20"/>
      <c r="BA75" s="20"/>
      <c r="BB75" s="20" t="s">
        <v>419</v>
      </c>
      <c r="BC75" s="20"/>
      <c r="BD75" s="20"/>
      <c r="BE75" s="72" t="s">
        <v>318</v>
      </c>
      <c r="BF75" s="117">
        <v>47.064258168776199</v>
      </c>
      <c r="BG75" s="117">
        <v>-84.754111326443393</v>
      </c>
    </row>
    <row r="76" spans="1:59" s="120" customFormat="1" ht="14">
      <c r="A76" s="20"/>
      <c r="B76" s="20" t="s">
        <v>173</v>
      </c>
      <c r="C76" s="20"/>
      <c r="D76" s="20"/>
      <c r="E76" s="72" t="s">
        <v>390</v>
      </c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128"/>
      <c r="W76" s="129"/>
      <c r="X76" s="20"/>
      <c r="Y76" s="17"/>
      <c r="Z76" s="20"/>
      <c r="AA76" s="73">
        <v>41.9</v>
      </c>
      <c r="AB76" s="73">
        <v>290.89999999999998</v>
      </c>
      <c r="AC76" s="127"/>
      <c r="AD76" s="73">
        <v>9.1999999999999993</v>
      </c>
      <c r="AE76" s="72">
        <v>6</v>
      </c>
      <c r="AF76" s="72">
        <v>6</v>
      </c>
      <c r="AG76" s="20"/>
      <c r="AH76" s="126"/>
      <c r="AI76" s="71">
        <v>54</v>
      </c>
      <c r="AJ76" s="130"/>
      <c r="AK76" s="20">
        <v>100</v>
      </c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 t="s">
        <v>420</v>
      </c>
      <c r="AW76" s="20"/>
      <c r="AX76" s="20"/>
      <c r="AY76" s="20"/>
      <c r="AZ76" s="20"/>
      <c r="BA76" s="20"/>
      <c r="BB76" s="20" t="s">
        <v>419</v>
      </c>
      <c r="BC76" s="20"/>
      <c r="BD76" s="20"/>
      <c r="BE76" s="72" t="s">
        <v>318</v>
      </c>
      <c r="BF76" s="117">
        <v>47.064094310075802</v>
      </c>
      <c r="BG76" s="117">
        <v>-84.754473800927201</v>
      </c>
    </row>
    <row r="77" spans="1:59" s="120" customFormat="1" ht="14">
      <c r="A77" s="20"/>
      <c r="B77" s="20" t="s">
        <v>173</v>
      </c>
      <c r="C77" s="20"/>
      <c r="D77" s="20"/>
      <c r="E77" s="72" t="s">
        <v>391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128"/>
      <c r="W77" s="129"/>
      <c r="X77" s="20"/>
      <c r="Y77" s="17"/>
      <c r="Z77" s="20"/>
      <c r="AA77" s="73">
        <v>40.299999999999997</v>
      </c>
      <c r="AB77" s="73">
        <v>289.10000000000002</v>
      </c>
      <c r="AC77" s="127"/>
      <c r="AD77" s="73">
        <v>3.1</v>
      </c>
      <c r="AE77" s="72">
        <v>5</v>
      </c>
      <c r="AF77" s="72">
        <v>5</v>
      </c>
      <c r="AG77" s="20"/>
      <c r="AH77" s="126"/>
      <c r="AI77" s="71">
        <v>612</v>
      </c>
      <c r="AJ77" s="130"/>
      <c r="AK77" s="20">
        <v>100</v>
      </c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 t="s">
        <v>420</v>
      </c>
      <c r="AW77" s="20"/>
      <c r="AX77" s="20"/>
      <c r="AY77" s="20"/>
      <c r="AZ77" s="20"/>
      <c r="BA77" s="20"/>
      <c r="BB77" s="20" t="s">
        <v>419</v>
      </c>
      <c r="BC77" s="20"/>
      <c r="BD77" s="20"/>
      <c r="BE77" s="72" t="s">
        <v>318</v>
      </c>
      <c r="BF77" s="117">
        <v>47.064029617843502</v>
      </c>
      <c r="BG77" s="117">
        <v>-84.754845277535395</v>
      </c>
    </row>
    <row r="78" spans="1:59" s="120" customFormat="1" ht="14">
      <c r="A78" s="20"/>
      <c r="B78" s="20" t="s">
        <v>173</v>
      </c>
      <c r="C78" s="20"/>
      <c r="D78" s="20"/>
      <c r="E78" s="72" t="s">
        <v>392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123"/>
      <c r="W78" s="118"/>
      <c r="X78" s="20"/>
      <c r="Y78" s="17"/>
      <c r="Z78" s="20"/>
      <c r="AA78" s="73">
        <v>45.3</v>
      </c>
      <c r="AB78" s="73">
        <v>293.7</v>
      </c>
      <c r="AC78" s="127"/>
      <c r="AD78" s="73">
        <v>6.8</v>
      </c>
      <c r="AE78" s="72">
        <v>5</v>
      </c>
      <c r="AF78" s="72">
        <v>5</v>
      </c>
      <c r="AG78" s="20"/>
      <c r="AH78" s="126"/>
      <c r="AI78" s="71">
        <v>99</v>
      </c>
      <c r="AJ78" s="121"/>
      <c r="AK78" s="20">
        <v>100</v>
      </c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 t="s">
        <v>420</v>
      </c>
      <c r="AW78" s="20"/>
      <c r="AX78" s="20"/>
      <c r="AY78" s="20"/>
      <c r="AZ78" s="20"/>
      <c r="BA78" s="20"/>
      <c r="BB78" s="20" t="s">
        <v>419</v>
      </c>
      <c r="BC78" s="20"/>
      <c r="BD78" s="20"/>
      <c r="BE78" s="72" t="s">
        <v>318</v>
      </c>
      <c r="BF78" s="117">
        <v>47.060793427043599</v>
      </c>
      <c r="BG78" s="117">
        <v>-84.757773065227795</v>
      </c>
    </row>
    <row r="79" spans="1:59" s="120" customFormat="1" ht="14">
      <c r="A79" s="20"/>
      <c r="B79" s="20" t="s">
        <v>173</v>
      </c>
      <c r="C79" s="20"/>
      <c r="D79" s="20"/>
      <c r="E79" s="72" t="s">
        <v>393</v>
      </c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123"/>
      <c r="W79" s="118"/>
      <c r="X79" s="20"/>
      <c r="Y79" s="17"/>
      <c r="Z79" s="20"/>
      <c r="AA79" s="73">
        <v>51.5</v>
      </c>
      <c r="AB79" s="73">
        <v>299</v>
      </c>
      <c r="AC79" s="127"/>
      <c r="AD79" s="73">
        <v>5.5</v>
      </c>
      <c r="AE79" s="72">
        <v>6</v>
      </c>
      <c r="AF79" s="72">
        <v>6</v>
      </c>
      <c r="AG79" s="20"/>
      <c r="AH79" s="126"/>
      <c r="AI79" s="71">
        <v>148</v>
      </c>
      <c r="AJ79" s="121"/>
      <c r="AK79" s="20">
        <v>100</v>
      </c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 t="s">
        <v>420</v>
      </c>
      <c r="AW79" s="20"/>
      <c r="AX79" s="20"/>
      <c r="AY79" s="20"/>
      <c r="AZ79" s="20"/>
      <c r="BA79" s="20"/>
      <c r="BB79" s="20" t="s">
        <v>419</v>
      </c>
      <c r="BC79" s="20"/>
      <c r="BD79" s="20"/>
      <c r="BE79" s="72" t="s">
        <v>318</v>
      </c>
      <c r="BF79" s="117">
        <v>47.060552973856403</v>
      </c>
      <c r="BG79" s="117">
        <v>-84.757901673106602</v>
      </c>
    </row>
    <row r="80" spans="1:59" s="120" customFormat="1" ht="14">
      <c r="A80" s="20"/>
      <c r="B80" s="20" t="s">
        <v>173</v>
      </c>
      <c r="C80" s="20"/>
      <c r="D80" s="20"/>
      <c r="E80" s="72" t="s">
        <v>394</v>
      </c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123"/>
      <c r="W80" s="118"/>
      <c r="X80" s="20"/>
      <c r="Y80" s="17"/>
      <c r="Z80" s="20"/>
      <c r="AA80" s="73">
        <v>43</v>
      </c>
      <c r="AB80" s="73">
        <v>289.89999999999998</v>
      </c>
      <c r="AC80" s="127"/>
      <c r="AD80" s="73">
        <v>6.1</v>
      </c>
      <c r="AE80" s="72">
        <v>7</v>
      </c>
      <c r="AF80" s="72">
        <v>7</v>
      </c>
      <c r="AG80" s="20"/>
      <c r="AH80" s="126"/>
      <c r="AI80" s="71">
        <v>120</v>
      </c>
      <c r="AJ80" s="121"/>
      <c r="AK80" s="20">
        <v>100</v>
      </c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 t="s">
        <v>420</v>
      </c>
      <c r="AW80" s="20"/>
      <c r="AX80" s="20"/>
      <c r="AY80" s="20"/>
      <c r="AZ80" s="20"/>
      <c r="BA80" s="20"/>
      <c r="BB80" s="20" t="s">
        <v>419</v>
      </c>
      <c r="BC80" s="20"/>
      <c r="BD80" s="20"/>
      <c r="BE80" s="72" t="s">
        <v>318</v>
      </c>
      <c r="BF80" s="117">
        <v>47.060317684671702</v>
      </c>
      <c r="BG80" s="117">
        <v>-84.758293443926306</v>
      </c>
    </row>
    <row r="81" spans="1:59" s="120" customFormat="1" ht="14">
      <c r="A81" s="20"/>
      <c r="B81" s="20" t="s">
        <v>173</v>
      </c>
      <c r="C81" s="20"/>
      <c r="D81" s="20"/>
      <c r="E81" s="72" t="s">
        <v>395</v>
      </c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123"/>
      <c r="W81" s="118"/>
      <c r="X81" s="20"/>
      <c r="Y81" s="17"/>
      <c r="Z81" s="20"/>
      <c r="AA81" s="73">
        <v>36.6</v>
      </c>
      <c r="AB81" s="73">
        <v>298.10000000000002</v>
      </c>
      <c r="AC81" s="127"/>
      <c r="AD81" s="73">
        <v>6.2</v>
      </c>
      <c r="AE81" s="72">
        <v>7</v>
      </c>
      <c r="AF81" s="72">
        <v>7</v>
      </c>
      <c r="AG81" s="20"/>
      <c r="AH81" s="126"/>
      <c r="AI81" s="71">
        <v>97</v>
      </c>
      <c r="AJ81" s="121"/>
      <c r="AK81" s="20">
        <v>100</v>
      </c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 t="s">
        <v>420</v>
      </c>
      <c r="AW81" s="20"/>
      <c r="AX81" s="20"/>
      <c r="AY81" s="20"/>
      <c r="AZ81" s="20"/>
      <c r="BA81" s="20"/>
      <c r="BB81" s="20" t="s">
        <v>419</v>
      </c>
      <c r="BC81" s="20"/>
      <c r="BD81" s="20"/>
      <c r="BE81" s="72" t="s">
        <v>318</v>
      </c>
      <c r="BF81" s="117">
        <v>47.060102184590598</v>
      </c>
      <c r="BG81" s="117">
        <v>-84.758776564406503</v>
      </c>
    </row>
    <row r="82" spans="1:59" s="120" customFormat="1" ht="14">
      <c r="A82" s="20"/>
      <c r="B82" s="20" t="s">
        <v>173</v>
      </c>
      <c r="C82" s="20"/>
      <c r="D82" s="20"/>
      <c r="E82" s="72" t="s">
        <v>396</v>
      </c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123"/>
      <c r="W82" s="118"/>
      <c r="X82" s="20"/>
      <c r="Y82" s="17"/>
      <c r="Z82" s="20"/>
      <c r="AA82" s="73">
        <v>41.1</v>
      </c>
      <c r="AB82" s="73">
        <v>303.5</v>
      </c>
      <c r="AC82" s="127"/>
      <c r="AD82" s="73">
        <v>5</v>
      </c>
      <c r="AE82" s="72">
        <v>6</v>
      </c>
      <c r="AF82" s="72">
        <v>6</v>
      </c>
      <c r="AG82" s="20"/>
      <c r="AH82" s="126"/>
      <c r="AI82" s="71">
        <v>179</v>
      </c>
      <c r="AJ82" s="121"/>
      <c r="AK82" s="20">
        <v>100</v>
      </c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 t="s">
        <v>420</v>
      </c>
      <c r="AW82" s="20"/>
      <c r="AX82" s="20"/>
      <c r="AY82" s="20"/>
      <c r="AZ82" s="20"/>
      <c r="BA82" s="20"/>
      <c r="BB82" s="20" t="s">
        <v>419</v>
      </c>
      <c r="BC82" s="20"/>
      <c r="BD82" s="20"/>
      <c r="BE82" s="72" t="s">
        <v>318</v>
      </c>
      <c r="BF82" s="117">
        <v>47.059827569888498</v>
      </c>
      <c r="BG82" s="117">
        <v>-84.758998780557505</v>
      </c>
    </row>
    <row r="83" spans="1:59" s="120" customFormat="1" ht="14">
      <c r="A83" s="20"/>
      <c r="B83" s="20" t="s">
        <v>173</v>
      </c>
      <c r="C83" s="20"/>
      <c r="D83" s="20"/>
      <c r="E83" s="72" t="s">
        <v>397</v>
      </c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123"/>
      <c r="W83" s="118"/>
      <c r="X83" s="20"/>
      <c r="Y83" s="17"/>
      <c r="Z83" s="20"/>
      <c r="AA83" s="73">
        <v>34.799999999999997</v>
      </c>
      <c r="AB83" s="73">
        <v>288.10000000000002</v>
      </c>
      <c r="AC83" s="127"/>
      <c r="AD83" s="73">
        <v>3.4</v>
      </c>
      <c r="AE83" s="72">
        <v>5</v>
      </c>
      <c r="AF83" s="72">
        <v>5</v>
      </c>
      <c r="AG83" s="20"/>
      <c r="AH83" s="126"/>
      <c r="AI83" s="71">
        <v>378</v>
      </c>
      <c r="AJ83" s="121"/>
      <c r="AK83" s="20">
        <v>100</v>
      </c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 t="s">
        <v>420</v>
      </c>
      <c r="AW83" s="20"/>
      <c r="AX83" s="20"/>
      <c r="AY83" s="20"/>
      <c r="AZ83" s="20"/>
      <c r="BA83" s="20"/>
      <c r="BB83" s="20" t="s">
        <v>419</v>
      </c>
      <c r="BC83" s="20"/>
      <c r="BD83" s="20"/>
      <c r="BE83" s="72" t="s">
        <v>318</v>
      </c>
      <c r="BF83" s="117">
        <v>47.059457658273097</v>
      </c>
      <c r="BG83" s="117">
        <v>-84.759409352468097</v>
      </c>
    </row>
    <row r="84" spans="1:59" s="120" customFormat="1" ht="14">
      <c r="A84" s="20"/>
      <c r="B84" s="20" t="s">
        <v>173</v>
      </c>
      <c r="C84" s="20"/>
      <c r="D84" s="20"/>
      <c r="E84" s="72" t="s">
        <v>398</v>
      </c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123"/>
      <c r="W84" s="118"/>
      <c r="X84" s="20"/>
      <c r="Y84" s="17"/>
      <c r="Z84" s="20"/>
      <c r="AA84" s="73">
        <v>27.4</v>
      </c>
      <c r="AB84" s="73">
        <v>296.60000000000002</v>
      </c>
      <c r="AC84" s="127"/>
      <c r="AD84" s="73">
        <v>5.8</v>
      </c>
      <c r="AE84" s="72">
        <v>3</v>
      </c>
      <c r="AF84" s="72">
        <v>3</v>
      </c>
      <c r="AG84" s="20"/>
      <c r="AH84" s="126"/>
      <c r="AI84" s="71">
        <v>451</v>
      </c>
      <c r="AJ84" s="121"/>
      <c r="AK84" s="20">
        <v>100</v>
      </c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 t="s">
        <v>420</v>
      </c>
      <c r="AW84" s="20"/>
      <c r="AX84" s="20"/>
      <c r="AY84" s="20"/>
      <c r="AZ84" s="20"/>
      <c r="BA84" s="20"/>
      <c r="BB84" s="20" t="s">
        <v>419</v>
      </c>
      <c r="BC84" s="20"/>
      <c r="BD84" s="20"/>
      <c r="BE84" s="72" t="s">
        <v>318</v>
      </c>
      <c r="BF84" s="117">
        <v>47.058609000032597</v>
      </c>
      <c r="BG84" s="117">
        <v>-84.761565068679701</v>
      </c>
    </row>
    <row r="85" spans="1:59" s="120" customFormat="1" ht="14">
      <c r="A85" s="20"/>
      <c r="B85" s="20" t="s">
        <v>173</v>
      </c>
      <c r="C85" s="20"/>
      <c r="D85" s="20"/>
      <c r="E85" s="72" t="s">
        <v>399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123"/>
      <c r="W85" s="118"/>
      <c r="X85" s="20"/>
      <c r="Y85" s="17"/>
      <c r="Z85" s="20"/>
      <c r="AA85" s="73">
        <v>36.4</v>
      </c>
      <c r="AB85" s="73">
        <v>290.7</v>
      </c>
      <c r="AC85" s="127"/>
      <c r="AD85" s="73">
        <v>4.9000000000000004</v>
      </c>
      <c r="AE85" s="72">
        <v>4</v>
      </c>
      <c r="AF85" s="72">
        <v>4</v>
      </c>
      <c r="AG85" s="20"/>
      <c r="AH85" s="126"/>
      <c r="AI85" s="71">
        <v>351</v>
      </c>
      <c r="AJ85" s="121"/>
      <c r="AK85" s="20">
        <v>100</v>
      </c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 t="s">
        <v>420</v>
      </c>
      <c r="AW85" s="20"/>
      <c r="AX85" s="20"/>
      <c r="AY85" s="20"/>
      <c r="AZ85" s="20"/>
      <c r="BA85" s="20"/>
      <c r="BB85" s="20" t="s">
        <v>419</v>
      </c>
      <c r="BC85" s="20"/>
      <c r="BD85" s="20"/>
      <c r="BE85" s="72" t="s">
        <v>318</v>
      </c>
      <c r="BF85" s="117">
        <v>47.058396806390803</v>
      </c>
      <c r="BG85" s="117">
        <v>-84.761758313434598</v>
      </c>
    </row>
    <row r="86" spans="1:59" s="120" customFormat="1" ht="14">
      <c r="A86" s="20"/>
      <c r="B86" s="20" t="s">
        <v>173</v>
      </c>
      <c r="C86" s="20"/>
      <c r="D86" s="20"/>
      <c r="E86" s="72" t="s">
        <v>400</v>
      </c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123"/>
      <c r="W86" s="118"/>
      <c r="X86" s="20"/>
      <c r="Y86" s="17"/>
      <c r="Z86" s="20"/>
      <c r="AA86" s="73">
        <v>33.1</v>
      </c>
      <c r="AB86" s="73">
        <v>297.89999999999998</v>
      </c>
      <c r="AC86" s="127"/>
      <c r="AD86" s="73">
        <v>5.2</v>
      </c>
      <c r="AE86" s="72">
        <v>4</v>
      </c>
      <c r="AF86" s="72">
        <v>4</v>
      </c>
      <c r="AG86" s="20"/>
      <c r="AH86" s="126"/>
      <c r="AI86" s="71">
        <v>311</v>
      </c>
      <c r="AJ86" s="121"/>
      <c r="AK86" s="20">
        <v>100</v>
      </c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 t="s">
        <v>420</v>
      </c>
      <c r="AW86" s="20"/>
      <c r="AX86" s="20"/>
      <c r="AY86" s="20"/>
      <c r="AZ86" s="20"/>
      <c r="BA86" s="20"/>
      <c r="BB86" s="20" t="s">
        <v>419</v>
      </c>
      <c r="BC86" s="20"/>
      <c r="BD86" s="20"/>
      <c r="BE86" s="72" t="s">
        <v>318</v>
      </c>
      <c r="BF86" s="117">
        <v>47.058400672998403</v>
      </c>
      <c r="BG86" s="117">
        <v>-84.761955679960195</v>
      </c>
    </row>
    <row r="87" spans="1:59" s="120" customFormat="1" ht="14">
      <c r="A87" s="20"/>
      <c r="B87" s="20" t="s">
        <v>173</v>
      </c>
      <c r="C87" s="20"/>
      <c r="D87" s="20"/>
      <c r="E87" s="72" t="s">
        <v>401</v>
      </c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123"/>
      <c r="W87" s="118"/>
      <c r="X87" s="20"/>
      <c r="Y87" s="17"/>
      <c r="Z87" s="20"/>
      <c r="AA87" s="73">
        <v>27.9</v>
      </c>
      <c r="AB87" s="73">
        <v>292.8</v>
      </c>
      <c r="AC87" s="127"/>
      <c r="AD87" s="73">
        <v>4.2</v>
      </c>
      <c r="AE87" s="72">
        <v>5</v>
      </c>
      <c r="AF87" s="72">
        <v>5</v>
      </c>
      <c r="AG87" s="20"/>
      <c r="AH87" s="126"/>
      <c r="AI87" s="71">
        <v>339</v>
      </c>
      <c r="AJ87" s="121"/>
      <c r="AK87" s="20">
        <v>100</v>
      </c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 t="s">
        <v>420</v>
      </c>
      <c r="AW87" s="20"/>
      <c r="AX87" s="20"/>
      <c r="AY87" s="20"/>
      <c r="AZ87" s="20"/>
      <c r="BA87" s="20"/>
      <c r="BB87" s="20" t="s">
        <v>419</v>
      </c>
      <c r="BC87" s="20"/>
      <c r="BD87" s="20"/>
      <c r="BE87" s="72" t="s">
        <v>318</v>
      </c>
      <c r="BF87" s="117">
        <v>47.058115541729201</v>
      </c>
      <c r="BG87" s="117">
        <v>-84.7625601987653</v>
      </c>
    </row>
    <row r="88" spans="1:59" s="120" customFormat="1" ht="14">
      <c r="A88" s="20"/>
      <c r="B88" s="20" t="s">
        <v>173</v>
      </c>
      <c r="C88" s="20"/>
      <c r="D88" s="20"/>
      <c r="E88" s="72" t="s">
        <v>402</v>
      </c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17"/>
      <c r="Z88" s="20"/>
      <c r="AA88" s="73">
        <v>43.4</v>
      </c>
      <c r="AB88" s="73">
        <v>305.2</v>
      </c>
      <c r="AC88" s="127"/>
      <c r="AD88" s="73">
        <v>2.9</v>
      </c>
      <c r="AE88" s="72">
        <v>5</v>
      </c>
      <c r="AF88" s="72">
        <v>5</v>
      </c>
      <c r="AG88" s="20"/>
      <c r="AH88" s="126"/>
      <c r="AI88" s="71">
        <v>566</v>
      </c>
      <c r="AJ88" s="121"/>
      <c r="AK88" s="20">
        <v>100</v>
      </c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 t="s">
        <v>420</v>
      </c>
      <c r="AW88" s="20"/>
      <c r="AX88" s="20"/>
      <c r="AY88" s="20"/>
      <c r="AZ88" s="20"/>
      <c r="BA88" s="20"/>
      <c r="BB88" s="20" t="s">
        <v>418</v>
      </c>
      <c r="BC88" s="20"/>
      <c r="BD88" s="20"/>
      <c r="BE88" s="72" t="s">
        <v>92</v>
      </c>
      <c r="BF88" s="117">
        <v>47.052439999999997</v>
      </c>
      <c r="BG88" s="117">
        <v>-84.769892999999996</v>
      </c>
    </row>
    <row r="89" spans="1:59" s="120" customFormat="1" ht="14">
      <c r="A89" s="20"/>
      <c r="B89" s="20" t="s">
        <v>173</v>
      </c>
      <c r="C89" s="20"/>
      <c r="D89" s="20"/>
      <c r="E89" s="72" t="s">
        <v>403</v>
      </c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17"/>
      <c r="Z89" s="20"/>
      <c r="AA89" s="73">
        <v>38.4</v>
      </c>
      <c r="AB89" s="73">
        <v>296.7</v>
      </c>
      <c r="AC89" s="127"/>
      <c r="AD89" s="73">
        <v>7.4</v>
      </c>
      <c r="AE89" s="72">
        <v>6</v>
      </c>
      <c r="AF89" s="72">
        <v>6</v>
      </c>
      <c r="AG89" s="20"/>
      <c r="AH89" s="126"/>
      <c r="AI89" s="71">
        <v>69</v>
      </c>
      <c r="AJ89" s="121"/>
      <c r="AK89" s="20">
        <v>100</v>
      </c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 t="s">
        <v>420</v>
      </c>
      <c r="AW89" s="20"/>
      <c r="AX89" s="20"/>
      <c r="AY89" s="20"/>
      <c r="AZ89" s="20"/>
      <c r="BA89" s="20"/>
      <c r="BB89" s="20" t="s">
        <v>418</v>
      </c>
      <c r="BC89" s="20"/>
      <c r="BD89" s="20"/>
      <c r="BE89" s="72" t="s">
        <v>92</v>
      </c>
      <c r="BF89" s="117">
        <v>47.052016999999999</v>
      </c>
      <c r="BG89" s="117">
        <v>-84.771167000000005</v>
      </c>
    </row>
    <row r="90" spans="1:59" s="120" customFormat="1" ht="14">
      <c r="A90" s="20"/>
      <c r="B90" s="20" t="s">
        <v>173</v>
      </c>
      <c r="C90" s="20"/>
      <c r="D90" s="20"/>
      <c r="E90" s="72" t="s">
        <v>404</v>
      </c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17"/>
      <c r="Z90" s="20"/>
      <c r="AA90" s="73">
        <v>43.7</v>
      </c>
      <c r="AB90" s="73">
        <v>294.2</v>
      </c>
      <c r="AC90" s="127"/>
      <c r="AD90" s="73">
        <v>5.6</v>
      </c>
      <c r="AE90" s="72">
        <v>8</v>
      </c>
      <c r="AF90" s="72">
        <v>8</v>
      </c>
      <c r="AG90" s="20"/>
      <c r="AH90" s="126"/>
      <c r="AI90" s="71">
        <v>87</v>
      </c>
      <c r="AJ90" s="121"/>
      <c r="AK90" s="20">
        <v>100</v>
      </c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 t="s">
        <v>420</v>
      </c>
      <c r="AW90" s="20"/>
      <c r="AX90" s="20"/>
      <c r="AY90" s="20"/>
      <c r="AZ90" s="20"/>
      <c r="BA90" s="20"/>
      <c r="BB90" s="20" t="s">
        <v>418</v>
      </c>
      <c r="BC90" s="20"/>
      <c r="BD90" s="20"/>
      <c r="BE90" s="72" t="s">
        <v>92</v>
      </c>
      <c r="BF90" s="117">
        <v>47.051191000000003</v>
      </c>
      <c r="BG90" s="117">
        <v>-84.771818999999994</v>
      </c>
    </row>
    <row r="91" spans="1:59" s="120" customFormat="1" ht="14">
      <c r="A91" s="20"/>
      <c r="B91" s="20" t="s">
        <v>173</v>
      </c>
      <c r="C91" s="20"/>
      <c r="D91" s="20"/>
      <c r="E91" s="72" t="s">
        <v>405</v>
      </c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17"/>
      <c r="Z91" s="20"/>
      <c r="AA91" s="73">
        <v>34.799999999999997</v>
      </c>
      <c r="AB91" s="73">
        <v>300.60000000000002</v>
      </c>
      <c r="AC91" s="127"/>
      <c r="AD91" s="73">
        <v>8.8000000000000007</v>
      </c>
      <c r="AE91" s="72">
        <v>6</v>
      </c>
      <c r="AF91" s="72">
        <v>6</v>
      </c>
      <c r="AG91" s="20"/>
      <c r="AH91" s="126"/>
      <c r="AI91" s="71">
        <v>49</v>
      </c>
      <c r="AJ91" s="121"/>
      <c r="AK91" s="20">
        <v>100</v>
      </c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 t="s">
        <v>420</v>
      </c>
      <c r="AW91" s="20"/>
      <c r="AX91" s="20"/>
      <c r="AY91" s="20"/>
      <c r="AZ91" s="20"/>
      <c r="BA91" s="20"/>
      <c r="BB91" s="20" t="s">
        <v>418</v>
      </c>
      <c r="BC91" s="20"/>
      <c r="BD91" s="20"/>
      <c r="BE91" s="72" t="s">
        <v>92</v>
      </c>
      <c r="BF91" s="117">
        <v>47.051502999999997</v>
      </c>
      <c r="BG91" s="117">
        <v>-84.772234999999995</v>
      </c>
    </row>
    <row r="92" spans="1:59" s="120" customFormat="1" ht="14">
      <c r="A92" s="20"/>
      <c r="B92" s="20" t="s">
        <v>173</v>
      </c>
      <c r="C92" s="20"/>
      <c r="D92" s="20"/>
      <c r="E92" s="72" t="s">
        <v>406</v>
      </c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17"/>
      <c r="Z92" s="20"/>
      <c r="AA92" s="73">
        <v>45.2</v>
      </c>
      <c r="AB92" s="73">
        <v>302.2</v>
      </c>
      <c r="AC92" s="127"/>
      <c r="AD92" s="73">
        <v>3</v>
      </c>
      <c r="AE92" s="72">
        <v>5</v>
      </c>
      <c r="AF92" s="72">
        <v>5</v>
      </c>
      <c r="AG92" s="20"/>
      <c r="AH92" s="126"/>
      <c r="AI92" s="71">
        <v>518</v>
      </c>
      <c r="AJ92" s="121"/>
      <c r="AK92" s="20">
        <v>100</v>
      </c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 t="s">
        <v>420</v>
      </c>
      <c r="AW92" s="20"/>
      <c r="AX92" s="20"/>
      <c r="AY92" s="20"/>
      <c r="AZ92" s="20"/>
      <c r="BA92" s="20"/>
      <c r="BB92" s="20" t="s">
        <v>418</v>
      </c>
      <c r="BC92" s="20"/>
      <c r="BD92" s="20"/>
      <c r="BE92" s="72" t="s">
        <v>92</v>
      </c>
      <c r="BF92" s="117">
        <v>47.051732999999999</v>
      </c>
      <c r="BG92" s="117">
        <v>-84.772470999999996</v>
      </c>
    </row>
    <row r="93" spans="1:59" s="120" customFormat="1" ht="14">
      <c r="A93" s="20"/>
      <c r="B93" s="20" t="s">
        <v>173</v>
      </c>
      <c r="C93" s="20"/>
      <c r="D93" s="20"/>
      <c r="E93" s="72" t="s">
        <v>407</v>
      </c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17"/>
      <c r="Z93" s="20"/>
      <c r="AA93" s="73">
        <v>32.6</v>
      </c>
      <c r="AB93" s="73">
        <v>286.39999999999998</v>
      </c>
      <c r="AC93" s="127"/>
      <c r="AD93" s="73">
        <v>5.3</v>
      </c>
      <c r="AE93" s="72">
        <v>8</v>
      </c>
      <c r="AF93" s="72">
        <v>8</v>
      </c>
      <c r="AG93" s="20"/>
      <c r="AH93" s="126"/>
      <c r="AI93" s="71">
        <v>95</v>
      </c>
      <c r="AJ93" s="121"/>
      <c r="AK93" s="20">
        <v>100</v>
      </c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 t="s">
        <v>420</v>
      </c>
      <c r="AW93" s="20"/>
      <c r="AX93" s="20"/>
      <c r="AY93" s="20"/>
      <c r="AZ93" s="20"/>
      <c r="BA93" s="20"/>
      <c r="BB93" s="20" t="s">
        <v>418</v>
      </c>
      <c r="BC93" s="20"/>
      <c r="BD93" s="20"/>
      <c r="BE93" s="72" t="s">
        <v>92</v>
      </c>
      <c r="BF93" s="117">
        <v>47.051876</v>
      </c>
      <c r="BG93" s="117">
        <v>-84.772673999999995</v>
      </c>
    </row>
    <row r="94" spans="1:59" s="120" customFormat="1" ht="14">
      <c r="A94" s="20"/>
      <c r="B94" s="20" t="s">
        <v>173</v>
      </c>
      <c r="C94" s="20"/>
      <c r="D94" s="20"/>
      <c r="E94" s="72" t="s">
        <v>408</v>
      </c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17"/>
      <c r="Z94" s="20"/>
      <c r="AA94" s="73">
        <v>42.6</v>
      </c>
      <c r="AB94" s="73">
        <v>298.5</v>
      </c>
      <c r="AC94" s="127"/>
      <c r="AD94" s="73">
        <v>6.1</v>
      </c>
      <c r="AE94" s="72">
        <v>4</v>
      </c>
      <c r="AF94" s="72">
        <v>4</v>
      </c>
      <c r="AG94" s="20"/>
      <c r="AH94" s="126"/>
      <c r="AI94" s="71">
        <v>232</v>
      </c>
      <c r="AJ94" s="121"/>
      <c r="AK94" s="20">
        <v>100</v>
      </c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 t="s">
        <v>420</v>
      </c>
      <c r="AW94" s="20"/>
      <c r="AX94" s="20"/>
      <c r="AY94" s="20"/>
      <c r="AZ94" s="20"/>
      <c r="BA94" s="20"/>
      <c r="BB94" s="20" t="s">
        <v>419</v>
      </c>
      <c r="BC94" s="20"/>
      <c r="BD94" s="20"/>
      <c r="BE94" s="72" t="s">
        <v>318</v>
      </c>
      <c r="BF94" s="117">
        <v>47.047332317931101</v>
      </c>
      <c r="BG94" s="117">
        <v>-84.774886950594393</v>
      </c>
    </row>
    <row r="95" spans="1:59" s="120" customFormat="1" ht="14">
      <c r="A95" s="20"/>
      <c r="B95" s="20" t="s">
        <v>173</v>
      </c>
      <c r="C95" s="20"/>
      <c r="D95" s="20"/>
      <c r="E95" s="72" t="s">
        <v>409</v>
      </c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17"/>
      <c r="Z95" s="20"/>
      <c r="AA95" s="73">
        <v>40.299999999999997</v>
      </c>
      <c r="AB95" s="73">
        <v>298.2</v>
      </c>
      <c r="AC95" s="127"/>
      <c r="AD95" s="73">
        <v>5.8</v>
      </c>
      <c r="AE95" s="72">
        <v>6</v>
      </c>
      <c r="AF95" s="72">
        <v>6</v>
      </c>
      <c r="AG95" s="20"/>
      <c r="AH95" s="126"/>
      <c r="AI95" s="71">
        <v>135</v>
      </c>
      <c r="AJ95" s="121"/>
      <c r="AK95" s="20">
        <v>100</v>
      </c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 t="s">
        <v>420</v>
      </c>
      <c r="AW95" s="20"/>
      <c r="AX95" s="20"/>
      <c r="AY95" s="20"/>
      <c r="AZ95" s="20"/>
      <c r="BA95" s="20"/>
      <c r="BB95" s="20" t="s">
        <v>419</v>
      </c>
      <c r="BC95" s="20"/>
      <c r="BD95" s="20"/>
      <c r="BE95" s="72" t="s">
        <v>318</v>
      </c>
      <c r="BF95" s="117">
        <v>47.0471845800501</v>
      </c>
      <c r="BG95" s="117">
        <v>-84.775156413104895</v>
      </c>
    </row>
    <row r="96" spans="1:59" s="120" customFormat="1" ht="14">
      <c r="A96" s="20"/>
      <c r="B96" s="20" t="s">
        <v>173</v>
      </c>
      <c r="C96" s="20"/>
      <c r="D96" s="20"/>
      <c r="E96" s="72" t="s">
        <v>410</v>
      </c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17"/>
      <c r="Z96" s="20"/>
      <c r="AA96" s="73">
        <v>43.2</v>
      </c>
      <c r="AB96" s="73">
        <v>295.10000000000002</v>
      </c>
      <c r="AC96" s="127"/>
      <c r="AD96" s="73">
        <v>6.8</v>
      </c>
      <c r="AE96" s="72">
        <v>5</v>
      </c>
      <c r="AF96" s="72">
        <v>5</v>
      </c>
      <c r="AG96" s="20"/>
      <c r="AH96" s="126"/>
      <c r="AI96" s="71">
        <v>128</v>
      </c>
      <c r="AJ96" s="121"/>
      <c r="AK96" s="20">
        <v>100</v>
      </c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 t="s">
        <v>420</v>
      </c>
      <c r="AW96" s="20"/>
      <c r="AX96" s="20"/>
      <c r="AY96" s="20"/>
      <c r="AZ96" s="20"/>
      <c r="BA96" s="20"/>
      <c r="BB96" s="20" t="s">
        <v>419</v>
      </c>
      <c r="BC96" s="20"/>
      <c r="BD96" s="20"/>
      <c r="BE96" s="72" t="s">
        <v>318</v>
      </c>
      <c r="BF96" s="117">
        <v>47.047045064904097</v>
      </c>
      <c r="BG96" s="117">
        <v>-84.775386034819505</v>
      </c>
    </row>
    <row r="97" spans="1:59" s="120" customFormat="1" ht="14">
      <c r="A97" s="20"/>
      <c r="B97" s="20" t="s">
        <v>173</v>
      </c>
      <c r="C97" s="20"/>
      <c r="D97" s="20"/>
      <c r="E97" s="72" t="s">
        <v>411</v>
      </c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17"/>
      <c r="Z97" s="20"/>
      <c r="AA97" s="73">
        <v>38.6</v>
      </c>
      <c r="AB97" s="73">
        <v>295.7</v>
      </c>
      <c r="AC97" s="127"/>
      <c r="AD97" s="73">
        <v>6.4</v>
      </c>
      <c r="AE97" s="72">
        <v>5</v>
      </c>
      <c r="AF97" s="72">
        <v>5</v>
      </c>
      <c r="AG97" s="20"/>
      <c r="AH97" s="126"/>
      <c r="AI97" s="71">
        <v>142</v>
      </c>
      <c r="AJ97" s="121"/>
      <c r="AK97" s="20">
        <v>100</v>
      </c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 t="s">
        <v>420</v>
      </c>
      <c r="AW97" s="20"/>
      <c r="AX97" s="20"/>
      <c r="AY97" s="20"/>
      <c r="AZ97" s="20"/>
      <c r="BA97" s="20"/>
      <c r="BB97" s="20" t="s">
        <v>419</v>
      </c>
      <c r="BC97" s="20"/>
      <c r="BD97" s="20"/>
      <c r="BE97" s="72" t="s">
        <v>318</v>
      </c>
      <c r="BF97" s="117">
        <v>47.046826927445501</v>
      </c>
      <c r="BG97" s="117">
        <v>-84.775737416642698</v>
      </c>
    </row>
    <row r="98" spans="1:59" s="120" customFormat="1" ht="14">
      <c r="A98" s="20"/>
      <c r="B98" s="20" t="s">
        <v>173</v>
      </c>
      <c r="C98" s="20"/>
      <c r="D98" s="20"/>
      <c r="E98" s="72" t="s">
        <v>412</v>
      </c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17"/>
      <c r="Z98" s="20"/>
      <c r="AA98" s="73">
        <v>34.6</v>
      </c>
      <c r="AB98" s="73">
        <v>290.39999999999998</v>
      </c>
      <c r="AC98" s="127"/>
      <c r="AD98" s="73">
        <v>2.8</v>
      </c>
      <c r="AE98" s="72">
        <v>8</v>
      </c>
      <c r="AF98" s="72">
        <v>8</v>
      </c>
      <c r="AG98" s="20"/>
      <c r="AH98" s="126"/>
      <c r="AI98" s="71">
        <v>336</v>
      </c>
      <c r="AJ98" s="121"/>
      <c r="AK98" s="20">
        <v>100</v>
      </c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 t="s">
        <v>420</v>
      </c>
      <c r="AW98" s="20"/>
      <c r="AX98" s="20"/>
      <c r="AY98" s="20"/>
      <c r="AZ98" s="20"/>
      <c r="BA98" s="20"/>
      <c r="BB98" s="20" t="s">
        <v>418</v>
      </c>
      <c r="BC98" s="20"/>
      <c r="BD98" s="20"/>
      <c r="BE98" s="72" t="s">
        <v>92</v>
      </c>
      <c r="BF98" s="117">
        <v>47.043143000000001</v>
      </c>
      <c r="BG98" s="117">
        <v>-84.780271999999997</v>
      </c>
    </row>
    <row r="99" spans="1:59" s="120" customFormat="1" ht="14">
      <c r="A99" s="20"/>
      <c r="B99" s="20" t="s">
        <v>173</v>
      </c>
      <c r="C99" s="20"/>
      <c r="D99" s="20"/>
      <c r="E99" s="72" t="s">
        <v>413</v>
      </c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17"/>
      <c r="Z99" s="20"/>
      <c r="AA99" s="73">
        <v>33.299999999999997</v>
      </c>
      <c r="AB99" s="73">
        <v>289.60000000000002</v>
      </c>
      <c r="AC99" s="127"/>
      <c r="AD99" s="73">
        <v>2.4</v>
      </c>
      <c r="AE99" s="72">
        <v>6</v>
      </c>
      <c r="AF99" s="72">
        <v>6</v>
      </c>
      <c r="AG99" s="20"/>
      <c r="AH99" s="126"/>
      <c r="AI99" s="71">
        <v>678</v>
      </c>
      <c r="AJ99" s="121"/>
      <c r="AK99" s="20">
        <v>100</v>
      </c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 t="s">
        <v>420</v>
      </c>
      <c r="AW99" s="20"/>
      <c r="AX99" s="20"/>
      <c r="AY99" s="20"/>
      <c r="AZ99" s="20"/>
      <c r="BA99" s="20"/>
      <c r="BB99" s="20" t="s">
        <v>418</v>
      </c>
      <c r="BC99" s="20"/>
      <c r="BD99" s="20"/>
      <c r="BE99" s="72" t="s">
        <v>92</v>
      </c>
      <c r="BF99" s="117">
        <v>47.043216000000001</v>
      </c>
      <c r="BG99" s="117">
        <v>-84.780893000000006</v>
      </c>
    </row>
    <row r="100" spans="1:59" s="120" customFormat="1" ht="14">
      <c r="A100" s="20"/>
      <c r="B100" s="20" t="s">
        <v>173</v>
      </c>
      <c r="C100" s="20"/>
      <c r="D100" s="20"/>
      <c r="E100" s="72" t="s">
        <v>414</v>
      </c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17"/>
      <c r="Z100" s="20"/>
      <c r="AA100" s="73">
        <v>32.9</v>
      </c>
      <c r="AB100" s="73">
        <v>290.3</v>
      </c>
      <c r="AC100" s="127"/>
      <c r="AD100" s="73">
        <v>1.9</v>
      </c>
      <c r="AE100" s="72">
        <v>6</v>
      </c>
      <c r="AF100" s="72">
        <v>6</v>
      </c>
      <c r="AG100" s="20"/>
      <c r="AH100" s="126"/>
      <c r="AI100" s="71">
        <v>1035</v>
      </c>
      <c r="AJ100" s="121"/>
      <c r="AK100" s="20">
        <v>100</v>
      </c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 t="s">
        <v>420</v>
      </c>
      <c r="AW100" s="20"/>
      <c r="AX100" s="20"/>
      <c r="AY100" s="20"/>
      <c r="AZ100" s="20"/>
      <c r="BA100" s="20"/>
      <c r="BB100" s="20" t="s">
        <v>418</v>
      </c>
      <c r="BC100" s="20"/>
      <c r="BD100" s="20"/>
      <c r="BE100" s="72" t="s">
        <v>92</v>
      </c>
      <c r="BF100" s="117">
        <v>47.042980999999997</v>
      </c>
      <c r="BG100" s="117">
        <v>-84.781063000000003</v>
      </c>
    </row>
    <row r="101" spans="1:59" s="120" customFormat="1" ht="14">
      <c r="A101" s="20"/>
      <c r="B101" s="20" t="s">
        <v>173</v>
      </c>
      <c r="C101" s="20"/>
      <c r="D101" s="20"/>
      <c r="E101" s="72" t="s">
        <v>415</v>
      </c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17"/>
      <c r="Z101" s="20"/>
      <c r="AA101" s="73">
        <v>40.799999999999997</v>
      </c>
      <c r="AB101" s="73">
        <v>294.60000000000002</v>
      </c>
      <c r="AC101" s="127"/>
      <c r="AD101" s="73">
        <v>5.6</v>
      </c>
      <c r="AE101" s="72">
        <v>6</v>
      </c>
      <c r="AF101" s="72">
        <v>6</v>
      </c>
      <c r="AG101" s="20"/>
      <c r="AH101" s="126"/>
      <c r="AI101" s="71">
        <v>122</v>
      </c>
      <c r="AJ101" s="121"/>
      <c r="AK101" s="20">
        <v>100</v>
      </c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 t="s">
        <v>420</v>
      </c>
      <c r="AW101" s="20"/>
      <c r="AX101" s="20"/>
      <c r="AY101" s="20"/>
      <c r="AZ101" s="20"/>
      <c r="BA101" s="20"/>
      <c r="BB101" s="20" t="s">
        <v>418</v>
      </c>
      <c r="BC101" s="20"/>
      <c r="BD101" s="20"/>
      <c r="BE101" s="72" t="s">
        <v>92</v>
      </c>
      <c r="BF101" s="117">
        <v>47.042980999999997</v>
      </c>
      <c r="BG101" s="117">
        <v>-84.781195999999994</v>
      </c>
    </row>
    <row r="102" spans="1:59" s="120" customFormat="1" ht="14">
      <c r="A102" s="20"/>
      <c r="B102" s="20" t="s">
        <v>173</v>
      </c>
      <c r="C102" s="20"/>
      <c r="D102" s="20"/>
      <c r="E102" s="72" t="s">
        <v>416</v>
      </c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17"/>
      <c r="Z102" s="20"/>
      <c r="AA102" s="73">
        <v>15.8</v>
      </c>
      <c r="AB102" s="73">
        <v>277.60000000000002</v>
      </c>
      <c r="AC102" s="127"/>
      <c r="AD102" s="73">
        <v>6.7</v>
      </c>
      <c r="AE102" s="72">
        <v>8</v>
      </c>
      <c r="AF102" s="72">
        <v>8</v>
      </c>
      <c r="AG102" s="20"/>
      <c r="AH102" s="126"/>
      <c r="AI102" s="71">
        <v>60</v>
      </c>
      <c r="AJ102" s="121"/>
      <c r="AK102" s="20">
        <v>100</v>
      </c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 t="s">
        <v>420</v>
      </c>
      <c r="AW102" s="20"/>
      <c r="AX102" s="20"/>
      <c r="AY102" s="20"/>
      <c r="AZ102" s="20"/>
      <c r="BA102" s="20"/>
      <c r="BB102" s="20" t="s">
        <v>418</v>
      </c>
      <c r="BC102" s="20"/>
      <c r="BD102" s="20"/>
      <c r="BE102" s="72" t="s">
        <v>92</v>
      </c>
      <c r="BF102" s="117">
        <v>47.042825000000001</v>
      </c>
      <c r="BG102" s="117">
        <v>-84.781632999999999</v>
      </c>
    </row>
    <row r="103" spans="1:59" s="120" customFormat="1" ht="14">
      <c r="A103" s="20"/>
      <c r="B103" s="20" t="s">
        <v>173</v>
      </c>
      <c r="C103" s="20"/>
      <c r="D103" s="20"/>
      <c r="E103" s="72" t="s">
        <v>417</v>
      </c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17"/>
      <c r="Z103" s="20"/>
      <c r="AA103" s="73">
        <v>18.7</v>
      </c>
      <c r="AB103" s="73">
        <v>279.10000000000002</v>
      </c>
      <c r="AC103" s="127"/>
      <c r="AD103" s="73">
        <v>14.1</v>
      </c>
      <c r="AE103" s="72">
        <v>6</v>
      </c>
      <c r="AF103" s="72">
        <v>6</v>
      </c>
      <c r="AG103" s="20"/>
      <c r="AH103" s="126"/>
      <c r="AI103" s="71">
        <v>20</v>
      </c>
      <c r="AJ103" s="121"/>
      <c r="AK103" s="20">
        <v>100</v>
      </c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 t="s">
        <v>420</v>
      </c>
      <c r="AW103" s="20"/>
      <c r="AX103" s="20"/>
      <c r="AY103" s="20"/>
      <c r="AZ103" s="20"/>
      <c r="BA103" s="20"/>
      <c r="BB103" s="20" t="s">
        <v>418</v>
      </c>
      <c r="BC103" s="20"/>
      <c r="BD103" s="20"/>
      <c r="BE103" s="72" t="s">
        <v>92</v>
      </c>
      <c r="BF103" s="117">
        <v>47.042821000000004</v>
      </c>
      <c r="BG103" s="117">
        <v>-84.782077999999998</v>
      </c>
    </row>
    <row r="104" spans="1:59" s="120" customFormat="1" ht="14">
      <c r="A104" s="20"/>
      <c r="B104" s="20" t="s">
        <v>173</v>
      </c>
      <c r="C104" s="20"/>
      <c r="D104" s="20"/>
      <c r="E104" s="72" t="s">
        <v>317</v>
      </c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17"/>
      <c r="Z104" s="20"/>
      <c r="AA104" s="73">
        <v>7.2</v>
      </c>
      <c r="AB104" s="73">
        <v>280.89999999999998</v>
      </c>
      <c r="AC104" s="127"/>
      <c r="AD104" s="73">
        <v>7.9</v>
      </c>
      <c r="AE104" s="72">
        <v>8</v>
      </c>
      <c r="AF104" s="72">
        <v>8</v>
      </c>
      <c r="AG104" s="20"/>
      <c r="AH104" s="126"/>
      <c r="AI104" s="71">
        <v>44</v>
      </c>
      <c r="AJ104" s="121"/>
      <c r="AK104" s="20">
        <v>100</v>
      </c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 t="s">
        <v>420</v>
      </c>
      <c r="AW104" s="20"/>
      <c r="AX104" s="20"/>
      <c r="AY104" s="20"/>
      <c r="AZ104" s="20"/>
      <c r="BA104" s="20"/>
      <c r="BB104" s="20" t="s">
        <v>418</v>
      </c>
      <c r="BC104" s="20"/>
      <c r="BD104" s="20"/>
      <c r="BE104" s="72" t="s">
        <v>92</v>
      </c>
      <c r="BF104" s="117">
        <v>47.042791000000001</v>
      </c>
      <c r="BG104" s="117">
        <v>-84.782240000000002</v>
      </c>
    </row>
    <row r="105" spans="1:59" s="120" customFormat="1" ht="14">
      <c r="A105" s="20"/>
      <c r="B105" s="20"/>
      <c r="C105" s="20"/>
      <c r="D105" s="20"/>
      <c r="E105" s="17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17"/>
      <c r="Z105" s="20"/>
      <c r="AA105" s="73"/>
      <c r="AB105" s="122"/>
      <c r="AC105" s="127"/>
      <c r="AD105" s="125"/>
      <c r="AE105" s="126"/>
      <c r="AF105" s="126"/>
      <c r="AG105" s="20"/>
      <c r="AH105" s="126"/>
      <c r="AI105" s="124"/>
      <c r="AJ105" s="121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</row>
    <row r="106" spans="1:59" s="120" customFormat="1" ht="14">
      <c r="A106" s="20"/>
      <c r="B106" s="20"/>
      <c r="C106" s="20"/>
      <c r="D106" s="20"/>
      <c r="E106" s="17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17"/>
      <c r="Z106" s="20"/>
      <c r="AA106" s="73"/>
      <c r="AB106" s="122"/>
      <c r="AC106" s="127"/>
      <c r="AD106" s="125"/>
      <c r="AE106" s="126"/>
      <c r="AF106" s="126"/>
      <c r="AG106" s="20"/>
      <c r="AH106" s="126"/>
      <c r="AI106" s="124"/>
      <c r="AJ106" s="121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</row>
    <row r="107" spans="1:59" s="120" customFormat="1" ht="14">
      <c r="A107" s="20"/>
      <c r="B107" s="20"/>
      <c r="C107" s="20"/>
      <c r="D107" s="20"/>
      <c r="E107" s="17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17"/>
      <c r="Z107" s="20"/>
      <c r="AA107" s="73"/>
      <c r="AB107" s="122"/>
      <c r="AC107" s="127"/>
      <c r="AD107" s="125"/>
      <c r="AE107" s="126"/>
      <c r="AF107" s="126"/>
      <c r="AG107" s="20"/>
      <c r="AH107" s="126"/>
      <c r="AI107" s="124"/>
      <c r="AJ107" s="121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</row>
    <row r="108" spans="1:59" s="120" customFormat="1" ht="14">
      <c r="A108" s="20"/>
      <c r="B108" s="20"/>
      <c r="C108" s="20"/>
      <c r="D108" s="20"/>
      <c r="E108" s="17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17"/>
      <c r="Z108" s="20"/>
      <c r="AA108" s="73"/>
      <c r="AB108" s="122"/>
      <c r="AC108" s="127"/>
      <c r="AD108" s="125"/>
      <c r="AE108" s="126"/>
      <c r="AF108" s="126"/>
      <c r="AG108" s="20"/>
      <c r="AH108" s="126"/>
      <c r="AI108" s="124"/>
      <c r="AJ108" s="121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</row>
    <row r="109" spans="1:59" s="120" customFormat="1" ht="14">
      <c r="A109" s="20"/>
      <c r="B109" s="20"/>
      <c r="C109" s="20"/>
      <c r="D109" s="20"/>
      <c r="E109" s="17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17"/>
      <c r="Z109" s="20"/>
      <c r="AA109" s="73"/>
      <c r="AB109" s="122"/>
      <c r="AC109" s="127"/>
      <c r="AD109" s="125"/>
      <c r="AE109" s="126"/>
      <c r="AF109" s="126"/>
      <c r="AG109" s="20"/>
      <c r="AH109" s="126"/>
      <c r="AI109" s="124"/>
      <c r="AJ109" s="121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</row>
    <row r="110" spans="1:59" s="120" customFormat="1" ht="14">
      <c r="A110" s="20"/>
      <c r="B110" s="20"/>
      <c r="C110" s="20"/>
      <c r="D110" s="20"/>
      <c r="E110" s="17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17"/>
      <c r="Z110" s="20"/>
      <c r="AA110" s="73"/>
      <c r="AB110" s="122"/>
      <c r="AC110" s="127"/>
      <c r="AD110" s="122"/>
      <c r="AE110" s="126"/>
      <c r="AF110" s="126"/>
      <c r="AG110" s="20"/>
      <c r="AH110" s="126"/>
      <c r="AI110" s="124"/>
      <c r="AJ110" s="121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</row>
    <row r="111" spans="1:59" s="120" customFormat="1" ht="14">
      <c r="A111" s="20"/>
      <c r="B111" s="20"/>
      <c r="C111" s="20"/>
      <c r="D111" s="20"/>
      <c r="E111" s="17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17"/>
      <c r="Z111" s="20"/>
      <c r="AA111" s="73"/>
      <c r="AB111" s="122"/>
      <c r="AC111" s="127"/>
      <c r="AD111" s="122"/>
      <c r="AE111" s="126"/>
      <c r="AF111" s="126"/>
      <c r="AG111" s="20"/>
      <c r="AH111" s="126"/>
      <c r="AI111" s="124"/>
      <c r="AJ111" s="121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</row>
    <row r="112" spans="1:59" s="120" customFormat="1" ht="14">
      <c r="A112" s="20"/>
      <c r="B112" s="20"/>
      <c r="C112" s="20"/>
      <c r="D112" s="20"/>
      <c r="E112" s="17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17"/>
      <c r="Z112" s="20"/>
      <c r="AA112" s="73"/>
      <c r="AB112" s="122"/>
      <c r="AC112" s="127"/>
      <c r="AD112" s="125"/>
      <c r="AE112" s="126"/>
      <c r="AF112" s="126"/>
      <c r="AG112" s="20"/>
      <c r="AH112" s="126"/>
      <c r="AI112" s="124"/>
      <c r="AJ112" s="121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</row>
    <row r="113" spans="1:57" s="120" customFormat="1" ht="14">
      <c r="A113" s="20"/>
      <c r="B113" s="20"/>
      <c r="C113" s="20"/>
      <c r="D113" s="20"/>
      <c r="E113" s="17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17"/>
      <c r="Z113" s="20"/>
      <c r="AA113" s="73"/>
      <c r="AB113" s="122"/>
      <c r="AC113" s="127"/>
      <c r="AD113" s="125"/>
      <c r="AE113" s="126"/>
      <c r="AF113" s="126"/>
      <c r="AG113" s="20"/>
      <c r="AH113" s="126"/>
      <c r="AI113" s="124"/>
      <c r="AJ113" s="121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</row>
    <row r="114" spans="1:57" s="120" customFormat="1" ht="14">
      <c r="A114" s="20"/>
      <c r="B114" s="20"/>
      <c r="C114" s="20"/>
      <c r="D114" s="20"/>
      <c r="E114" s="17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17"/>
      <c r="Z114" s="20"/>
      <c r="AA114" s="73"/>
      <c r="AB114" s="122"/>
      <c r="AC114" s="127"/>
      <c r="AD114" s="122"/>
      <c r="AE114" s="126"/>
      <c r="AF114" s="126"/>
      <c r="AG114" s="20"/>
      <c r="AH114" s="126"/>
      <c r="AI114" s="124"/>
      <c r="AJ114" s="121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</row>
    <row r="115" spans="1:57" s="120" customFormat="1" ht="14">
      <c r="A115" s="20"/>
      <c r="B115" s="20"/>
      <c r="C115" s="20"/>
      <c r="D115" s="20"/>
      <c r="E115" s="1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17"/>
      <c r="Z115" s="20"/>
      <c r="AA115" s="73"/>
      <c r="AB115" s="122"/>
      <c r="AC115" s="127"/>
      <c r="AD115" s="122"/>
      <c r="AE115" s="126"/>
      <c r="AF115" s="126"/>
      <c r="AG115" s="20"/>
      <c r="AH115" s="126"/>
      <c r="AI115" s="124"/>
      <c r="AJ115" s="121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</row>
    <row r="116" spans="1:57" s="120" customFormat="1" ht="14">
      <c r="A116" s="20"/>
      <c r="B116" s="20"/>
      <c r="C116" s="20"/>
      <c r="D116" s="20"/>
      <c r="E116" s="17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17"/>
      <c r="Z116" s="20"/>
      <c r="AA116" s="73"/>
      <c r="AB116" s="122"/>
      <c r="AC116" s="127"/>
      <c r="AD116" s="122"/>
      <c r="AE116" s="126"/>
      <c r="AF116" s="126"/>
      <c r="AG116" s="20"/>
      <c r="AH116" s="126"/>
      <c r="AI116" s="124"/>
      <c r="AJ116" s="121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</row>
    <row r="117" spans="1:57">
      <c r="A117" s="99"/>
      <c r="B117" s="99"/>
      <c r="C117" s="99"/>
      <c r="D117" s="99"/>
      <c r="E117" s="100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100"/>
      <c r="Z117" s="99"/>
      <c r="AA117" s="73"/>
      <c r="AB117" s="78"/>
      <c r="AC117" s="102"/>
      <c r="AD117" s="78"/>
      <c r="AE117" s="105"/>
      <c r="AF117" s="105"/>
      <c r="AG117" s="99"/>
      <c r="AH117" s="105"/>
      <c r="AI117" s="107"/>
      <c r="AJ117" s="108"/>
      <c r="AK117" s="104"/>
      <c r="AL117" s="99"/>
      <c r="AM117" s="99"/>
      <c r="AN117" s="99"/>
      <c r="AO117" s="99"/>
      <c r="AP117" s="99"/>
      <c r="AQ117" s="99"/>
      <c r="AR117" s="99"/>
      <c r="AS117" s="99"/>
      <c r="AT117" s="99"/>
      <c r="AU117" s="99"/>
      <c r="AV117" s="99"/>
      <c r="AW117" s="99"/>
      <c r="AX117" s="99"/>
      <c r="AY117" s="99"/>
      <c r="AZ117" s="99"/>
      <c r="BA117" s="99"/>
      <c r="BB117" s="99"/>
      <c r="BC117" s="99"/>
      <c r="BD117" s="99"/>
      <c r="BE117" s="99"/>
    </row>
    <row r="118" spans="1:57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73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</row>
    <row r="119" spans="1:57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73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  <c r="BC119" s="100"/>
      <c r="BD119" s="100"/>
      <c r="BE119" s="100"/>
    </row>
    <row r="120" spans="1:57">
      <c r="A120" s="99"/>
      <c r="B120" s="99"/>
      <c r="C120" s="99"/>
      <c r="D120" s="99"/>
      <c r="E120" s="100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100"/>
      <c r="Z120" s="99"/>
      <c r="AA120" s="73"/>
      <c r="AB120" s="78"/>
      <c r="AC120" s="102"/>
      <c r="AD120" s="78"/>
      <c r="AE120" s="105"/>
      <c r="AF120" s="105"/>
      <c r="AG120" s="99"/>
      <c r="AH120" s="105"/>
      <c r="AI120" s="107"/>
      <c r="AJ120" s="108"/>
      <c r="AK120" s="104"/>
      <c r="AL120" s="99"/>
      <c r="AM120" s="99"/>
      <c r="AN120" s="99"/>
      <c r="AO120" s="99"/>
      <c r="AP120" s="99"/>
      <c r="AQ120" s="99"/>
      <c r="AR120" s="99"/>
      <c r="AS120" s="99"/>
      <c r="AT120" s="99"/>
      <c r="AU120" s="99"/>
      <c r="AV120" s="99"/>
      <c r="AW120" s="99"/>
      <c r="AX120" s="99"/>
      <c r="AY120" s="99"/>
      <c r="AZ120" s="99"/>
      <c r="BA120" s="99"/>
      <c r="BB120" s="99"/>
      <c r="BC120" s="99"/>
      <c r="BD120" s="99"/>
      <c r="BE120" s="99"/>
    </row>
    <row r="121" spans="1:57">
      <c r="A121" s="99"/>
      <c r="B121" s="99"/>
      <c r="C121" s="99"/>
      <c r="D121" s="99"/>
      <c r="E121" s="100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100"/>
      <c r="Z121" s="99"/>
      <c r="AA121" s="73"/>
      <c r="AB121" s="78"/>
      <c r="AC121" s="102"/>
      <c r="AD121" s="78"/>
      <c r="AE121" s="105"/>
      <c r="AF121" s="105"/>
      <c r="AG121" s="99"/>
      <c r="AH121" s="105"/>
      <c r="AI121" s="107"/>
      <c r="AJ121" s="108"/>
      <c r="AK121" s="104"/>
      <c r="AL121" s="99"/>
      <c r="AM121" s="99"/>
      <c r="AN121" s="99"/>
      <c r="AO121" s="99"/>
      <c r="AP121" s="99"/>
      <c r="AQ121" s="99"/>
      <c r="AR121" s="99"/>
      <c r="AS121" s="99"/>
      <c r="AT121" s="99"/>
      <c r="AU121" s="99"/>
      <c r="AV121" s="99"/>
      <c r="AW121" s="99"/>
      <c r="AX121" s="99"/>
      <c r="AY121" s="99"/>
      <c r="AZ121" s="99"/>
      <c r="BA121" s="99"/>
      <c r="BB121" s="99"/>
      <c r="BC121" s="99"/>
      <c r="BD121" s="99"/>
      <c r="BE121" s="99"/>
    </row>
    <row r="122" spans="1:57">
      <c r="A122" s="99"/>
      <c r="B122" s="99"/>
      <c r="C122" s="99"/>
      <c r="D122" s="99"/>
      <c r="E122" s="100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100"/>
      <c r="Z122" s="99"/>
      <c r="AA122" s="73"/>
      <c r="AB122" s="78"/>
      <c r="AC122" s="102"/>
      <c r="AD122" s="78"/>
      <c r="AE122" s="105"/>
      <c r="AF122" s="105"/>
      <c r="AG122" s="99"/>
      <c r="AH122" s="105"/>
      <c r="AI122" s="107"/>
      <c r="AJ122" s="108"/>
      <c r="AK122" s="104"/>
      <c r="AL122" s="99"/>
      <c r="AM122" s="99"/>
      <c r="AN122" s="99"/>
      <c r="AO122" s="99"/>
      <c r="AP122" s="99"/>
      <c r="AQ122" s="99"/>
      <c r="AR122" s="99"/>
      <c r="AS122" s="99"/>
      <c r="AT122" s="99"/>
      <c r="AU122" s="99"/>
      <c r="AV122" s="99"/>
      <c r="AW122" s="99"/>
      <c r="AX122" s="99"/>
      <c r="AY122" s="99"/>
      <c r="AZ122" s="99"/>
      <c r="BA122" s="99"/>
      <c r="BB122" s="99"/>
      <c r="BC122" s="99"/>
      <c r="BD122" s="99"/>
      <c r="BE122" s="99"/>
    </row>
    <row r="123" spans="1:57">
      <c r="A123" s="99"/>
      <c r="B123" s="99"/>
      <c r="C123" s="99"/>
      <c r="D123" s="99"/>
      <c r="E123" s="100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100"/>
      <c r="Z123" s="99"/>
      <c r="AA123" s="73"/>
      <c r="AB123" s="78"/>
      <c r="AC123" s="102"/>
      <c r="AD123" s="78"/>
      <c r="AE123" s="105"/>
      <c r="AF123" s="105"/>
      <c r="AG123" s="99"/>
      <c r="AH123" s="105"/>
      <c r="AI123" s="107"/>
      <c r="AJ123" s="108"/>
      <c r="AK123" s="104"/>
      <c r="AL123" s="99"/>
      <c r="AM123" s="99"/>
      <c r="AN123" s="99"/>
      <c r="AO123" s="99"/>
      <c r="AP123" s="99"/>
      <c r="AQ123" s="99"/>
      <c r="AR123" s="99"/>
      <c r="AS123" s="99"/>
      <c r="AT123" s="99"/>
      <c r="AU123" s="99"/>
      <c r="AV123" s="99"/>
      <c r="AW123" s="99"/>
      <c r="AX123" s="99"/>
      <c r="AY123" s="99"/>
      <c r="AZ123" s="99"/>
      <c r="BA123" s="99"/>
      <c r="BB123" s="99"/>
      <c r="BC123" s="99"/>
      <c r="BD123" s="99"/>
      <c r="BE123" s="99"/>
    </row>
    <row r="124" spans="1:57">
      <c r="A124" s="99"/>
      <c r="B124" s="99"/>
      <c r="C124" s="99"/>
      <c r="D124" s="99"/>
      <c r="E124" s="100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100"/>
      <c r="Z124" s="99"/>
      <c r="AA124" s="73"/>
      <c r="AB124" s="78"/>
      <c r="AC124" s="102"/>
      <c r="AD124" s="78"/>
      <c r="AE124" s="105"/>
      <c r="AF124" s="105"/>
      <c r="AG124" s="99"/>
      <c r="AH124" s="105"/>
      <c r="AI124" s="107"/>
      <c r="AJ124" s="108"/>
      <c r="AK124" s="104"/>
      <c r="AL124" s="99"/>
      <c r="AM124" s="99"/>
      <c r="AN124" s="99"/>
      <c r="AO124" s="99"/>
      <c r="AP124" s="99"/>
      <c r="AQ124" s="99"/>
      <c r="AR124" s="99"/>
      <c r="AS124" s="99"/>
      <c r="AT124" s="99"/>
      <c r="AU124" s="99"/>
      <c r="AV124" s="99"/>
      <c r="AW124" s="99"/>
      <c r="AX124" s="99"/>
      <c r="AY124" s="99"/>
      <c r="AZ124" s="99"/>
      <c r="BA124" s="99"/>
      <c r="BB124" s="99"/>
      <c r="BC124" s="99"/>
      <c r="BD124" s="99"/>
      <c r="BE124" s="99"/>
    </row>
    <row r="125" spans="1:57">
      <c r="A125" s="99"/>
      <c r="B125" s="99"/>
      <c r="C125" s="99"/>
      <c r="D125" s="99"/>
      <c r="E125" s="100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100"/>
      <c r="Z125" s="99"/>
      <c r="AA125" s="73"/>
      <c r="AB125" s="78"/>
      <c r="AC125" s="102"/>
      <c r="AD125" s="78"/>
      <c r="AE125" s="105"/>
      <c r="AF125" s="105"/>
      <c r="AG125" s="99"/>
      <c r="AH125" s="105"/>
      <c r="AI125" s="107"/>
      <c r="AJ125" s="108"/>
      <c r="AK125" s="104"/>
      <c r="AL125" s="99"/>
      <c r="AM125" s="99"/>
      <c r="AN125" s="99"/>
      <c r="AO125" s="99"/>
      <c r="AP125" s="99"/>
      <c r="AQ125" s="99"/>
      <c r="AR125" s="99"/>
      <c r="AS125" s="99"/>
      <c r="AT125" s="99"/>
      <c r="AU125" s="99"/>
      <c r="AV125" s="99"/>
      <c r="AW125" s="99"/>
      <c r="AX125" s="99"/>
      <c r="AY125" s="99"/>
      <c r="AZ125" s="99"/>
      <c r="BA125" s="99"/>
      <c r="BB125" s="99"/>
      <c r="BC125" s="99"/>
      <c r="BD125" s="99"/>
      <c r="BE125" s="99"/>
    </row>
    <row r="126" spans="1:57">
      <c r="A126" s="99"/>
      <c r="B126" s="99"/>
      <c r="C126" s="99"/>
      <c r="D126" s="99"/>
      <c r="E126" s="100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100"/>
      <c r="Z126" s="99"/>
      <c r="AA126" s="73"/>
      <c r="AB126" s="78"/>
      <c r="AC126" s="102"/>
      <c r="AD126" s="78"/>
      <c r="AE126" s="105"/>
      <c r="AF126" s="105"/>
      <c r="AG126" s="99"/>
      <c r="AH126" s="105"/>
      <c r="AI126" s="107"/>
      <c r="AJ126" s="108"/>
      <c r="AK126" s="104"/>
      <c r="AL126" s="99"/>
      <c r="AM126" s="99"/>
      <c r="AN126" s="99"/>
      <c r="AO126" s="99"/>
      <c r="AP126" s="99"/>
      <c r="AQ126" s="99"/>
      <c r="AR126" s="99"/>
      <c r="AS126" s="99"/>
      <c r="AT126" s="99"/>
      <c r="AU126" s="99"/>
      <c r="AV126" s="99"/>
      <c r="AW126" s="99"/>
      <c r="AX126" s="99"/>
      <c r="AY126" s="99"/>
      <c r="AZ126" s="99"/>
      <c r="BA126" s="99"/>
      <c r="BB126" s="99"/>
      <c r="BC126" s="99"/>
      <c r="BD126" s="99"/>
      <c r="BE126" s="99"/>
    </row>
    <row r="127" spans="1:57">
      <c r="A127" s="99"/>
      <c r="B127" s="99"/>
      <c r="C127" s="99"/>
      <c r="D127" s="99"/>
      <c r="E127" s="100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100"/>
      <c r="Z127" s="99"/>
      <c r="AA127" s="73"/>
      <c r="AB127" s="78"/>
      <c r="AC127" s="102"/>
      <c r="AD127" s="78"/>
      <c r="AE127" s="105"/>
      <c r="AF127" s="105"/>
      <c r="AG127" s="99"/>
      <c r="AH127" s="105"/>
      <c r="AI127" s="107"/>
      <c r="AJ127" s="108"/>
      <c r="AK127" s="104"/>
      <c r="AL127" s="99"/>
      <c r="AM127" s="99"/>
      <c r="AN127" s="99"/>
      <c r="AO127" s="99"/>
      <c r="AP127" s="99"/>
      <c r="AQ127" s="99"/>
      <c r="AR127" s="99"/>
      <c r="AS127" s="99"/>
      <c r="AT127" s="99"/>
      <c r="AU127" s="99"/>
      <c r="AV127" s="99"/>
      <c r="AW127" s="99"/>
      <c r="AX127" s="99"/>
      <c r="AY127" s="99"/>
      <c r="AZ127" s="99"/>
      <c r="BA127" s="99"/>
      <c r="BB127" s="99"/>
      <c r="BC127" s="99"/>
      <c r="BD127" s="99"/>
      <c r="BE127" s="99"/>
    </row>
    <row r="128" spans="1:57">
      <c r="A128" s="99"/>
      <c r="B128" s="99"/>
      <c r="C128" s="99"/>
      <c r="D128" s="99"/>
      <c r="E128" s="100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100"/>
      <c r="Z128" s="99"/>
      <c r="AA128" s="73"/>
      <c r="AB128" s="78"/>
      <c r="AC128" s="102"/>
      <c r="AD128" s="103"/>
      <c r="AE128" s="105"/>
      <c r="AF128" s="105"/>
      <c r="AG128" s="99"/>
      <c r="AH128" s="105"/>
      <c r="AI128" s="107"/>
      <c r="AJ128" s="108"/>
      <c r="AK128" s="104"/>
      <c r="AL128" s="99"/>
      <c r="AM128" s="99"/>
      <c r="AN128" s="99"/>
      <c r="AO128" s="99"/>
      <c r="AP128" s="99"/>
      <c r="AQ128" s="99"/>
      <c r="AR128" s="99"/>
      <c r="AS128" s="99"/>
      <c r="AT128" s="99"/>
      <c r="AU128" s="99"/>
      <c r="AV128" s="99"/>
      <c r="AW128" s="99"/>
      <c r="AX128" s="99"/>
      <c r="AY128" s="99"/>
      <c r="AZ128" s="99"/>
      <c r="BA128" s="99"/>
      <c r="BB128" s="99"/>
      <c r="BC128" s="99"/>
      <c r="BD128" s="99"/>
      <c r="BE128" s="99"/>
    </row>
    <row r="129" spans="1:57">
      <c r="A129" s="99"/>
      <c r="B129" s="99"/>
      <c r="C129" s="99"/>
      <c r="D129" s="99"/>
      <c r="E129" s="100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100"/>
      <c r="Z129" s="99"/>
      <c r="AA129" s="73"/>
      <c r="AB129" s="78"/>
      <c r="AC129" s="102"/>
      <c r="AD129" s="103"/>
      <c r="AE129" s="105"/>
      <c r="AF129" s="105"/>
      <c r="AG129" s="99"/>
      <c r="AH129" s="105"/>
      <c r="AI129" s="107"/>
      <c r="AJ129" s="108"/>
      <c r="AK129" s="104"/>
      <c r="AL129" s="99"/>
      <c r="AM129" s="99"/>
      <c r="AN129" s="99"/>
      <c r="AO129" s="99"/>
      <c r="AP129" s="99"/>
      <c r="AQ129" s="99"/>
      <c r="AR129" s="99"/>
      <c r="AS129" s="99"/>
      <c r="AT129" s="99"/>
      <c r="AU129" s="99"/>
      <c r="AV129" s="99"/>
      <c r="AW129" s="99"/>
      <c r="AX129" s="99"/>
      <c r="AY129" s="99"/>
      <c r="AZ129" s="99"/>
      <c r="BA129" s="99"/>
      <c r="BB129" s="99"/>
      <c r="BC129" s="99"/>
      <c r="BD129" s="99"/>
      <c r="BE129" s="99"/>
    </row>
    <row r="130" spans="1:57">
      <c r="A130" s="99"/>
      <c r="B130" s="99"/>
      <c r="C130" s="99"/>
      <c r="D130" s="99"/>
      <c r="E130" s="100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100"/>
      <c r="Z130" s="99"/>
      <c r="AA130" s="73"/>
      <c r="AB130" s="78"/>
      <c r="AC130" s="102"/>
      <c r="AD130" s="103"/>
      <c r="AE130" s="105"/>
      <c r="AF130" s="105"/>
      <c r="AG130" s="99"/>
      <c r="AH130" s="105"/>
      <c r="AI130" s="107"/>
      <c r="AJ130" s="108"/>
      <c r="AK130" s="104"/>
      <c r="AL130" s="99"/>
      <c r="AM130" s="99"/>
      <c r="AN130" s="99"/>
      <c r="AO130" s="99"/>
      <c r="AP130" s="99"/>
      <c r="AQ130" s="99"/>
      <c r="AR130" s="99"/>
      <c r="AS130" s="99"/>
      <c r="AT130" s="99"/>
      <c r="AU130" s="99"/>
      <c r="AV130" s="99"/>
      <c r="AW130" s="99"/>
      <c r="AX130" s="99"/>
      <c r="AY130" s="99"/>
      <c r="AZ130" s="99"/>
      <c r="BA130" s="99"/>
      <c r="BB130" s="99"/>
      <c r="BC130" s="99"/>
      <c r="BD130" s="99"/>
      <c r="BE130" s="99"/>
    </row>
    <row r="131" spans="1:57">
      <c r="A131" s="99"/>
      <c r="B131" s="99"/>
      <c r="C131" s="99"/>
      <c r="D131" s="99"/>
      <c r="E131" s="100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100"/>
      <c r="Z131" s="99"/>
      <c r="AA131" s="73"/>
      <c r="AB131" s="78"/>
      <c r="AC131" s="102"/>
      <c r="AD131" s="103"/>
      <c r="AE131" s="105"/>
      <c r="AF131" s="105"/>
      <c r="AG131" s="99"/>
      <c r="AH131" s="105"/>
      <c r="AI131" s="107"/>
      <c r="AJ131" s="108"/>
      <c r="AK131" s="104"/>
      <c r="AL131" s="99"/>
      <c r="AM131" s="99"/>
      <c r="AN131" s="99"/>
      <c r="AO131" s="99"/>
      <c r="AP131" s="99"/>
      <c r="AQ131" s="99"/>
      <c r="AR131" s="99"/>
      <c r="AS131" s="99"/>
      <c r="AT131" s="99"/>
      <c r="AU131" s="99"/>
      <c r="AV131" s="99"/>
      <c r="AW131" s="99"/>
      <c r="AX131" s="99"/>
      <c r="AY131" s="99"/>
      <c r="AZ131" s="99"/>
      <c r="BA131" s="99"/>
      <c r="BB131" s="99"/>
      <c r="BC131" s="99"/>
      <c r="BD131" s="99"/>
      <c r="BE131" s="99"/>
    </row>
    <row r="132" spans="1:57">
      <c r="A132" s="99"/>
      <c r="B132" s="99"/>
      <c r="C132" s="99"/>
      <c r="D132" s="99"/>
      <c r="E132" s="111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111"/>
      <c r="Z132" s="99"/>
      <c r="AA132" s="73"/>
      <c r="AB132" s="78"/>
      <c r="AC132" s="102"/>
      <c r="AD132" s="78"/>
      <c r="AE132" s="105"/>
      <c r="AF132" s="105"/>
      <c r="AG132" s="99"/>
      <c r="AH132" s="105"/>
      <c r="AI132" s="109"/>
      <c r="AJ132" s="110"/>
      <c r="AK132" s="104"/>
      <c r="AL132" s="99"/>
      <c r="AM132" s="99"/>
      <c r="AN132" s="99"/>
      <c r="AO132" s="99"/>
      <c r="AP132" s="99"/>
      <c r="AQ132" s="99"/>
      <c r="AR132" s="99"/>
      <c r="AS132" s="99"/>
      <c r="AT132" s="99"/>
      <c r="AU132" s="99"/>
      <c r="AV132" s="99"/>
      <c r="AW132" s="99"/>
      <c r="AX132" s="99"/>
      <c r="AY132" s="99"/>
      <c r="AZ132" s="99"/>
      <c r="BA132" s="99"/>
      <c r="BB132" s="99"/>
      <c r="BC132" s="99"/>
      <c r="BD132" s="99"/>
      <c r="BE132" s="99"/>
    </row>
    <row r="133" spans="1:57">
      <c r="A133" s="99"/>
      <c r="B133" s="99"/>
      <c r="C133" s="99"/>
      <c r="D133" s="99"/>
      <c r="E133" s="111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111"/>
      <c r="Z133" s="99"/>
      <c r="AA133" s="73"/>
      <c r="AB133" s="78"/>
      <c r="AC133" s="102"/>
      <c r="AD133" s="78"/>
      <c r="AE133" s="105"/>
      <c r="AF133" s="105"/>
      <c r="AG133" s="99"/>
      <c r="AH133" s="105"/>
      <c r="AI133" s="109"/>
      <c r="AJ133" s="110"/>
      <c r="AK133" s="104"/>
      <c r="AL133" s="99"/>
      <c r="AM133" s="99"/>
      <c r="AN133" s="99"/>
      <c r="AO133" s="99"/>
      <c r="AP133" s="99"/>
      <c r="AQ133" s="99"/>
      <c r="AR133" s="99"/>
      <c r="AS133" s="99"/>
      <c r="AT133" s="99"/>
      <c r="AU133" s="99"/>
      <c r="AV133" s="99"/>
      <c r="AW133" s="99"/>
      <c r="AX133" s="99"/>
      <c r="AY133" s="99"/>
      <c r="AZ133" s="99"/>
      <c r="BA133" s="99"/>
      <c r="BB133" s="99"/>
      <c r="BC133" s="99"/>
      <c r="BD133" s="99"/>
      <c r="BE133" s="99"/>
    </row>
    <row r="134" spans="1:57">
      <c r="A134" s="99"/>
      <c r="B134" s="99"/>
      <c r="C134" s="99"/>
      <c r="D134" s="99"/>
      <c r="E134" s="100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100"/>
      <c r="Z134" s="99"/>
      <c r="AA134" s="73"/>
      <c r="AB134" s="78"/>
      <c r="AC134" s="102"/>
      <c r="AD134" s="78"/>
      <c r="AE134" s="105"/>
      <c r="AF134" s="105"/>
      <c r="AG134" s="99"/>
      <c r="AH134" s="105"/>
      <c r="AI134" s="107"/>
      <c r="AJ134" s="108"/>
      <c r="AK134" s="104"/>
      <c r="AL134" s="99"/>
      <c r="AM134" s="99"/>
      <c r="AN134" s="99"/>
      <c r="AO134" s="99"/>
      <c r="AP134" s="99"/>
      <c r="AQ134" s="99"/>
      <c r="AR134" s="99"/>
      <c r="AS134" s="99"/>
      <c r="AT134" s="99"/>
      <c r="AU134" s="99"/>
      <c r="AV134" s="99"/>
      <c r="AW134" s="99"/>
      <c r="AX134" s="99"/>
      <c r="AY134" s="99"/>
      <c r="AZ134" s="99"/>
      <c r="BA134" s="99"/>
      <c r="BB134" s="99"/>
      <c r="BC134" s="99"/>
      <c r="BD134" s="99"/>
      <c r="BE134" s="99"/>
    </row>
    <row r="135" spans="1:57">
      <c r="A135" s="99"/>
      <c r="B135" s="99"/>
      <c r="C135" s="99"/>
      <c r="D135" s="99"/>
      <c r="E135" s="100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100"/>
      <c r="Z135" s="99"/>
      <c r="AA135" s="73"/>
      <c r="AB135" s="78"/>
      <c r="AC135" s="102"/>
      <c r="AD135" s="78"/>
      <c r="AE135" s="105"/>
      <c r="AF135" s="105"/>
      <c r="AG135" s="99"/>
      <c r="AH135" s="105"/>
      <c r="AI135" s="107"/>
      <c r="AJ135" s="108"/>
      <c r="AK135" s="104"/>
      <c r="AL135" s="99"/>
      <c r="AM135" s="99"/>
      <c r="AN135" s="99"/>
      <c r="AO135" s="99"/>
      <c r="AP135" s="99"/>
      <c r="AQ135" s="99"/>
      <c r="AR135" s="99"/>
      <c r="AS135" s="99"/>
      <c r="AT135" s="99"/>
      <c r="AU135" s="99"/>
      <c r="AV135" s="99"/>
      <c r="AW135" s="99"/>
      <c r="AX135" s="99"/>
      <c r="AY135" s="99"/>
      <c r="AZ135" s="99"/>
      <c r="BA135" s="99"/>
      <c r="BB135" s="99"/>
      <c r="BC135" s="99"/>
      <c r="BD135" s="99"/>
      <c r="BE135" s="99"/>
    </row>
    <row r="136" spans="1:57">
      <c r="A136" s="99"/>
      <c r="B136" s="99"/>
      <c r="C136" s="99"/>
      <c r="D136" s="99"/>
      <c r="E136" s="100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100"/>
      <c r="Z136" s="99"/>
      <c r="AA136" s="73"/>
      <c r="AB136" s="78"/>
      <c r="AC136" s="102"/>
      <c r="AD136" s="103"/>
      <c r="AE136" s="105"/>
      <c r="AF136" s="105"/>
      <c r="AG136" s="99"/>
      <c r="AH136" s="105"/>
      <c r="AI136" s="107"/>
      <c r="AJ136" s="108"/>
      <c r="AK136" s="104"/>
      <c r="AL136" s="99"/>
      <c r="AM136" s="99"/>
      <c r="AN136" s="99"/>
      <c r="AO136" s="99"/>
      <c r="AP136" s="99"/>
      <c r="AQ136" s="99"/>
      <c r="AR136" s="99"/>
      <c r="AS136" s="99"/>
      <c r="AT136" s="99"/>
      <c r="AU136" s="99"/>
      <c r="AV136" s="99"/>
      <c r="AW136" s="99"/>
      <c r="AX136" s="99"/>
      <c r="AY136" s="99"/>
      <c r="AZ136" s="99"/>
      <c r="BA136" s="99"/>
      <c r="BB136" s="99"/>
      <c r="BC136" s="99"/>
      <c r="BD136" s="99"/>
      <c r="BE136" s="99"/>
    </row>
    <row r="137" spans="1:57">
      <c r="A137" s="99"/>
      <c r="B137" s="99"/>
      <c r="C137" s="99"/>
      <c r="D137" s="99"/>
      <c r="E137" s="100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100"/>
      <c r="Z137" s="99"/>
      <c r="AA137" s="73"/>
      <c r="AB137" s="78"/>
      <c r="AC137" s="102"/>
      <c r="AD137" s="103"/>
      <c r="AE137" s="105"/>
      <c r="AF137" s="105"/>
      <c r="AG137" s="99"/>
      <c r="AH137" s="105"/>
      <c r="AI137" s="107"/>
      <c r="AJ137" s="108"/>
      <c r="AK137" s="104"/>
      <c r="AL137" s="99"/>
      <c r="AM137" s="99"/>
      <c r="AN137" s="99"/>
      <c r="AO137" s="99"/>
      <c r="AP137" s="99"/>
      <c r="AQ137" s="99"/>
      <c r="AR137" s="99"/>
      <c r="AS137" s="99"/>
      <c r="AT137" s="99"/>
      <c r="AU137" s="99"/>
      <c r="AV137" s="99"/>
      <c r="AW137" s="99"/>
      <c r="AX137" s="99"/>
      <c r="AY137" s="99"/>
      <c r="AZ137" s="99"/>
      <c r="BA137" s="99"/>
      <c r="BB137" s="99"/>
      <c r="BC137" s="99"/>
      <c r="BD137" s="99"/>
      <c r="BE137" s="99"/>
    </row>
    <row r="138" spans="1:57">
      <c r="A138" s="99"/>
      <c r="B138" s="99"/>
      <c r="C138" s="99"/>
      <c r="D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Z138" s="99"/>
      <c r="AA138" s="73"/>
      <c r="AB138" s="78"/>
      <c r="AC138" s="102"/>
      <c r="AD138" s="78"/>
      <c r="AE138" s="105"/>
      <c r="AF138" s="105"/>
      <c r="AG138" s="99"/>
      <c r="AH138" s="105"/>
      <c r="AI138" s="107"/>
      <c r="AJ138" s="108"/>
      <c r="AK138" s="104"/>
      <c r="AL138" s="99"/>
      <c r="AM138" s="99"/>
      <c r="AN138" s="99"/>
      <c r="AO138" s="99"/>
      <c r="AP138" s="99"/>
      <c r="AQ138" s="99"/>
      <c r="AR138" s="99"/>
      <c r="AS138" s="99"/>
      <c r="AT138" s="99"/>
      <c r="AU138" s="99"/>
      <c r="AV138" s="99"/>
      <c r="AW138" s="99"/>
      <c r="AX138" s="99"/>
      <c r="AY138" s="99"/>
      <c r="AZ138" s="99"/>
      <c r="BA138" s="99"/>
      <c r="BB138" s="99"/>
      <c r="BC138" s="99"/>
      <c r="BD138" s="99"/>
      <c r="BE138" s="99"/>
    </row>
    <row r="139" spans="1:57">
      <c r="A139" s="99"/>
      <c r="B139" s="99"/>
      <c r="C139" s="99"/>
      <c r="D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Z139" s="99"/>
      <c r="AA139" s="73"/>
      <c r="AB139" s="78"/>
      <c r="AC139" s="102"/>
      <c r="AD139" s="78"/>
      <c r="AE139" s="105"/>
      <c r="AF139" s="105"/>
      <c r="AG139" s="99"/>
      <c r="AH139" s="105"/>
      <c r="AI139" s="107"/>
      <c r="AJ139" s="108"/>
      <c r="AK139" s="104"/>
      <c r="AL139" s="99"/>
      <c r="AM139" s="99"/>
      <c r="AN139" s="99"/>
      <c r="AO139" s="99"/>
      <c r="AP139" s="99"/>
      <c r="AQ139" s="99"/>
      <c r="AR139" s="99"/>
      <c r="AS139" s="99"/>
      <c r="AT139" s="99"/>
      <c r="AU139" s="99"/>
      <c r="AV139" s="99"/>
      <c r="AW139" s="99"/>
      <c r="AX139" s="99"/>
      <c r="AY139" s="99"/>
      <c r="AZ139" s="99"/>
      <c r="BA139" s="99"/>
      <c r="BB139" s="99"/>
      <c r="BC139" s="99"/>
      <c r="BD139" s="99"/>
      <c r="BE139" s="99"/>
    </row>
    <row r="140" spans="1:57">
      <c r="A140" s="99"/>
      <c r="B140" s="99"/>
      <c r="C140" s="99"/>
      <c r="D140" s="99"/>
      <c r="E140" s="100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100"/>
      <c r="Z140" s="99"/>
      <c r="AA140" s="73"/>
      <c r="AB140" s="78"/>
      <c r="AC140" s="102"/>
      <c r="AD140" s="78"/>
      <c r="AE140" s="105"/>
      <c r="AF140" s="105"/>
      <c r="AG140" s="99"/>
      <c r="AH140" s="105"/>
      <c r="AI140" s="107"/>
      <c r="AJ140" s="108"/>
      <c r="AK140" s="104"/>
      <c r="AL140" s="99"/>
      <c r="AM140" s="99"/>
      <c r="AN140" s="99"/>
      <c r="AO140" s="99"/>
      <c r="AP140" s="99"/>
      <c r="AQ140" s="99"/>
      <c r="AR140" s="99"/>
      <c r="AS140" s="99"/>
      <c r="AT140" s="99"/>
      <c r="AU140" s="99"/>
      <c r="AV140" s="99"/>
      <c r="AW140" s="99"/>
      <c r="AX140" s="99"/>
      <c r="AY140" s="99"/>
      <c r="AZ140" s="99"/>
      <c r="BA140" s="99"/>
      <c r="BB140" s="99"/>
      <c r="BC140" s="99"/>
      <c r="BD140" s="99"/>
      <c r="BE140" s="99"/>
    </row>
    <row r="141" spans="1:57">
      <c r="A141" s="99"/>
      <c r="B141" s="99"/>
      <c r="C141" s="99"/>
      <c r="D141" s="99"/>
      <c r="E141" s="100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100"/>
      <c r="Z141" s="99"/>
      <c r="AA141" s="73"/>
      <c r="AB141" s="78"/>
      <c r="AC141" s="102"/>
      <c r="AD141" s="78"/>
      <c r="AE141" s="105"/>
      <c r="AF141" s="105"/>
      <c r="AG141" s="99"/>
      <c r="AH141" s="105"/>
      <c r="AI141" s="107"/>
      <c r="AJ141" s="108"/>
      <c r="AK141" s="104"/>
      <c r="AL141" s="99"/>
      <c r="AM141" s="99"/>
      <c r="AN141" s="99"/>
      <c r="AO141" s="99"/>
      <c r="AP141" s="99"/>
      <c r="AQ141" s="99"/>
      <c r="AR141" s="99"/>
      <c r="AS141" s="99"/>
      <c r="AT141" s="99"/>
      <c r="AU141" s="99"/>
      <c r="AV141" s="99"/>
      <c r="AW141" s="99"/>
      <c r="AX141" s="99"/>
      <c r="AY141" s="99"/>
      <c r="AZ141" s="99"/>
      <c r="BA141" s="99"/>
      <c r="BB141" s="99"/>
      <c r="BC141" s="99"/>
      <c r="BD141" s="99"/>
      <c r="BE141" s="99"/>
    </row>
    <row r="142" spans="1:57">
      <c r="A142" s="99"/>
      <c r="B142" s="99"/>
      <c r="C142" s="99"/>
      <c r="D142" s="99"/>
      <c r="E142" s="100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100"/>
      <c r="Z142" s="99"/>
      <c r="AA142" s="73"/>
      <c r="AB142" s="78"/>
      <c r="AC142" s="102"/>
      <c r="AD142" s="78"/>
      <c r="AE142" s="105"/>
      <c r="AF142" s="105"/>
      <c r="AG142" s="99"/>
      <c r="AH142" s="105"/>
      <c r="AI142" s="107"/>
      <c r="AJ142" s="108"/>
      <c r="AK142" s="104"/>
      <c r="AL142" s="99"/>
      <c r="AM142" s="99"/>
      <c r="AN142" s="99"/>
      <c r="AO142" s="99"/>
      <c r="AP142" s="99"/>
      <c r="AQ142" s="99"/>
      <c r="AR142" s="99"/>
      <c r="AS142" s="99"/>
      <c r="AT142" s="99"/>
      <c r="AU142" s="99"/>
      <c r="AV142" s="99"/>
      <c r="AW142" s="99"/>
      <c r="AX142" s="99"/>
      <c r="AY142" s="99"/>
      <c r="AZ142" s="99"/>
      <c r="BA142" s="99"/>
      <c r="BB142" s="99"/>
      <c r="BC142" s="99"/>
      <c r="BD142" s="99"/>
      <c r="BE142" s="99"/>
    </row>
    <row r="143" spans="1:57">
      <c r="A143" s="99"/>
      <c r="B143" s="99"/>
      <c r="C143" s="99"/>
      <c r="D143" s="99"/>
      <c r="E143" s="100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100"/>
      <c r="Z143" s="99"/>
      <c r="AA143" s="73"/>
      <c r="AB143" s="78"/>
      <c r="AC143" s="102"/>
      <c r="AD143" s="78"/>
      <c r="AE143" s="105"/>
      <c r="AF143" s="105"/>
      <c r="AG143" s="99"/>
      <c r="AH143" s="105"/>
      <c r="AI143" s="112"/>
      <c r="AJ143" s="108"/>
      <c r="AK143" s="104"/>
      <c r="AL143" s="99"/>
      <c r="AM143" s="99"/>
      <c r="AN143" s="99"/>
      <c r="AO143" s="99"/>
      <c r="AP143" s="99"/>
      <c r="AQ143" s="99"/>
      <c r="AR143" s="99"/>
      <c r="AS143" s="99"/>
      <c r="AT143" s="99"/>
      <c r="AU143" s="99"/>
      <c r="AV143" s="99"/>
      <c r="AW143" s="99"/>
      <c r="AX143" s="99"/>
      <c r="AY143" s="99"/>
      <c r="AZ143" s="99"/>
      <c r="BA143" s="99"/>
      <c r="BB143" s="99"/>
      <c r="BC143" s="99"/>
      <c r="BD143" s="99"/>
      <c r="BE143" s="99"/>
    </row>
    <row r="144" spans="1:57">
      <c r="A144" s="99"/>
      <c r="B144" s="99"/>
      <c r="C144" s="99"/>
      <c r="D144" s="99"/>
      <c r="E144" s="113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113"/>
      <c r="Z144" s="99"/>
      <c r="AA144" s="73"/>
      <c r="AB144" s="78"/>
      <c r="AC144" s="102"/>
      <c r="AD144" s="78"/>
      <c r="AE144" s="105"/>
      <c r="AF144" s="105"/>
      <c r="AG144" s="99"/>
      <c r="AH144" s="105"/>
      <c r="AI144" s="107"/>
      <c r="AJ144" s="108"/>
      <c r="AK144" s="104"/>
      <c r="AL144" s="99"/>
      <c r="AM144" s="99"/>
      <c r="AN144" s="99"/>
      <c r="AO144" s="99"/>
      <c r="AP144" s="99"/>
      <c r="AQ144" s="99"/>
      <c r="AR144" s="99"/>
      <c r="AS144" s="99"/>
      <c r="AT144" s="99"/>
      <c r="AU144" s="99"/>
      <c r="AV144" s="99"/>
      <c r="AW144" s="99"/>
      <c r="AX144" s="99"/>
      <c r="AY144" s="99"/>
      <c r="AZ144" s="99"/>
      <c r="BA144" s="99"/>
      <c r="BB144" s="99"/>
      <c r="BC144" s="99"/>
      <c r="BD144" s="99"/>
      <c r="BE144" s="99"/>
    </row>
    <row r="145" spans="1:57">
      <c r="A145" s="99"/>
      <c r="B145" s="99"/>
      <c r="C145" s="99"/>
      <c r="D145" s="99"/>
      <c r="E145" s="113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113"/>
      <c r="Z145" s="99"/>
      <c r="AA145" s="73"/>
      <c r="AB145" s="78"/>
      <c r="AC145" s="102"/>
      <c r="AD145" s="78"/>
      <c r="AE145" s="105"/>
      <c r="AF145" s="105"/>
      <c r="AG145" s="99"/>
      <c r="AH145" s="105"/>
      <c r="AI145" s="107"/>
      <c r="AJ145" s="108"/>
      <c r="AK145" s="104"/>
      <c r="AL145" s="99"/>
      <c r="AM145" s="99"/>
      <c r="AN145" s="99"/>
      <c r="AO145" s="99"/>
      <c r="AP145" s="99"/>
      <c r="AQ145" s="99"/>
      <c r="AR145" s="99"/>
      <c r="AS145" s="99"/>
      <c r="AT145" s="99"/>
      <c r="AU145" s="99"/>
      <c r="AV145" s="99"/>
      <c r="AW145" s="99"/>
      <c r="AX145" s="99"/>
      <c r="AY145" s="99"/>
      <c r="AZ145" s="99"/>
      <c r="BA145" s="99"/>
      <c r="BB145" s="99"/>
      <c r="BC145" s="99"/>
      <c r="BD145" s="99"/>
      <c r="BE145" s="99"/>
    </row>
    <row r="146" spans="1:57">
      <c r="A146" s="99"/>
      <c r="B146" s="99"/>
      <c r="C146" s="99"/>
      <c r="D146" s="99"/>
      <c r="E146" s="100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100"/>
      <c r="Z146" s="99"/>
      <c r="AA146" s="73"/>
      <c r="AB146" s="78"/>
      <c r="AC146" s="102"/>
      <c r="AD146" s="78"/>
      <c r="AE146" s="105"/>
      <c r="AF146" s="105"/>
      <c r="AG146" s="99"/>
      <c r="AH146" s="105"/>
      <c r="AI146" s="107"/>
      <c r="AJ146" s="108"/>
      <c r="AK146" s="104"/>
      <c r="AL146" s="99"/>
      <c r="AM146" s="99"/>
      <c r="AN146" s="99"/>
      <c r="AO146" s="99"/>
      <c r="AP146" s="99"/>
      <c r="AQ146" s="99"/>
      <c r="AR146" s="99"/>
      <c r="AS146" s="99"/>
      <c r="AT146" s="99"/>
      <c r="AU146" s="99"/>
      <c r="AV146" s="99"/>
      <c r="AW146" s="99"/>
      <c r="AX146" s="99"/>
      <c r="AY146" s="99"/>
      <c r="AZ146" s="99"/>
      <c r="BA146" s="99"/>
      <c r="BB146" s="99"/>
      <c r="BC146" s="99"/>
      <c r="BD146" s="99"/>
      <c r="BE146" s="99"/>
    </row>
    <row r="147" spans="1:57">
      <c r="A147" s="99"/>
      <c r="B147" s="99"/>
      <c r="C147" s="99"/>
      <c r="D147" s="99"/>
      <c r="E147" s="100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100"/>
      <c r="Z147" s="99"/>
      <c r="AA147" s="73"/>
      <c r="AB147" s="78"/>
      <c r="AC147" s="102"/>
      <c r="AD147" s="78"/>
      <c r="AE147" s="105"/>
      <c r="AF147" s="105"/>
      <c r="AG147" s="99"/>
      <c r="AH147" s="105"/>
      <c r="AI147" s="107"/>
      <c r="AJ147" s="108"/>
      <c r="AK147" s="104"/>
      <c r="AL147" s="99"/>
      <c r="AM147" s="99"/>
      <c r="AN147" s="99"/>
      <c r="AO147" s="99"/>
      <c r="AP147" s="99"/>
      <c r="AQ147" s="99"/>
      <c r="AR147" s="99"/>
      <c r="AS147" s="99"/>
      <c r="AT147" s="99"/>
      <c r="AU147" s="99"/>
      <c r="AV147" s="99"/>
      <c r="AW147" s="99"/>
      <c r="AX147" s="99"/>
      <c r="AY147" s="99"/>
      <c r="AZ147" s="99"/>
      <c r="BA147" s="99"/>
      <c r="BB147" s="99"/>
      <c r="BC147" s="99"/>
      <c r="BD147" s="99"/>
      <c r="BE147" s="99"/>
    </row>
    <row r="148" spans="1:57">
      <c r="A148" s="99"/>
      <c r="B148" s="99"/>
      <c r="C148" s="99"/>
      <c r="D148" s="99"/>
      <c r="E148" s="105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105"/>
      <c r="Z148" s="99"/>
      <c r="AA148" s="73"/>
      <c r="AB148" s="78"/>
      <c r="AC148" s="102"/>
      <c r="AD148" s="103"/>
      <c r="AE148" s="105"/>
      <c r="AF148" s="105"/>
      <c r="AG148" s="99"/>
      <c r="AH148" s="105"/>
      <c r="AI148" s="107"/>
      <c r="AJ148" s="108"/>
      <c r="AK148" s="104"/>
      <c r="AL148" s="99"/>
      <c r="AM148" s="99"/>
      <c r="AN148" s="99"/>
      <c r="AO148" s="99"/>
      <c r="AP148" s="99"/>
      <c r="AQ148" s="99"/>
      <c r="AR148" s="99"/>
      <c r="AS148" s="99"/>
      <c r="AT148" s="99"/>
      <c r="AU148" s="99"/>
      <c r="AV148" s="99"/>
      <c r="AW148" s="99"/>
      <c r="AX148" s="99"/>
      <c r="AY148" s="99"/>
      <c r="AZ148" s="99"/>
      <c r="BA148" s="99"/>
      <c r="BB148" s="99"/>
      <c r="BC148" s="99"/>
      <c r="BD148" s="99"/>
      <c r="BE148" s="99"/>
    </row>
    <row r="149" spans="1:57">
      <c r="A149" s="99"/>
      <c r="B149" s="99"/>
      <c r="C149" s="99"/>
      <c r="D149" s="99"/>
      <c r="E149" s="105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105"/>
      <c r="Z149" s="99"/>
      <c r="AA149" s="73"/>
      <c r="AB149" s="78"/>
      <c r="AC149" s="102"/>
      <c r="AD149" s="103"/>
      <c r="AE149" s="105"/>
      <c r="AF149" s="105"/>
      <c r="AG149" s="99"/>
      <c r="AH149" s="105"/>
      <c r="AI149" s="107"/>
      <c r="AJ149" s="108"/>
      <c r="AK149" s="104"/>
      <c r="AL149" s="99"/>
      <c r="AM149" s="99"/>
      <c r="AN149" s="99"/>
      <c r="AO149" s="99"/>
      <c r="AP149" s="99"/>
      <c r="AQ149" s="99"/>
      <c r="AR149" s="99"/>
      <c r="AS149" s="99"/>
      <c r="AT149" s="99"/>
      <c r="AU149" s="99"/>
      <c r="AV149" s="99"/>
      <c r="AW149" s="99"/>
      <c r="AX149" s="99"/>
      <c r="AY149" s="99"/>
      <c r="AZ149" s="99"/>
      <c r="BA149" s="99"/>
      <c r="BB149" s="99"/>
      <c r="BC149" s="99"/>
      <c r="BD149" s="99"/>
      <c r="BE149" s="99"/>
    </row>
    <row r="150" spans="1:57">
      <c r="A150" s="99"/>
      <c r="B150" s="99"/>
      <c r="C150" s="99"/>
      <c r="D150" s="99"/>
      <c r="E150" s="100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100"/>
      <c r="Z150" s="99"/>
      <c r="AA150" s="73"/>
      <c r="AB150" s="78"/>
      <c r="AC150" s="102"/>
      <c r="AD150" s="103"/>
      <c r="AE150" s="105"/>
      <c r="AF150" s="105"/>
      <c r="AG150" s="99"/>
      <c r="AH150" s="105"/>
      <c r="AI150" s="107"/>
      <c r="AJ150" s="108"/>
      <c r="AK150" s="104"/>
      <c r="AL150" s="99"/>
      <c r="AM150" s="99"/>
      <c r="AN150" s="99"/>
      <c r="AO150" s="99"/>
      <c r="AP150" s="99"/>
      <c r="AQ150" s="99"/>
      <c r="AR150" s="99"/>
      <c r="AS150" s="99"/>
      <c r="AT150" s="99"/>
      <c r="AU150" s="99"/>
      <c r="AV150" s="99"/>
      <c r="AW150" s="99"/>
      <c r="AX150" s="99"/>
      <c r="AY150" s="99"/>
      <c r="AZ150" s="99"/>
      <c r="BA150" s="99"/>
      <c r="BB150" s="99"/>
      <c r="BC150" s="99"/>
      <c r="BD150" s="99"/>
      <c r="BE150" s="99"/>
    </row>
    <row r="151" spans="1:57">
      <c r="A151" s="99"/>
      <c r="B151" s="99"/>
      <c r="C151" s="99"/>
      <c r="D151" s="99"/>
      <c r="E151" s="100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100"/>
      <c r="Z151" s="99"/>
      <c r="AA151" s="73"/>
      <c r="AB151" s="78"/>
      <c r="AC151" s="102"/>
      <c r="AD151" s="103"/>
      <c r="AE151" s="105"/>
      <c r="AF151" s="105"/>
      <c r="AG151" s="99"/>
      <c r="AH151" s="105"/>
      <c r="AI151" s="107"/>
      <c r="AJ151" s="108"/>
      <c r="AK151" s="104"/>
      <c r="AL151" s="99"/>
      <c r="AM151" s="99"/>
      <c r="AN151" s="99"/>
      <c r="AO151" s="99"/>
      <c r="AP151" s="99"/>
      <c r="AQ151" s="99"/>
      <c r="AR151" s="99"/>
      <c r="AS151" s="99"/>
      <c r="AT151" s="99"/>
      <c r="AU151" s="99"/>
      <c r="AV151" s="99"/>
      <c r="AW151" s="99"/>
      <c r="AX151" s="99"/>
      <c r="AY151" s="99"/>
      <c r="AZ151" s="99"/>
      <c r="BA151" s="99"/>
      <c r="BB151" s="99"/>
      <c r="BC151" s="99"/>
      <c r="BD151" s="99"/>
      <c r="BE151" s="99"/>
    </row>
    <row r="152" spans="1:57">
      <c r="A152" s="99"/>
      <c r="B152" s="99"/>
      <c r="C152" s="99"/>
      <c r="D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Z152" s="99"/>
      <c r="AA152" s="73"/>
      <c r="AB152" s="78"/>
      <c r="AC152" s="102"/>
      <c r="AD152" s="78"/>
      <c r="AE152" s="105"/>
      <c r="AF152" s="105"/>
      <c r="AG152" s="99"/>
      <c r="AH152" s="105"/>
      <c r="AI152" s="107"/>
      <c r="AJ152" s="108"/>
      <c r="AK152" s="104"/>
      <c r="AL152" s="99"/>
      <c r="AM152" s="99"/>
      <c r="AN152" s="99"/>
      <c r="AO152" s="99"/>
      <c r="AP152" s="99"/>
      <c r="AQ152" s="99"/>
      <c r="AR152" s="99"/>
      <c r="AS152" s="99"/>
      <c r="AT152" s="99"/>
      <c r="AU152" s="99"/>
      <c r="AV152" s="99"/>
      <c r="AW152" s="99"/>
      <c r="AX152" s="99"/>
      <c r="AY152" s="99"/>
      <c r="AZ152" s="99"/>
      <c r="BA152" s="99"/>
      <c r="BB152" s="99"/>
      <c r="BC152" s="99"/>
      <c r="BD152" s="99"/>
      <c r="BE152" s="99"/>
    </row>
    <row r="153" spans="1:57">
      <c r="A153" s="99"/>
      <c r="B153" s="99"/>
      <c r="C153" s="99"/>
      <c r="D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Z153" s="99"/>
      <c r="AA153" s="73"/>
      <c r="AB153" s="78"/>
      <c r="AC153" s="102"/>
      <c r="AD153" s="78"/>
      <c r="AE153" s="105"/>
      <c r="AF153" s="105"/>
      <c r="AG153" s="99"/>
      <c r="AH153" s="105"/>
      <c r="AI153" s="107"/>
      <c r="AJ153" s="108"/>
      <c r="AK153" s="104"/>
      <c r="AL153" s="99"/>
      <c r="AM153" s="99"/>
      <c r="AN153" s="99"/>
      <c r="AO153" s="99"/>
      <c r="AP153" s="99"/>
      <c r="AQ153" s="99"/>
      <c r="AR153" s="99"/>
      <c r="AS153" s="99"/>
      <c r="AT153" s="99"/>
      <c r="AU153" s="99"/>
      <c r="AV153" s="99"/>
      <c r="AW153" s="99"/>
      <c r="AX153" s="99"/>
      <c r="AY153" s="99"/>
      <c r="AZ153" s="99"/>
      <c r="BA153" s="99"/>
      <c r="BB153" s="99"/>
      <c r="BC153" s="99"/>
      <c r="BD153" s="99"/>
      <c r="BE153" s="99"/>
    </row>
    <row r="154" spans="1:57">
      <c r="A154" s="99"/>
      <c r="B154" s="99"/>
      <c r="C154" s="99"/>
      <c r="D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Z154" s="99"/>
      <c r="AA154" s="73"/>
      <c r="AB154" s="78"/>
      <c r="AC154" s="102"/>
      <c r="AD154" s="78"/>
      <c r="AE154" s="105"/>
      <c r="AF154" s="105"/>
      <c r="AG154" s="99"/>
      <c r="AH154" s="105"/>
      <c r="AI154" s="107"/>
      <c r="AJ154" s="108"/>
      <c r="AK154" s="104"/>
      <c r="AL154" s="99"/>
      <c r="AM154" s="99"/>
      <c r="AN154" s="99"/>
      <c r="AO154" s="99"/>
      <c r="AP154" s="99"/>
      <c r="AQ154" s="99"/>
      <c r="AR154" s="99"/>
      <c r="AS154" s="99"/>
      <c r="AT154" s="99"/>
      <c r="AU154" s="99"/>
      <c r="AV154" s="99"/>
      <c r="AW154" s="99"/>
      <c r="AX154" s="99"/>
      <c r="AY154" s="99"/>
      <c r="AZ154" s="99"/>
      <c r="BA154" s="99"/>
      <c r="BB154" s="99"/>
      <c r="BC154" s="99"/>
      <c r="BD154" s="99"/>
      <c r="BE154" s="99"/>
    </row>
    <row r="155" spans="1:57">
      <c r="A155" s="99"/>
      <c r="B155" s="99"/>
      <c r="C155" s="99"/>
      <c r="D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Z155" s="99"/>
      <c r="AA155" s="73"/>
      <c r="AB155" s="78"/>
      <c r="AC155" s="102"/>
      <c r="AD155" s="78"/>
      <c r="AE155" s="105"/>
      <c r="AF155" s="105"/>
      <c r="AG155" s="99"/>
      <c r="AH155" s="105"/>
      <c r="AI155" s="107"/>
      <c r="AJ155" s="108"/>
      <c r="AK155" s="104"/>
      <c r="AL155" s="99"/>
      <c r="AM155" s="99"/>
      <c r="AN155" s="99"/>
      <c r="AO155" s="99"/>
      <c r="AP155" s="99"/>
      <c r="AQ155" s="99"/>
      <c r="AR155" s="99"/>
      <c r="AS155" s="99"/>
      <c r="AT155" s="99"/>
      <c r="AU155" s="99"/>
      <c r="AV155" s="99"/>
      <c r="AW155" s="99"/>
      <c r="AX155" s="99"/>
      <c r="AY155" s="99"/>
      <c r="AZ155" s="99"/>
      <c r="BA155" s="99"/>
      <c r="BB155" s="99"/>
      <c r="BC155" s="99"/>
      <c r="BD155" s="99"/>
      <c r="BE155" s="99"/>
    </row>
    <row r="156" spans="1:57">
      <c r="A156" s="99"/>
      <c r="B156" s="99"/>
      <c r="C156" s="99"/>
      <c r="D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Z156" s="99"/>
      <c r="AA156" s="73"/>
      <c r="AB156" s="78"/>
      <c r="AC156" s="102"/>
      <c r="AD156" s="78"/>
      <c r="AE156" s="105"/>
      <c r="AF156" s="105"/>
      <c r="AG156" s="99"/>
      <c r="AH156" s="105"/>
      <c r="AI156" s="107"/>
      <c r="AJ156" s="108"/>
      <c r="AK156" s="104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  <c r="BA156" s="99"/>
      <c r="BB156" s="99"/>
      <c r="BC156" s="99"/>
      <c r="BD156" s="99"/>
      <c r="BE156" s="99"/>
    </row>
    <row r="157" spans="1:57">
      <c r="A157" s="99"/>
      <c r="B157" s="99"/>
      <c r="C157" s="99"/>
      <c r="D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Z157" s="99"/>
      <c r="AA157" s="73"/>
      <c r="AB157" s="78"/>
      <c r="AC157" s="102"/>
      <c r="AD157" s="78"/>
      <c r="AE157" s="105"/>
      <c r="AF157" s="105"/>
      <c r="AG157" s="99"/>
      <c r="AH157" s="105"/>
      <c r="AI157" s="107"/>
      <c r="AJ157" s="108"/>
      <c r="AK157" s="104"/>
      <c r="AL157" s="99"/>
      <c r="AM157" s="99"/>
      <c r="AN157" s="99"/>
      <c r="AO157" s="99"/>
      <c r="AP157" s="99"/>
      <c r="AQ157" s="99"/>
      <c r="AR157" s="99"/>
      <c r="AS157" s="99"/>
      <c r="AT157" s="99"/>
      <c r="AU157" s="99"/>
      <c r="AV157" s="99"/>
      <c r="AW157" s="99"/>
      <c r="AX157" s="99"/>
      <c r="AY157" s="99"/>
      <c r="AZ157" s="99"/>
      <c r="BA157" s="99"/>
      <c r="BB157" s="99"/>
      <c r="BC157" s="99"/>
      <c r="BD157" s="99"/>
      <c r="BE157" s="99"/>
    </row>
    <row r="158" spans="1:57">
      <c r="A158" s="99"/>
      <c r="B158" s="99"/>
      <c r="C158" s="99"/>
      <c r="D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Z158" s="99"/>
      <c r="AA158" s="73"/>
      <c r="AB158" s="78"/>
      <c r="AC158" s="102"/>
      <c r="AD158" s="78"/>
      <c r="AE158" s="105"/>
      <c r="AF158" s="105"/>
      <c r="AG158" s="99"/>
      <c r="AH158" s="105"/>
      <c r="AI158" s="107"/>
      <c r="AJ158" s="108"/>
      <c r="AK158" s="104"/>
      <c r="AL158" s="99"/>
      <c r="AM158" s="99"/>
      <c r="AN158" s="99"/>
      <c r="AO158" s="99"/>
      <c r="AP158" s="99"/>
      <c r="AQ158" s="99"/>
      <c r="AR158" s="99"/>
      <c r="AS158" s="99"/>
      <c r="AT158" s="99"/>
      <c r="AU158" s="99"/>
      <c r="AV158" s="99"/>
      <c r="AW158" s="99"/>
      <c r="AX158" s="99"/>
      <c r="AY158" s="99"/>
      <c r="AZ158" s="99"/>
      <c r="BA158" s="99"/>
      <c r="BB158" s="99"/>
      <c r="BC158" s="99"/>
      <c r="BD158" s="99"/>
      <c r="BE158" s="99"/>
    </row>
    <row r="159" spans="1:57">
      <c r="A159" s="99"/>
      <c r="B159" s="99"/>
      <c r="C159" s="99"/>
      <c r="D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Z159" s="99"/>
      <c r="AA159" s="73"/>
      <c r="AB159" s="78"/>
      <c r="AC159" s="102"/>
      <c r="AD159" s="78"/>
      <c r="AE159" s="105"/>
      <c r="AF159" s="105"/>
      <c r="AG159" s="99"/>
      <c r="AH159" s="105"/>
      <c r="AI159" s="107"/>
      <c r="AJ159" s="108"/>
      <c r="AK159" s="104"/>
      <c r="AL159" s="99"/>
      <c r="AM159" s="99"/>
      <c r="AN159" s="99"/>
      <c r="AO159" s="99"/>
      <c r="AP159" s="99"/>
      <c r="AQ159" s="99"/>
      <c r="AR159" s="99"/>
      <c r="AS159" s="99"/>
      <c r="AT159" s="99"/>
      <c r="AU159" s="99"/>
      <c r="AV159" s="99"/>
      <c r="AW159" s="99"/>
      <c r="AX159" s="99"/>
      <c r="AY159" s="99"/>
      <c r="AZ159" s="99"/>
      <c r="BA159" s="99"/>
      <c r="BB159" s="99"/>
      <c r="BC159" s="99"/>
      <c r="BD159" s="99"/>
      <c r="BE159" s="99"/>
    </row>
    <row r="160" spans="1:57">
      <c r="A160" s="99"/>
      <c r="B160" s="99"/>
      <c r="C160" s="99"/>
      <c r="D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Z160" s="99"/>
      <c r="AA160" s="73"/>
      <c r="AB160" s="78"/>
      <c r="AC160" s="102"/>
      <c r="AD160" s="78"/>
      <c r="AE160" s="105"/>
      <c r="AF160" s="105"/>
      <c r="AG160" s="99"/>
      <c r="AH160" s="105"/>
      <c r="AI160" s="107"/>
      <c r="AJ160" s="108"/>
      <c r="AK160" s="104"/>
      <c r="AL160" s="99"/>
      <c r="AM160" s="99"/>
      <c r="AN160" s="99"/>
      <c r="AO160" s="99"/>
      <c r="AP160" s="99"/>
      <c r="AQ160" s="99"/>
      <c r="AR160" s="99"/>
      <c r="AS160" s="99"/>
      <c r="AT160" s="99"/>
      <c r="AU160" s="99"/>
      <c r="AV160" s="99"/>
      <c r="AW160" s="99"/>
      <c r="AX160" s="99"/>
      <c r="AY160" s="99"/>
      <c r="AZ160" s="99"/>
      <c r="BA160" s="99"/>
      <c r="BB160" s="99"/>
      <c r="BC160" s="99"/>
      <c r="BD160" s="99"/>
      <c r="BE160" s="99"/>
    </row>
    <row r="161" spans="1:57">
      <c r="A161" s="99"/>
      <c r="B161" s="99"/>
      <c r="C161" s="99"/>
      <c r="D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Z161" s="99"/>
      <c r="AA161" s="73"/>
      <c r="AB161" s="78"/>
      <c r="AC161" s="102"/>
      <c r="AD161" s="78"/>
      <c r="AE161" s="105"/>
      <c r="AF161" s="105"/>
      <c r="AG161" s="99"/>
      <c r="AH161" s="105"/>
      <c r="AI161" s="107"/>
      <c r="AJ161" s="108"/>
      <c r="AK161" s="104"/>
      <c r="AL161" s="99"/>
      <c r="AM161" s="99"/>
      <c r="AN161" s="99"/>
      <c r="AO161" s="99"/>
      <c r="AP161" s="99"/>
      <c r="AQ161" s="99"/>
      <c r="AR161" s="99"/>
      <c r="AS161" s="99"/>
      <c r="AT161" s="99"/>
      <c r="AU161" s="99"/>
      <c r="AV161" s="99"/>
      <c r="AW161" s="99"/>
      <c r="AX161" s="99"/>
      <c r="AY161" s="99"/>
      <c r="AZ161" s="99"/>
      <c r="BA161" s="99"/>
      <c r="BB161" s="99"/>
      <c r="BC161" s="99"/>
      <c r="BD161" s="99"/>
      <c r="BE161" s="99"/>
    </row>
    <row r="162" spans="1:57">
      <c r="A162" s="99"/>
      <c r="B162" s="99"/>
      <c r="C162" s="99"/>
      <c r="D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Z162" s="99"/>
      <c r="AA162" s="73"/>
      <c r="AB162" s="78"/>
      <c r="AC162" s="102"/>
      <c r="AD162" s="78"/>
      <c r="AE162" s="105"/>
      <c r="AF162" s="105"/>
      <c r="AG162" s="99"/>
      <c r="AH162" s="105"/>
      <c r="AI162" s="107"/>
      <c r="AJ162" s="108"/>
      <c r="AK162" s="104"/>
      <c r="AL162" s="99"/>
      <c r="AM162" s="99"/>
      <c r="AN162" s="99"/>
      <c r="AO162" s="99"/>
      <c r="AP162" s="99"/>
      <c r="AQ162" s="99"/>
      <c r="AR162" s="99"/>
      <c r="AS162" s="99"/>
      <c r="AT162" s="99"/>
      <c r="AU162" s="99"/>
      <c r="AV162" s="99"/>
      <c r="AW162" s="99"/>
      <c r="AX162" s="99"/>
      <c r="AY162" s="99"/>
      <c r="AZ162" s="99"/>
      <c r="BA162" s="99"/>
      <c r="BB162" s="99"/>
      <c r="BC162" s="99"/>
      <c r="BD162" s="99"/>
      <c r="BE162" s="99"/>
    </row>
    <row r="163" spans="1:57">
      <c r="A163" s="99"/>
      <c r="B163" s="99"/>
      <c r="C163" s="99"/>
      <c r="D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Z163" s="99"/>
      <c r="AA163" s="73"/>
      <c r="AB163" s="78"/>
      <c r="AC163" s="102"/>
      <c r="AD163" s="78"/>
      <c r="AE163" s="105"/>
      <c r="AF163" s="105"/>
      <c r="AG163" s="99"/>
      <c r="AH163" s="105"/>
      <c r="AI163" s="107"/>
      <c r="AJ163" s="108"/>
      <c r="AK163" s="104"/>
      <c r="AL163" s="99"/>
      <c r="AM163" s="99"/>
      <c r="AN163" s="99"/>
      <c r="AO163" s="99"/>
      <c r="AP163" s="99"/>
      <c r="AQ163" s="99"/>
      <c r="AR163" s="99"/>
      <c r="AS163" s="99"/>
      <c r="AT163" s="99"/>
      <c r="AU163" s="99"/>
      <c r="AV163" s="99"/>
      <c r="AW163" s="99"/>
      <c r="AX163" s="99"/>
      <c r="AY163" s="99"/>
      <c r="AZ163" s="99"/>
      <c r="BA163" s="99"/>
      <c r="BB163" s="99"/>
      <c r="BC163" s="99"/>
      <c r="BD163" s="99"/>
      <c r="BE163" s="99"/>
    </row>
    <row r="164" spans="1:57">
      <c r="A164" s="99"/>
      <c r="B164" s="99"/>
      <c r="C164" s="99"/>
      <c r="D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Z164" s="99"/>
      <c r="AA164" s="78"/>
      <c r="AB164" s="78"/>
      <c r="AC164" s="102"/>
      <c r="AD164" s="78"/>
      <c r="AE164" s="105"/>
      <c r="AF164" s="105"/>
      <c r="AG164" s="99"/>
      <c r="AH164" s="105"/>
      <c r="AI164" s="107"/>
      <c r="AJ164" s="108"/>
      <c r="AK164" s="104"/>
      <c r="AL164" s="99"/>
      <c r="AM164" s="99"/>
      <c r="AN164" s="99"/>
      <c r="AO164" s="99"/>
      <c r="AP164" s="99"/>
      <c r="AQ164" s="99"/>
      <c r="AR164" s="99"/>
      <c r="AS164" s="99"/>
      <c r="AT164" s="99"/>
      <c r="AU164" s="99"/>
      <c r="AV164" s="99"/>
      <c r="AW164" s="99"/>
      <c r="AX164" s="99"/>
      <c r="AY164" s="99"/>
      <c r="AZ164" s="99"/>
      <c r="BA164" s="99"/>
      <c r="BB164" s="99"/>
      <c r="BC164" s="99"/>
      <c r="BD164" s="99"/>
      <c r="BE164" s="99"/>
    </row>
    <row r="165" spans="1:57">
      <c r="A165" s="99"/>
      <c r="B165" s="99"/>
      <c r="C165" s="99"/>
      <c r="D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Z165" s="99"/>
      <c r="AA165" s="78"/>
      <c r="AB165" s="78"/>
      <c r="AC165" s="102"/>
      <c r="AD165" s="78"/>
      <c r="AE165" s="105"/>
      <c r="AF165" s="105"/>
      <c r="AG165" s="99"/>
      <c r="AH165" s="105"/>
      <c r="AI165" s="107"/>
      <c r="AJ165" s="108"/>
      <c r="AK165" s="104"/>
      <c r="AL165" s="99"/>
      <c r="AM165" s="99"/>
      <c r="AN165" s="99"/>
      <c r="AO165" s="99"/>
      <c r="AP165" s="99"/>
      <c r="AQ165" s="99"/>
      <c r="AR165" s="99"/>
      <c r="AS165" s="99"/>
      <c r="AT165" s="99"/>
      <c r="AU165" s="99"/>
      <c r="AV165" s="99"/>
      <c r="AW165" s="99"/>
      <c r="AX165" s="99"/>
      <c r="AY165" s="99"/>
      <c r="AZ165" s="99"/>
      <c r="BA165" s="99"/>
      <c r="BB165" s="99"/>
      <c r="BC165" s="99"/>
      <c r="BD165" s="99"/>
      <c r="BE165" s="99"/>
    </row>
    <row r="166" spans="1:57">
      <c r="A166" s="99"/>
      <c r="B166" s="99"/>
      <c r="C166" s="99"/>
      <c r="D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Z166" s="99"/>
      <c r="AA166" s="78"/>
      <c r="AB166" s="78"/>
      <c r="AC166" s="102"/>
      <c r="AD166" s="78"/>
      <c r="AE166" s="105"/>
      <c r="AF166" s="105"/>
      <c r="AG166" s="99"/>
      <c r="AH166" s="105"/>
      <c r="AI166" s="107"/>
      <c r="AJ166" s="108"/>
      <c r="AK166" s="104"/>
      <c r="AL166" s="99"/>
      <c r="AM166" s="99"/>
      <c r="AN166" s="99"/>
      <c r="AO166" s="99"/>
      <c r="AP166" s="99"/>
      <c r="AQ166" s="99"/>
      <c r="AR166" s="99"/>
      <c r="AS166" s="99"/>
      <c r="AT166" s="99"/>
      <c r="AU166" s="99"/>
      <c r="AV166" s="99"/>
      <c r="AW166" s="99"/>
      <c r="AX166" s="99"/>
      <c r="AY166" s="99"/>
      <c r="AZ166" s="99"/>
      <c r="BA166" s="99"/>
      <c r="BB166" s="99"/>
      <c r="BC166" s="99"/>
      <c r="BD166" s="99"/>
      <c r="BE166" s="99"/>
    </row>
    <row r="167" spans="1:57">
      <c r="A167" s="99"/>
      <c r="B167" s="99"/>
      <c r="C167" s="99"/>
      <c r="D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Z167" s="99"/>
      <c r="AA167" s="78"/>
      <c r="AB167" s="78"/>
      <c r="AC167" s="102"/>
      <c r="AD167" s="78"/>
      <c r="AE167" s="105"/>
      <c r="AF167" s="105"/>
      <c r="AG167" s="99"/>
      <c r="AH167" s="105"/>
      <c r="AI167" s="107"/>
      <c r="AJ167" s="108"/>
      <c r="AK167" s="104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  <c r="BA167" s="99"/>
      <c r="BB167" s="99"/>
      <c r="BC167" s="99"/>
      <c r="BD167" s="99"/>
      <c r="BE167" s="99"/>
    </row>
    <row r="168" spans="1:57">
      <c r="A168" s="99"/>
      <c r="B168" s="99"/>
      <c r="C168" s="99"/>
      <c r="D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Z168" s="99"/>
      <c r="AA168" s="78"/>
      <c r="AB168" s="78"/>
      <c r="AC168" s="102"/>
      <c r="AD168" s="78"/>
      <c r="AE168" s="105"/>
      <c r="AF168" s="105"/>
      <c r="AG168" s="99"/>
      <c r="AH168" s="105"/>
      <c r="AI168" s="107"/>
      <c r="AJ168" s="108"/>
      <c r="AK168" s="104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  <c r="BA168" s="99"/>
      <c r="BB168" s="99"/>
      <c r="BC168" s="99"/>
      <c r="BD168" s="99"/>
      <c r="BE168" s="99"/>
    </row>
    <row r="169" spans="1:57">
      <c r="A169" s="99"/>
      <c r="B169" s="99"/>
      <c r="C169" s="99"/>
      <c r="D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Z169" s="99"/>
      <c r="AA169" s="78"/>
      <c r="AB169" s="78"/>
      <c r="AC169" s="102"/>
      <c r="AD169" s="78"/>
      <c r="AE169" s="105"/>
      <c r="AF169" s="105"/>
      <c r="AG169" s="99"/>
      <c r="AH169" s="105"/>
      <c r="AI169" s="107"/>
      <c r="AJ169" s="108"/>
      <c r="AK169" s="104"/>
      <c r="AL169" s="99"/>
      <c r="AM169" s="99"/>
      <c r="AN169" s="99"/>
      <c r="AO169" s="99"/>
      <c r="AP169" s="99"/>
      <c r="AQ169" s="99"/>
      <c r="AR169" s="99"/>
      <c r="AS169" s="99"/>
      <c r="AT169" s="99"/>
      <c r="AU169" s="99"/>
      <c r="AV169" s="99"/>
      <c r="AW169" s="99"/>
      <c r="AX169" s="99"/>
      <c r="AY169" s="99"/>
      <c r="AZ169" s="99"/>
      <c r="BA169" s="99"/>
      <c r="BB169" s="99"/>
      <c r="BC169" s="99"/>
      <c r="BD169" s="99"/>
      <c r="BE169" s="99"/>
    </row>
    <row r="170" spans="1:57">
      <c r="A170" s="99"/>
      <c r="B170" s="99"/>
      <c r="C170" s="99"/>
      <c r="D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Z170" s="99"/>
      <c r="AA170" s="78"/>
      <c r="AB170" s="78"/>
      <c r="AC170" s="102"/>
      <c r="AD170" s="78"/>
      <c r="AE170" s="105"/>
      <c r="AF170" s="105"/>
      <c r="AG170" s="99"/>
      <c r="AH170" s="105"/>
      <c r="AI170" s="107"/>
      <c r="AJ170" s="108"/>
      <c r="AK170" s="104"/>
      <c r="AL170" s="99"/>
      <c r="AM170" s="99"/>
      <c r="AN170" s="99"/>
      <c r="AO170" s="99"/>
      <c r="AP170" s="99"/>
      <c r="AQ170" s="99"/>
      <c r="AR170" s="99"/>
      <c r="AS170" s="99"/>
      <c r="AT170" s="99"/>
      <c r="AU170" s="99"/>
      <c r="AV170" s="99"/>
      <c r="AW170" s="99"/>
      <c r="AX170" s="99"/>
      <c r="AY170" s="99"/>
      <c r="AZ170" s="99"/>
      <c r="BA170" s="99"/>
      <c r="BB170" s="99"/>
      <c r="BC170" s="99"/>
      <c r="BD170" s="99"/>
      <c r="BE170" s="99"/>
    </row>
    <row r="171" spans="1:57">
      <c r="A171" s="99"/>
      <c r="B171" s="99"/>
      <c r="C171" s="99"/>
      <c r="D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Z171" s="99"/>
      <c r="AA171" s="78"/>
      <c r="AB171" s="78"/>
      <c r="AC171" s="102"/>
      <c r="AD171" s="78"/>
      <c r="AE171" s="105"/>
      <c r="AF171" s="105"/>
      <c r="AG171" s="99"/>
      <c r="AH171" s="105"/>
      <c r="AI171" s="107"/>
      <c r="AJ171" s="108"/>
      <c r="AK171" s="104"/>
      <c r="AL171" s="99"/>
      <c r="AM171" s="99"/>
      <c r="AN171" s="99"/>
      <c r="AO171" s="99"/>
      <c r="AP171" s="99"/>
      <c r="AQ171" s="99"/>
      <c r="AR171" s="99"/>
      <c r="AS171" s="99"/>
      <c r="AT171" s="99"/>
      <c r="AU171" s="99"/>
      <c r="AV171" s="99"/>
      <c r="AW171" s="99"/>
      <c r="AX171" s="99"/>
      <c r="AY171" s="99"/>
      <c r="AZ171" s="99"/>
      <c r="BA171" s="99"/>
      <c r="BB171" s="99"/>
      <c r="BC171" s="99"/>
      <c r="BD171" s="99"/>
      <c r="BE171" s="99"/>
    </row>
    <row r="172" spans="1:57">
      <c r="A172" s="99"/>
      <c r="B172" s="99"/>
      <c r="C172" s="99"/>
      <c r="D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Z172" s="99"/>
      <c r="AA172" s="78"/>
      <c r="AB172" s="78"/>
      <c r="AC172" s="102"/>
      <c r="AD172" s="78"/>
      <c r="AE172" s="105"/>
      <c r="AF172" s="105"/>
      <c r="AG172" s="99"/>
      <c r="AH172" s="105"/>
      <c r="AI172" s="107"/>
      <c r="AJ172" s="108"/>
      <c r="AK172" s="104"/>
      <c r="AL172" s="99"/>
      <c r="AM172" s="99"/>
      <c r="AN172" s="99"/>
      <c r="AO172" s="99"/>
      <c r="AP172" s="99"/>
      <c r="AQ172" s="99"/>
      <c r="AR172" s="99"/>
      <c r="AS172" s="99"/>
      <c r="AT172" s="99"/>
      <c r="AU172" s="99"/>
      <c r="AV172" s="99"/>
      <c r="AW172" s="99"/>
      <c r="AX172" s="99"/>
      <c r="AY172" s="99"/>
      <c r="AZ172" s="99"/>
      <c r="BA172" s="99"/>
      <c r="BB172" s="99"/>
      <c r="BC172" s="99"/>
      <c r="BD172" s="99"/>
      <c r="BE172" s="99"/>
    </row>
    <row r="173" spans="1:57">
      <c r="A173" s="99"/>
      <c r="B173" s="99"/>
      <c r="C173" s="99"/>
      <c r="D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Z173" s="99"/>
      <c r="AA173" s="78"/>
      <c r="AB173" s="78"/>
      <c r="AC173" s="102"/>
      <c r="AD173" s="78"/>
      <c r="AE173" s="105"/>
      <c r="AF173" s="105"/>
      <c r="AG173" s="99"/>
      <c r="AH173" s="105"/>
      <c r="AI173" s="107"/>
      <c r="AJ173" s="108"/>
      <c r="AK173" s="104"/>
      <c r="AL173" s="99"/>
      <c r="AM173" s="99"/>
      <c r="AN173" s="99"/>
      <c r="AO173" s="99"/>
      <c r="AP173" s="99"/>
      <c r="AQ173" s="99"/>
      <c r="AR173" s="99"/>
      <c r="AS173" s="99"/>
      <c r="AT173" s="99"/>
      <c r="AU173" s="99"/>
      <c r="AV173" s="99"/>
      <c r="AW173" s="99"/>
      <c r="AX173" s="99"/>
      <c r="AY173" s="99"/>
      <c r="AZ173" s="99"/>
      <c r="BA173" s="99"/>
      <c r="BB173" s="99"/>
      <c r="BC173" s="99"/>
      <c r="BD173" s="99"/>
      <c r="BE173" s="99"/>
    </row>
    <row r="174" spans="1:57">
      <c r="A174" s="99"/>
      <c r="B174" s="99"/>
      <c r="C174" s="99"/>
      <c r="D174" s="99"/>
      <c r="E174" s="100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101"/>
      <c r="W174" s="99"/>
      <c r="X174" s="99"/>
      <c r="Y174" s="100"/>
      <c r="Z174" s="99"/>
      <c r="AA174" s="78"/>
      <c r="AB174" s="106"/>
      <c r="AC174" s="78"/>
      <c r="AD174" s="78"/>
      <c r="AE174" s="105"/>
      <c r="AF174" s="105"/>
      <c r="AG174" s="99"/>
      <c r="AH174" s="105"/>
      <c r="AI174" s="107"/>
      <c r="AJ174" s="108"/>
      <c r="AK174" s="104"/>
      <c r="AL174" s="99"/>
      <c r="AM174" s="99"/>
      <c r="AN174" s="99"/>
      <c r="AO174" s="99"/>
      <c r="AP174" s="99"/>
      <c r="AQ174" s="99"/>
      <c r="AR174" s="99"/>
      <c r="AS174" s="99"/>
      <c r="AT174" s="99"/>
      <c r="AU174" s="99"/>
      <c r="AV174" s="99"/>
      <c r="AW174" s="99"/>
      <c r="AX174" s="99"/>
      <c r="AY174" s="99"/>
      <c r="AZ174" s="99"/>
      <c r="BA174" s="99"/>
      <c r="BB174" s="99"/>
      <c r="BC174" s="99"/>
      <c r="BD174" s="99"/>
      <c r="BE174" s="99"/>
    </row>
    <row r="175" spans="1:57">
      <c r="A175" s="99"/>
      <c r="B175" s="99"/>
      <c r="C175" s="99"/>
      <c r="D175" s="99"/>
      <c r="E175" s="100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101"/>
      <c r="W175" s="99"/>
      <c r="X175" s="99"/>
      <c r="Y175" s="100"/>
      <c r="Z175" s="99"/>
      <c r="AA175" s="78"/>
      <c r="AB175" s="106"/>
      <c r="AC175" s="78"/>
      <c r="AD175" s="78"/>
      <c r="AE175" s="105"/>
      <c r="AF175" s="105"/>
      <c r="AG175" s="99"/>
      <c r="AH175" s="105"/>
      <c r="AI175" s="107"/>
      <c r="AJ175" s="108"/>
      <c r="AK175" s="104"/>
      <c r="AL175" s="99"/>
      <c r="AM175" s="99"/>
      <c r="AN175" s="99"/>
      <c r="AO175" s="99"/>
      <c r="AP175" s="99"/>
      <c r="AQ175" s="99"/>
      <c r="AR175" s="99"/>
      <c r="AS175" s="99"/>
      <c r="AT175" s="99"/>
      <c r="AU175" s="99"/>
      <c r="AV175" s="99"/>
      <c r="AW175" s="99"/>
      <c r="AX175" s="99"/>
      <c r="AY175" s="99"/>
      <c r="AZ175" s="99"/>
      <c r="BA175" s="99"/>
      <c r="BB175" s="99"/>
      <c r="BC175" s="99"/>
      <c r="BD175" s="99"/>
      <c r="BE175" s="99"/>
    </row>
    <row r="176" spans="1:57">
      <c r="A176" s="99"/>
      <c r="B176" s="99"/>
      <c r="C176" s="99"/>
      <c r="D176" s="99"/>
      <c r="E176" s="100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100"/>
      <c r="Z176" s="99"/>
      <c r="AA176" s="78"/>
      <c r="AB176" s="78"/>
      <c r="AC176" s="102"/>
      <c r="AD176" s="78"/>
      <c r="AE176" s="105"/>
      <c r="AF176" s="105"/>
      <c r="AG176" s="99"/>
      <c r="AH176" s="105"/>
      <c r="AI176" s="107"/>
      <c r="AJ176" s="108"/>
      <c r="AK176" s="104"/>
      <c r="AL176" s="99"/>
      <c r="AM176" s="99"/>
      <c r="AN176" s="99"/>
      <c r="AO176" s="99"/>
      <c r="AP176" s="99"/>
      <c r="AQ176" s="99"/>
      <c r="AR176" s="99"/>
      <c r="AS176" s="99"/>
      <c r="AT176" s="99"/>
      <c r="AU176" s="99"/>
      <c r="AV176" s="99"/>
      <c r="AW176" s="99"/>
      <c r="AX176" s="99"/>
      <c r="AY176" s="99"/>
      <c r="AZ176" s="99"/>
      <c r="BA176" s="99"/>
      <c r="BB176" s="99"/>
      <c r="BC176" s="99"/>
      <c r="BD176" s="99"/>
      <c r="BE176" s="99"/>
    </row>
    <row r="177" spans="1:57">
      <c r="A177" s="99"/>
      <c r="B177" s="99"/>
      <c r="C177" s="99"/>
      <c r="D177" s="99"/>
      <c r="E177" s="100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100"/>
      <c r="Z177" s="99"/>
      <c r="AA177" s="78"/>
      <c r="AB177" s="78"/>
      <c r="AC177" s="102"/>
      <c r="AD177" s="78"/>
      <c r="AE177" s="105"/>
      <c r="AF177" s="105"/>
      <c r="AG177" s="99"/>
      <c r="AH177" s="105"/>
      <c r="AI177" s="107"/>
      <c r="AJ177" s="108"/>
      <c r="AK177" s="104"/>
      <c r="AL177" s="99"/>
      <c r="AM177" s="99"/>
      <c r="AN177" s="99"/>
      <c r="AO177" s="99"/>
      <c r="AP177" s="99"/>
      <c r="AQ177" s="99"/>
      <c r="AR177" s="99"/>
      <c r="AS177" s="99"/>
      <c r="AT177" s="99"/>
      <c r="AU177" s="99"/>
      <c r="AV177" s="99"/>
      <c r="AW177" s="99"/>
      <c r="AX177" s="99"/>
      <c r="AY177" s="99"/>
      <c r="AZ177" s="99"/>
      <c r="BA177" s="99"/>
      <c r="BB177" s="99"/>
      <c r="BC177" s="99"/>
      <c r="BD177" s="99"/>
      <c r="BE177" s="99"/>
    </row>
    <row r="178" spans="1:57">
      <c r="A178" s="99"/>
      <c r="B178" s="99"/>
      <c r="C178" s="99"/>
      <c r="D178" s="99"/>
      <c r="E178" s="100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100"/>
      <c r="Z178" s="99"/>
      <c r="AA178" s="78"/>
      <c r="AB178" s="78"/>
      <c r="AC178" s="102"/>
      <c r="AD178" s="78"/>
      <c r="AE178" s="105"/>
      <c r="AF178" s="105"/>
      <c r="AG178" s="99"/>
      <c r="AH178" s="105"/>
      <c r="AI178" s="107"/>
      <c r="AJ178" s="108"/>
      <c r="AK178" s="104"/>
      <c r="AL178" s="99"/>
      <c r="AM178" s="99"/>
      <c r="AN178" s="99"/>
      <c r="AO178" s="99"/>
      <c r="AP178" s="99"/>
      <c r="AQ178" s="99"/>
      <c r="AR178" s="99"/>
      <c r="AS178" s="99"/>
      <c r="AT178" s="99"/>
      <c r="AU178" s="99"/>
      <c r="AV178" s="99"/>
      <c r="AW178" s="99"/>
      <c r="AX178" s="99"/>
      <c r="AY178" s="99"/>
      <c r="AZ178" s="99"/>
      <c r="BA178" s="99"/>
      <c r="BB178" s="99"/>
      <c r="BC178" s="99"/>
      <c r="BD178" s="99"/>
      <c r="BE178" s="99"/>
    </row>
    <row r="179" spans="1:57">
      <c r="A179" s="99"/>
      <c r="B179" s="99"/>
      <c r="C179" s="99"/>
      <c r="D179" s="99"/>
      <c r="E179" s="100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100"/>
      <c r="Z179" s="99"/>
      <c r="AA179" s="78"/>
      <c r="AB179" s="78"/>
      <c r="AC179" s="102"/>
      <c r="AD179" s="78"/>
      <c r="AE179" s="105"/>
      <c r="AF179" s="105"/>
      <c r="AG179" s="99"/>
      <c r="AH179" s="105"/>
      <c r="AI179" s="107"/>
      <c r="AJ179" s="108"/>
      <c r="AK179" s="104"/>
      <c r="AL179" s="99"/>
      <c r="AM179" s="99"/>
      <c r="AN179" s="99"/>
      <c r="AO179" s="99"/>
      <c r="AP179" s="99"/>
      <c r="AQ179" s="99"/>
      <c r="AR179" s="99"/>
      <c r="AS179" s="99"/>
      <c r="AT179" s="99"/>
      <c r="AU179" s="99"/>
      <c r="AV179" s="99"/>
      <c r="AW179" s="99"/>
      <c r="AX179" s="99"/>
      <c r="AY179" s="99"/>
      <c r="AZ179" s="99"/>
      <c r="BA179" s="99"/>
      <c r="BB179" s="99"/>
      <c r="BC179" s="99"/>
      <c r="BD179" s="99"/>
      <c r="BE179" s="99"/>
    </row>
    <row r="180" spans="1:57">
      <c r="A180" s="99"/>
      <c r="B180" s="99"/>
      <c r="C180" s="99"/>
      <c r="D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Z180" s="99"/>
      <c r="AA180" s="78"/>
      <c r="AB180" s="78"/>
      <c r="AC180" s="102"/>
      <c r="AD180" s="78"/>
      <c r="AE180" s="105"/>
      <c r="AF180" s="105"/>
      <c r="AG180" s="99"/>
      <c r="AH180" s="105"/>
      <c r="AI180" s="107"/>
      <c r="AJ180" s="108"/>
      <c r="AK180" s="104"/>
      <c r="AL180" s="99"/>
      <c r="AM180" s="99"/>
      <c r="AN180" s="99"/>
      <c r="AO180" s="99"/>
      <c r="AP180" s="99"/>
      <c r="AQ180" s="99"/>
      <c r="AR180" s="99"/>
      <c r="AS180" s="99"/>
      <c r="AT180" s="99"/>
      <c r="AU180" s="99"/>
      <c r="AV180" s="99"/>
      <c r="AW180" s="99"/>
      <c r="AX180" s="99"/>
      <c r="AY180" s="99"/>
      <c r="AZ180" s="99"/>
      <c r="BA180" s="99"/>
      <c r="BB180" s="99"/>
      <c r="BC180" s="99"/>
      <c r="BD180" s="99"/>
      <c r="BE180" s="99"/>
    </row>
    <row r="181" spans="1:57">
      <c r="A181" s="99"/>
      <c r="B181" s="99"/>
      <c r="C181" s="99"/>
      <c r="D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Z181" s="99"/>
      <c r="AA181" s="78"/>
      <c r="AB181" s="78"/>
      <c r="AC181" s="102"/>
      <c r="AD181" s="78"/>
      <c r="AE181" s="105"/>
      <c r="AF181" s="105"/>
      <c r="AG181" s="99"/>
      <c r="AH181" s="105"/>
      <c r="AI181" s="107"/>
      <c r="AJ181" s="108"/>
      <c r="AK181" s="104"/>
      <c r="AL181" s="99"/>
      <c r="AM181" s="99"/>
      <c r="AN181" s="99"/>
      <c r="AO181" s="99"/>
      <c r="AP181" s="99"/>
      <c r="AQ181" s="99"/>
      <c r="AR181" s="99"/>
      <c r="AS181" s="99"/>
      <c r="AT181" s="99"/>
      <c r="AU181" s="99"/>
      <c r="AV181" s="99"/>
      <c r="AW181" s="99"/>
      <c r="AX181" s="99"/>
      <c r="AY181" s="99"/>
      <c r="AZ181" s="99"/>
      <c r="BA181" s="99"/>
      <c r="BB181" s="99"/>
      <c r="BC181" s="99"/>
      <c r="BD181" s="99"/>
      <c r="BE181" s="99"/>
    </row>
    <row r="182" spans="1:57">
      <c r="A182" s="99"/>
      <c r="B182" s="99"/>
      <c r="C182" s="99"/>
      <c r="D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Z182" s="99"/>
      <c r="AA182" s="78"/>
      <c r="AB182" s="78"/>
      <c r="AC182" s="102"/>
      <c r="AD182" s="78"/>
      <c r="AE182" s="105"/>
      <c r="AF182" s="105"/>
      <c r="AG182" s="99"/>
      <c r="AH182" s="105"/>
      <c r="AI182" s="107"/>
      <c r="AJ182" s="108"/>
      <c r="AK182" s="104"/>
      <c r="AL182" s="99"/>
      <c r="AM182" s="99"/>
      <c r="AN182" s="99"/>
      <c r="AO182" s="99"/>
      <c r="AP182" s="99"/>
      <c r="AQ182" s="99"/>
      <c r="AR182" s="99"/>
      <c r="AS182" s="99"/>
      <c r="AT182" s="99"/>
      <c r="AU182" s="99"/>
      <c r="AV182" s="99"/>
      <c r="AW182" s="99"/>
      <c r="AX182" s="99"/>
      <c r="AY182" s="99"/>
      <c r="AZ182" s="99"/>
      <c r="BA182" s="99"/>
      <c r="BB182" s="99"/>
      <c r="BC182" s="99"/>
      <c r="BD182" s="99"/>
      <c r="BE182" s="99"/>
    </row>
    <row r="183" spans="1:57">
      <c r="A183" s="99"/>
      <c r="B183" s="99"/>
      <c r="C183" s="99"/>
      <c r="D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Z183" s="99"/>
      <c r="AA183" s="78"/>
      <c r="AB183" s="78"/>
      <c r="AC183" s="102"/>
      <c r="AD183" s="78"/>
      <c r="AE183" s="105"/>
      <c r="AF183" s="105"/>
      <c r="AG183" s="99"/>
      <c r="AH183" s="105"/>
      <c r="AI183" s="107"/>
      <c r="AJ183" s="108"/>
      <c r="AK183" s="104"/>
      <c r="AL183" s="99"/>
      <c r="AM183" s="99"/>
      <c r="AN183" s="99"/>
      <c r="AO183" s="99"/>
      <c r="AP183" s="99"/>
      <c r="AQ183" s="99"/>
      <c r="AR183" s="99"/>
      <c r="AS183" s="99"/>
      <c r="AT183" s="99"/>
      <c r="AU183" s="99"/>
      <c r="AV183" s="99"/>
      <c r="AW183" s="99"/>
      <c r="AX183" s="99"/>
      <c r="AY183" s="99"/>
      <c r="AZ183" s="99"/>
      <c r="BA183" s="99"/>
      <c r="BB183" s="99"/>
      <c r="BC183" s="99"/>
      <c r="BD183" s="99"/>
      <c r="BE183" s="9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LaTEX table</vt:lpstr>
      <vt:lpstr>Evans-style worksheet</vt:lpstr>
      <vt:lpstr>data for IPython csv</vt:lpstr>
      <vt:lpstr>MagIC_SiteTable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Swanson-Hysell</dc:creator>
  <cp:lastModifiedBy>Nicholas Swanson-Hysell</cp:lastModifiedBy>
  <dcterms:created xsi:type="dcterms:W3CDTF">2012-01-24T19:13:33Z</dcterms:created>
  <dcterms:modified xsi:type="dcterms:W3CDTF">2014-02-09T23:13:25Z</dcterms:modified>
</cp:coreProperties>
</file>