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7B5A2A54-D5FB-404D-A019-CDD9C5EDD1FF}" xr6:coauthVersionLast="45" xr6:coauthVersionMax="45" xr10:uidLastSave="{00000000-0000-0000-0000-000000000000}"/>
  <bookViews>
    <workbookView xWindow="-940" yWindow="1200" windowWidth="28800" windowHeight="12360" tabRatio="758" xr2:uid="{00000000-000D-0000-FFFF-FFFF00000000}"/>
  </bookViews>
  <sheets>
    <sheet name="Leirubakki-all" sheetId="1" r:id="rId1"/>
  </sheets>
  <definedNames>
    <definedName name="_xlnm.Database">'Leirubakki-all'!$C$1:$AC$1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'Leirubakki-all'!$AP$1:$AY$1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92" i="1" l="1"/>
  <c r="T91" i="1"/>
  <c r="T90" i="1"/>
  <c r="AR99" i="1"/>
  <c r="AQ99" i="1"/>
  <c r="AR100" i="1" l="1"/>
  <c r="AQ100" i="1"/>
  <c r="X51" i="1"/>
  <c r="X46" i="1"/>
  <c r="AA85" i="1"/>
  <c r="AA84" i="1"/>
  <c r="AA82" i="1"/>
  <c r="AA81" i="1"/>
  <c r="AA79" i="1"/>
  <c r="AA77" i="1"/>
  <c r="AA76" i="1"/>
  <c r="AA75" i="1"/>
  <c r="AA74" i="1"/>
  <c r="AA73" i="1"/>
  <c r="AA72" i="1"/>
  <c r="AA71" i="1"/>
  <c r="AA107" i="1"/>
  <c r="AA106" i="1"/>
  <c r="AA105" i="1"/>
  <c r="AA104" i="1"/>
  <c r="AA103" i="1"/>
  <c r="AA102" i="1"/>
  <c r="AA101" i="1"/>
  <c r="AA89" i="1"/>
  <c r="AA70" i="1"/>
  <c r="AA68" i="1"/>
  <c r="AA67" i="1"/>
  <c r="AA66" i="1"/>
  <c r="AA65" i="1"/>
  <c r="AA64" i="1"/>
  <c r="AA62" i="1"/>
  <c r="AA61" i="1"/>
  <c r="AA60" i="1"/>
  <c r="AA59" i="1"/>
  <c r="AA58" i="1"/>
  <c r="AA57" i="1"/>
  <c r="AA56" i="1"/>
  <c r="AA55" i="1"/>
  <c r="AA54" i="1"/>
  <c r="AA53" i="1"/>
  <c r="AA50" i="1"/>
  <c r="AA49" i="1"/>
  <c r="AA48" i="1"/>
  <c r="AA44" i="1"/>
  <c r="AA43" i="1"/>
  <c r="AA42" i="1"/>
  <c r="AA41" i="1"/>
  <c r="AA40" i="1"/>
  <c r="AA39" i="1"/>
  <c r="AA38" i="1"/>
  <c r="AA35" i="1"/>
  <c r="AA34" i="1"/>
  <c r="AA33" i="1"/>
  <c r="AA32" i="1"/>
  <c r="AA29" i="1"/>
  <c r="AA27" i="1"/>
  <c r="AA24" i="1"/>
  <c r="AA22" i="1"/>
  <c r="AA21" i="1"/>
  <c r="AA20" i="1"/>
  <c r="AA19" i="1"/>
  <c r="AA18" i="1"/>
  <c r="AA17" i="1"/>
  <c r="AA16" i="1"/>
  <c r="AA15" i="1"/>
  <c r="AA12" i="1"/>
  <c r="AA11" i="1"/>
  <c r="AA10" i="1"/>
  <c r="AA9" i="1"/>
  <c r="AA8" i="1"/>
  <c r="AA7" i="1"/>
  <c r="AA6" i="1"/>
  <c r="AA5" i="1"/>
  <c r="AA4" i="1"/>
  <c r="AA3" i="1"/>
  <c r="AA2" i="1"/>
  <c r="AE69" i="1" l="1"/>
  <c r="AD69" i="1"/>
  <c r="AL69" i="1"/>
  <c r="T69" i="1"/>
  <c r="AG69" i="1"/>
  <c r="AF69" i="1"/>
  <c r="M69" i="1"/>
  <c r="AN69" i="1" l="1"/>
  <c r="Q14" i="1"/>
  <c r="Q26" i="1"/>
  <c r="AR25" i="1" l="1"/>
  <c r="AQ25" i="1"/>
  <c r="AD25" i="1" s="1"/>
  <c r="AN25" i="1" s="1"/>
  <c r="AG25" i="1"/>
  <c r="AF25" i="1"/>
  <c r="AE25" i="1"/>
  <c r="M25" i="1"/>
  <c r="AD13" i="1"/>
  <c r="AE13" i="1"/>
  <c r="AF13" i="1"/>
  <c r="AG13" i="1"/>
  <c r="M13" i="1"/>
  <c r="H13" i="1"/>
  <c r="AP2" i="1"/>
  <c r="AD2" i="1"/>
  <c r="AE2" i="1"/>
  <c r="AF2" i="1"/>
  <c r="AG2" i="1"/>
  <c r="AL2" i="1"/>
  <c r="R2" i="1"/>
  <c r="S2" i="1"/>
  <c r="M2" i="1"/>
  <c r="AP39" i="1"/>
  <c r="AD39" i="1"/>
  <c r="AE39" i="1"/>
  <c r="AF39" i="1"/>
  <c r="AG39" i="1"/>
  <c r="AL39" i="1"/>
  <c r="T39" i="1"/>
  <c r="M39" i="1"/>
  <c r="AP38" i="1"/>
  <c r="AD38" i="1"/>
  <c r="AE38" i="1"/>
  <c r="AF38" i="1"/>
  <c r="AG38" i="1"/>
  <c r="AL38" i="1"/>
  <c r="T38" i="1"/>
  <c r="M38" i="1"/>
  <c r="AP34" i="1"/>
  <c r="AD34" i="1"/>
  <c r="AE34" i="1"/>
  <c r="AF34" i="1"/>
  <c r="AG34" i="1"/>
  <c r="AL34" i="1"/>
  <c r="T34" i="1"/>
  <c r="M34" i="1"/>
  <c r="AD98" i="1"/>
  <c r="AE98" i="1"/>
  <c r="AF98" i="1"/>
  <c r="AG98" i="1"/>
  <c r="AL98" i="1"/>
  <c r="T98" i="1"/>
  <c r="M98" i="1"/>
  <c r="AP95" i="1"/>
  <c r="AD95" i="1"/>
  <c r="AE95" i="1"/>
  <c r="AF95" i="1"/>
  <c r="AG95" i="1"/>
  <c r="AL95" i="1"/>
  <c r="T95" i="1"/>
  <c r="M95" i="1"/>
  <c r="AP94" i="1"/>
  <c r="AD94" i="1"/>
  <c r="AE94" i="1"/>
  <c r="AF94" i="1"/>
  <c r="AG94" i="1"/>
  <c r="AL94" i="1"/>
  <c r="T94" i="1"/>
  <c r="M94" i="1"/>
  <c r="AP29" i="1"/>
  <c r="AD29" i="1"/>
  <c r="AE29" i="1"/>
  <c r="AF29" i="1"/>
  <c r="AG29" i="1"/>
  <c r="T29" i="1"/>
  <c r="M29" i="1"/>
  <c r="AP18" i="1"/>
  <c r="AD18" i="1"/>
  <c r="AE18" i="1"/>
  <c r="AF18" i="1"/>
  <c r="AG18" i="1"/>
  <c r="T18" i="1"/>
  <c r="M18" i="1"/>
  <c r="AP17" i="1"/>
  <c r="AD17" i="1"/>
  <c r="AE17" i="1"/>
  <c r="AF17" i="1"/>
  <c r="AG17" i="1"/>
  <c r="T17" i="1"/>
  <c r="M17" i="1"/>
  <c r="AP16" i="1"/>
  <c r="AD16" i="1"/>
  <c r="AE16" i="1"/>
  <c r="AF16" i="1"/>
  <c r="AG16" i="1"/>
  <c r="T16" i="1"/>
  <c r="M16" i="1"/>
  <c r="AP15" i="1"/>
  <c r="AD15" i="1"/>
  <c r="AE15" i="1"/>
  <c r="AF15" i="1"/>
  <c r="AG15" i="1"/>
  <c r="T15" i="1"/>
  <c r="M15" i="1"/>
  <c r="AP22" i="1"/>
  <c r="AD22" i="1"/>
  <c r="AE22" i="1"/>
  <c r="AF22" i="1"/>
  <c r="AG22" i="1"/>
  <c r="T22" i="1"/>
  <c r="M22" i="1"/>
  <c r="AP19" i="1"/>
  <c r="AD19" i="1"/>
  <c r="AE19" i="1"/>
  <c r="AF19" i="1"/>
  <c r="AG19" i="1"/>
  <c r="T19" i="1"/>
  <c r="M19" i="1"/>
  <c r="AP12" i="1"/>
  <c r="AD12" i="1"/>
  <c r="AE12" i="1"/>
  <c r="AF12" i="1"/>
  <c r="AG12" i="1"/>
  <c r="T12" i="1"/>
  <c r="M12" i="1"/>
  <c r="AP10" i="1"/>
  <c r="AD10" i="1"/>
  <c r="AE10" i="1"/>
  <c r="AF10" i="1"/>
  <c r="AG10" i="1"/>
  <c r="T10" i="1"/>
  <c r="M10" i="1"/>
  <c r="AP9" i="1"/>
  <c r="AD9" i="1"/>
  <c r="AE9" i="1"/>
  <c r="AF9" i="1"/>
  <c r="AG9" i="1"/>
  <c r="T9" i="1"/>
  <c r="M9" i="1"/>
  <c r="AP7" i="1"/>
  <c r="AD7" i="1"/>
  <c r="AE7" i="1"/>
  <c r="AF7" i="1"/>
  <c r="AG7" i="1"/>
  <c r="T7" i="1"/>
  <c r="M7" i="1"/>
  <c r="AP6" i="1"/>
  <c r="AD6" i="1"/>
  <c r="AE6" i="1"/>
  <c r="AF6" i="1"/>
  <c r="AG6" i="1"/>
  <c r="T6" i="1"/>
  <c r="M6" i="1"/>
  <c r="AP5" i="1"/>
  <c r="AD5" i="1"/>
  <c r="AE5" i="1"/>
  <c r="AF5" i="1"/>
  <c r="AG5" i="1"/>
  <c r="T5" i="1"/>
  <c r="M5" i="1"/>
  <c r="AP3" i="1"/>
  <c r="AD3" i="1"/>
  <c r="AE3" i="1"/>
  <c r="AF3" i="1"/>
  <c r="AG3" i="1"/>
  <c r="AL3" i="1"/>
  <c r="T3" i="1"/>
  <c r="M3" i="1"/>
  <c r="AP32" i="1"/>
  <c r="AD32" i="1"/>
  <c r="AE32" i="1"/>
  <c r="AF32" i="1"/>
  <c r="AG32" i="1"/>
  <c r="AL32" i="1"/>
  <c r="T32" i="1"/>
  <c r="M32" i="1"/>
  <c r="AP33" i="1"/>
  <c r="AD33" i="1"/>
  <c r="AE33" i="1"/>
  <c r="AF33" i="1"/>
  <c r="AG33" i="1"/>
  <c r="AL33" i="1"/>
  <c r="T33" i="1"/>
  <c r="M33" i="1"/>
  <c r="AP31" i="1"/>
  <c r="AD31" i="1"/>
  <c r="AE31" i="1"/>
  <c r="AF31" i="1"/>
  <c r="AG31" i="1"/>
  <c r="AL31" i="1"/>
  <c r="T31" i="1"/>
  <c r="M31" i="1"/>
  <c r="AP30" i="1"/>
  <c r="AD30" i="1"/>
  <c r="AE30" i="1"/>
  <c r="AF30" i="1"/>
  <c r="AG30" i="1"/>
  <c r="AL30" i="1"/>
  <c r="T30" i="1"/>
  <c r="M30" i="1"/>
  <c r="AP28" i="1"/>
  <c r="AD28" i="1"/>
  <c r="AE28" i="1"/>
  <c r="AF28" i="1"/>
  <c r="AG28" i="1"/>
  <c r="AL28" i="1"/>
  <c r="T28" i="1"/>
  <c r="M28" i="1"/>
  <c r="AP27" i="1"/>
  <c r="AD27" i="1"/>
  <c r="AE27" i="1"/>
  <c r="AF27" i="1"/>
  <c r="AG27" i="1"/>
  <c r="AL27" i="1"/>
  <c r="T27" i="1"/>
  <c r="M27" i="1"/>
  <c r="AD26" i="1"/>
  <c r="AE26" i="1"/>
  <c r="AF26" i="1"/>
  <c r="AG26" i="1"/>
  <c r="AL26" i="1"/>
  <c r="AP23" i="1"/>
  <c r="AD23" i="1"/>
  <c r="AE23" i="1"/>
  <c r="AF23" i="1"/>
  <c r="AG23" i="1"/>
  <c r="AL23" i="1"/>
  <c r="T23" i="1"/>
  <c r="M23" i="1"/>
  <c r="AP21" i="1"/>
  <c r="AD21" i="1"/>
  <c r="AE21" i="1"/>
  <c r="AF21" i="1"/>
  <c r="AG21" i="1"/>
  <c r="AL21" i="1"/>
  <c r="T21" i="1"/>
  <c r="M21" i="1"/>
  <c r="AD14" i="1"/>
  <c r="AN14" i="1" s="1"/>
  <c r="AG14" i="1"/>
  <c r="AF14" i="1"/>
  <c r="AE14" i="1"/>
  <c r="AP11" i="1"/>
  <c r="AD11" i="1"/>
  <c r="AE11" i="1"/>
  <c r="AF11" i="1"/>
  <c r="AG11" i="1"/>
  <c r="T11" i="1"/>
  <c r="M11" i="1"/>
  <c r="AP8" i="1"/>
  <c r="AD8" i="1"/>
  <c r="AE8" i="1"/>
  <c r="AF8" i="1"/>
  <c r="AG8" i="1"/>
  <c r="T8" i="1"/>
  <c r="M8" i="1"/>
  <c r="AP4" i="1"/>
  <c r="AD4" i="1"/>
  <c r="AE4" i="1"/>
  <c r="AF4" i="1"/>
  <c r="AG4" i="1"/>
  <c r="T4" i="1"/>
  <c r="M4" i="1"/>
  <c r="AP93" i="1"/>
  <c r="AD93" i="1"/>
  <c r="AE93" i="1"/>
  <c r="AF93" i="1"/>
  <c r="AG93" i="1"/>
  <c r="T93" i="1"/>
  <c r="M93" i="1"/>
  <c r="AP63" i="1"/>
  <c r="AD63" i="1"/>
  <c r="AE63" i="1"/>
  <c r="AF63" i="1"/>
  <c r="AG63" i="1"/>
  <c r="T63" i="1"/>
  <c r="M63" i="1"/>
  <c r="AP36" i="1"/>
  <c r="AD36" i="1"/>
  <c r="AE36" i="1"/>
  <c r="AF36" i="1"/>
  <c r="AG36" i="1"/>
  <c r="AL36" i="1"/>
  <c r="T36" i="1"/>
  <c r="M36" i="1"/>
  <c r="AP35" i="1"/>
  <c r="AD35" i="1"/>
  <c r="AE35" i="1"/>
  <c r="AF35" i="1"/>
  <c r="AG35" i="1"/>
  <c r="AL35" i="1"/>
  <c r="T35" i="1"/>
  <c r="M35" i="1"/>
  <c r="AP24" i="1"/>
  <c r="AD24" i="1"/>
  <c r="AE24" i="1"/>
  <c r="AF24" i="1"/>
  <c r="AG24" i="1"/>
  <c r="AL24" i="1"/>
  <c r="T24" i="1"/>
  <c r="M24" i="1"/>
  <c r="AP20" i="1"/>
  <c r="AD20" i="1"/>
  <c r="AE20" i="1"/>
  <c r="AF20" i="1"/>
  <c r="AG20" i="1"/>
  <c r="T20" i="1"/>
  <c r="M20" i="1"/>
  <c r="AP68" i="1"/>
  <c r="AD68" i="1"/>
  <c r="AE68" i="1"/>
  <c r="AF68" i="1"/>
  <c r="AG68" i="1"/>
  <c r="T68" i="1"/>
  <c r="M68" i="1"/>
  <c r="AP67" i="1"/>
  <c r="AD67" i="1"/>
  <c r="AE67" i="1"/>
  <c r="AF67" i="1"/>
  <c r="AG67" i="1"/>
  <c r="T67" i="1"/>
  <c r="M67" i="1"/>
  <c r="AP66" i="1"/>
  <c r="AD66" i="1"/>
  <c r="AE66" i="1"/>
  <c r="AF66" i="1"/>
  <c r="AG66" i="1"/>
  <c r="T66" i="1"/>
  <c r="M66" i="1"/>
  <c r="AP65" i="1"/>
  <c r="AD65" i="1"/>
  <c r="AE65" i="1"/>
  <c r="AF65" i="1"/>
  <c r="AG65" i="1"/>
  <c r="T65" i="1"/>
  <c r="M65" i="1"/>
  <c r="AP64" i="1"/>
  <c r="AD64" i="1"/>
  <c r="AE64" i="1"/>
  <c r="AF64" i="1"/>
  <c r="AG64" i="1"/>
  <c r="T64" i="1"/>
  <c r="M64" i="1"/>
  <c r="AP61" i="1"/>
  <c r="AD61" i="1"/>
  <c r="AE61" i="1"/>
  <c r="AF61" i="1"/>
  <c r="AG61" i="1"/>
  <c r="T61" i="1"/>
  <c r="M61" i="1"/>
  <c r="AP60" i="1"/>
  <c r="AD60" i="1"/>
  <c r="AE60" i="1"/>
  <c r="AF60" i="1"/>
  <c r="AG60" i="1"/>
  <c r="T60" i="1"/>
  <c r="M60" i="1"/>
  <c r="AP58" i="1"/>
  <c r="AD58" i="1"/>
  <c r="AE58" i="1"/>
  <c r="AF58" i="1"/>
  <c r="AG58" i="1"/>
  <c r="T58" i="1"/>
  <c r="M58" i="1"/>
  <c r="AP57" i="1"/>
  <c r="AD57" i="1"/>
  <c r="AE57" i="1"/>
  <c r="AF57" i="1"/>
  <c r="AG57" i="1"/>
  <c r="T57" i="1"/>
  <c r="M57" i="1"/>
  <c r="AP55" i="1"/>
  <c r="AD55" i="1"/>
  <c r="AE55" i="1"/>
  <c r="AF55" i="1"/>
  <c r="AG55" i="1"/>
  <c r="T55" i="1"/>
  <c r="M55" i="1"/>
  <c r="AP54" i="1"/>
  <c r="AD54" i="1"/>
  <c r="AE54" i="1"/>
  <c r="AF54" i="1"/>
  <c r="AG54" i="1"/>
  <c r="T54" i="1"/>
  <c r="M54" i="1"/>
  <c r="H54" i="1"/>
  <c r="AP53" i="1"/>
  <c r="AD53" i="1"/>
  <c r="AE53" i="1"/>
  <c r="AF53" i="1"/>
  <c r="AG53" i="1"/>
  <c r="T53" i="1"/>
  <c r="M53" i="1"/>
  <c r="AP41" i="1"/>
  <c r="AD41" i="1"/>
  <c r="AE41" i="1"/>
  <c r="AF41" i="1"/>
  <c r="AG41" i="1"/>
  <c r="T41" i="1"/>
  <c r="M41" i="1"/>
  <c r="H41" i="1"/>
  <c r="AP107" i="1"/>
  <c r="AD107" i="1"/>
  <c r="AE107" i="1"/>
  <c r="AF107" i="1"/>
  <c r="AG107" i="1"/>
  <c r="AL107" i="1"/>
  <c r="T107" i="1"/>
  <c r="M107" i="1"/>
  <c r="AP106" i="1"/>
  <c r="AD106" i="1"/>
  <c r="AE106" i="1"/>
  <c r="AF106" i="1"/>
  <c r="AG106" i="1"/>
  <c r="AL106" i="1"/>
  <c r="T106" i="1"/>
  <c r="M106" i="1"/>
  <c r="AP105" i="1"/>
  <c r="AD105" i="1"/>
  <c r="AE105" i="1"/>
  <c r="AF105" i="1"/>
  <c r="AG105" i="1"/>
  <c r="AL105" i="1"/>
  <c r="T105" i="1"/>
  <c r="M105" i="1"/>
  <c r="AP104" i="1"/>
  <c r="AD104" i="1"/>
  <c r="AE104" i="1"/>
  <c r="AF104" i="1"/>
  <c r="AG104" i="1"/>
  <c r="AL104" i="1"/>
  <c r="T104" i="1"/>
  <c r="M104" i="1"/>
  <c r="AP103" i="1"/>
  <c r="AD103" i="1"/>
  <c r="AE103" i="1"/>
  <c r="AF103" i="1"/>
  <c r="AG103" i="1"/>
  <c r="AL103" i="1"/>
  <c r="T103" i="1"/>
  <c r="M103" i="1"/>
  <c r="AP102" i="1"/>
  <c r="AD102" i="1"/>
  <c r="AE102" i="1"/>
  <c r="AF102" i="1"/>
  <c r="AG102" i="1"/>
  <c r="AL102" i="1"/>
  <c r="T102" i="1"/>
  <c r="M102" i="1"/>
  <c r="AD101" i="1"/>
  <c r="AE101" i="1"/>
  <c r="AF101" i="1"/>
  <c r="AG101" i="1"/>
  <c r="T101" i="1"/>
  <c r="M101" i="1"/>
  <c r="H101" i="1"/>
  <c r="AD97" i="1"/>
  <c r="AE97" i="1"/>
  <c r="AF97" i="1"/>
  <c r="AG97" i="1"/>
  <c r="AL97" i="1"/>
  <c r="R97" i="1"/>
  <c r="S97" i="1"/>
  <c r="M97" i="1"/>
  <c r="AP96" i="1"/>
  <c r="AD96" i="1"/>
  <c r="AE96" i="1"/>
  <c r="AF96" i="1"/>
  <c r="AG96" i="1"/>
  <c r="M96" i="1"/>
  <c r="AP89" i="1"/>
  <c r="AD89" i="1"/>
  <c r="AE89" i="1"/>
  <c r="AF89" i="1"/>
  <c r="AG89" i="1"/>
  <c r="AL89" i="1"/>
  <c r="T89" i="1"/>
  <c r="M89" i="1"/>
  <c r="AD88" i="1"/>
  <c r="AE88" i="1"/>
  <c r="AF88" i="1"/>
  <c r="AG88" i="1"/>
  <c r="AL88" i="1"/>
  <c r="T88" i="1"/>
  <c r="M88" i="1"/>
  <c r="AD87" i="1"/>
  <c r="AE87" i="1"/>
  <c r="AF87" i="1"/>
  <c r="AG87" i="1"/>
  <c r="AL87" i="1"/>
  <c r="T87" i="1"/>
  <c r="M87" i="1"/>
  <c r="AD86" i="1"/>
  <c r="AE86" i="1"/>
  <c r="AF86" i="1"/>
  <c r="AG86" i="1"/>
  <c r="M86" i="1"/>
  <c r="AD83" i="1"/>
  <c r="AE83" i="1"/>
  <c r="AF83" i="1"/>
  <c r="AG83" i="1"/>
  <c r="M83" i="1"/>
  <c r="AD85" i="1"/>
  <c r="AE85" i="1"/>
  <c r="AF85" i="1"/>
  <c r="AG85" i="1"/>
  <c r="AL85" i="1"/>
  <c r="T85" i="1"/>
  <c r="M85" i="1"/>
  <c r="AP84" i="1"/>
  <c r="AD84" i="1"/>
  <c r="AE84" i="1"/>
  <c r="AF84" i="1"/>
  <c r="AG84" i="1"/>
  <c r="AL84" i="1"/>
  <c r="T84" i="1"/>
  <c r="AP82" i="1"/>
  <c r="AD82" i="1"/>
  <c r="AE82" i="1"/>
  <c r="AF82" i="1"/>
  <c r="AG82" i="1"/>
  <c r="AL82" i="1"/>
  <c r="T82" i="1"/>
  <c r="M82" i="1"/>
  <c r="AP80" i="1"/>
  <c r="AD80" i="1"/>
  <c r="AE80" i="1"/>
  <c r="AF80" i="1"/>
  <c r="AG80" i="1"/>
  <c r="AL80" i="1"/>
  <c r="M80" i="1"/>
  <c r="AP79" i="1"/>
  <c r="AD79" i="1"/>
  <c r="AE79" i="1"/>
  <c r="AF79" i="1"/>
  <c r="AG79" i="1"/>
  <c r="AL79" i="1"/>
  <c r="T79" i="1"/>
  <c r="M79" i="1"/>
  <c r="AP78" i="1"/>
  <c r="AD78" i="1"/>
  <c r="AE78" i="1"/>
  <c r="AF78" i="1"/>
  <c r="AG78" i="1"/>
  <c r="M78" i="1"/>
  <c r="AD81" i="1"/>
  <c r="AE81" i="1"/>
  <c r="AF81" i="1"/>
  <c r="AG81" i="1"/>
  <c r="T81" i="1"/>
  <c r="M81" i="1"/>
  <c r="AP77" i="1"/>
  <c r="AD77" i="1"/>
  <c r="AE77" i="1"/>
  <c r="AF77" i="1"/>
  <c r="AG77" i="1"/>
  <c r="AL77" i="1"/>
  <c r="T77" i="1"/>
  <c r="M77" i="1"/>
  <c r="AD76" i="1"/>
  <c r="AE76" i="1"/>
  <c r="AF76" i="1"/>
  <c r="AG76" i="1"/>
  <c r="T76" i="1"/>
  <c r="M76" i="1"/>
  <c r="AP75" i="1"/>
  <c r="AD75" i="1"/>
  <c r="AE75" i="1"/>
  <c r="AG75" i="1"/>
  <c r="T75" i="1"/>
  <c r="M75" i="1"/>
  <c r="AP74" i="1"/>
  <c r="AD74" i="1"/>
  <c r="AE74" i="1"/>
  <c r="AF74" i="1"/>
  <c r="AG74" i="1"/>
  <c r="T74" i="1"/>
  <c r="M74" i="1"/>
  <c r="AD72" i="1"/>
  <c r="AE72" i="1"/>
  <c r="AF72" i="1"/>
  <c r="AG72" i="1"/>
  <c r="T72" i="1"/>
  <c r="M72" i="1"/>
  <c r="AP73" i="1"/>
  <c r="AD73" i="1"/>
  <c r="AE73" i="1"/>
  <c r="AF73" i="1"/>
  <c r="AG73" i="1"/>
  <c r="T73" i="1"/>
  <c r="M73" i="1"/>
  <c r="AD71" i="1"/>
  <c r="AE71" i="1"/>
  <c r="AF71" i="1"/>
  <c r="AG71" i="1"/>
  <c r="AL71" i="1"/>
  <c r="T71" i="1"/>
  <c r="M71" i="1"/>
  <c r="AP70" i="1"/>
  <c r="AD70" i="1"/>
  <c r="AE70" i="1"/>
  <c r="AF70" i="1"/>
  <c r="AG70" i="1"/>
  <c r="AL70" i="1"/>
  <c r="T70" i="1"/>
  <c r="M70" i="1"/>
  <c r="AP62" i="1"/>
  <c r="AD62" i="1"/>
  <c r="AE62" i="1"/>
  <c r="AF62" i="1"/>
  <c r="AG62" i="1"/>
  <c r="AL62" i="1"/>
  <c r="T62" i="1"/>
  <c r="M62" i="1"/>
  <c r="AP59" i="1"/>
  <c r="AD59" i="1"/>
  <c r="AE59" i="1"/>
  <c r="AF59" i="1"/>
  <c r="AG59" i="1"/>
  <c r="AL59" i="1"/>
  <c r="T59" i="1"/>
  <c r="M59" i="1"/>
  <c r="AP56" i="1"/>
  <c r="AD56" i="1"/>
  <c r="AE56" i="1"/>
  <c r="AF56" i="1"/>
  <c r="AG56" i="1"/>
  <c r="AL56" i="1"/>
  <c r="T56" i="1"/>
  <c r="M56" i="1"/>
  <c r="AP52" i="1"/>
  <c r="AD52" i="1"/>
  <c r="AE52" i="1"/>
  <c r="AF52" i="1"/>
  <c r="AG52" i="1"/>
  <c r="AL52" i="1"/>
  <c r="T52" i="1"/>
  <c r="M52" i="1"/>
  <c r="AP51" i="1"/>
  <c r="AD51" i="1"/>
  <c r="AE51" i="1"/>
  <c r="AF51" i="1"/>
  <c r="AG51" i="1"/>
  <c r="AL51" i="1"/>
  <c r="T51" i="1"/>
  <c r="M51" i="1"/>
  <c r="AP50" i="1"/>
  <c r="AD50" i="1"/>
  <c r="AE50" i="1"/>
  <c r="AF50" i="1"/>
  <c r="AG50" i="1"/>
  <c r="AL50" i="1"/>
  <c r="T50" i="1"/>
  <c r="M50" i="1"/>
  <c r="AP49" i="1"/>
  <c r="AD49" i="1"/>
  <c r="AE49" i="1"/>
  <c r="AF49" i="1"/>
  <c r="AG49" i="1"/>
  <c r="AL49" i="1"/>
  <c r="T49" i="1"/>
  <c r="M49" i="1"/>
  <c r="AP48" i="1"/>
  <c r="AD48" i="1"/>
  <c r="AE48" i="1"/>
  <c r="AF48" i="1"/>
  <c r="AG48" i="1"/>
  <c r="AL48" i="1"/>
  <c r="T48" i="1"/>
  <c r="M48" i="1"/>
  <c r="AR47" i="1"/>
  <c r="AQ47" i="1"/>
  <c r="AE47" i="1"/>
  <c r="AF47" i="1"/>
  <c r="AG47" i="1"/>
  <c r="AL47" i="1"/>
  <c r="R47" i="1"/>
  <c r="S47" i="1"/>
  <c r="M47" i="1"/>
  <c r="AP46" i="1"/>
  <c r="AD46" i="1"/>
  <c r="AE46" i="1"/>
  <c r="AF46" i="1"/>
  <c r="AG46" i="1"/>
  <c r="AL46" i="1"/>
  <c r="T46" i="1"/>
  <c r="M46" i="1"/>
  <c r="AP45" i="1"/>
  <c r="AD45" i="1"/>
  <c r="AE45" i="1"/>
  <c r="AF45" i="1"/>
  <c r="AG45" i="1"/>
  <c r="AL45" i="1"/>
  <c r="T45" i="1"/>
  <c r="M45" i="1"/>
  <c r="AP44" i="1"/>
  <c r="AD44" i="1"/>
  <c r="AE44" i="1"/>
  <c r="AF44" i="1"/>
  <c r="AG44" i="1"/>
  <c r="AL44" i="1"/>
  <c r="T44" i="1"/>
  <c r="M44" i="1"/>
  <c r="AP43" i="1"/>
  <c r="AD43" i="1"/>
  <c r="AE43" i="1"/>
  <c r="AF43" i="1"/>
  <c r="AG43" i="1"/>
  <c r="AL43" i="1"/>
  <c r="T43" i="1"/>
  <c r="M43" i="1"/>
  <c r="AP42" i="1"/>
  <c r="AD42" i="1"/>
  <c r="AE42" i="1"/>
  <c r="AF42" i="1"/>
  <c r="AG42" i="1"/>
  <c r="AL42" i="1"/>
  <c r="T42" i="1"/>
  <c r="M42" i="1"/>
  <c r="AP40" i="1"/>
  <c r="AD40" i="1"/>
  <c r="AE40" i="1"/>
  <c r="AF40" i="1"/>
  <c r="AG40" i="1"/>
  <c r="AL40" i="1"/>
  <c r="T40" i="1"/>
  <c r="M40" i="1"/>
  <c r="AP37" i="1"/>
  <c r="AD37" i="1"/>
  <c r="AE37" i="1"/>
  <c r="AF37" i="1"/>
  <c r="AG37" i="1"/>
  <c r="AL37" i="1"/>
  <c r="T37" i="1"/>
  <c r="M37" i="1"/>
  <c r="AH18" i="1" l="1"/>
  <c r="AH33" i="1"/>
  <c r="AH3" i="1"/>
  <c r="AH22" i="1"/>
  <c r="AD47" i="1"/>
  <c r="AH94" i="1"/>
  <c r="AN94" i="1" s="1"/>
  <c r="AH98" i="1"/>
  <c r="AN98" i="1" s="1"/>
  <c r="AH38" i="1"/>
  <c r="AN38" i="1" s="1"/>
  <c r="AH59" i="1"/>
  <c r="AN59" i="1" s="1"/>
  <c r="AH101" i="1"/>
  <c r="AN101" i="1" s="1"/>
  <c r="AH23" i="1"/>
  <c r="AN23" i="1" s="1"/>
  <c r="AH66" i="1"/>
  <c r="AN66" i="1" s="1"/>
  <c r="AH103" i="1"/>
  <c r="AN103" i="1" s="1"/>
  <c r="AH105" i="1"/>
  <c r="AN105" i="1" s="1"/>
  <c r="AH4" i="1"/>
  <c r="AN4" i="1" s="1"/>
  <c r="AH60" i="1"/>
  <c r="AN60" i="1" s="1"/>
  <c r="AH42" i="1"/>
  <c r="AN42" i="1" s="1"/>
  <c r="AH44" i="1"/>
  <c r="AN44" i="1" s="1"/>
  <c r="AP47" i="1"/>
  <c r="AH49" i="1"/>
  <c r="AN49" i="1" s="1"/>
  <c r="T47" i="1"/>
  <c r="AH53" i="1"/>
  <c r="AN53" i="1" s="1"/>
  <c r="AH47" i="1"/>
  <c r="AH72" i="1"/>
  <c r="AN72" i="1" s="1"/>
  <c r="AH10" i="1"/>
  <c r="AN10" i="1" s="1"/>
  <c r="AH52" i="1"/>
  <c r="AN52" i="1" s="1"/>
  <c r="AH37" i="1"/>
  <c r="AN37" i="1" s="1"/>
  <c r="AH30" i="1"/>
  <c r="AN30" i="1" s="1"/>
  <c r="AH17" i="1"/>
  <c r="AN17" i="1" s="1"/>
  <c r="AH48" i="1"/>
  <c r="AN48" i="1" s="1"/>
  <c r="AH62" i="1"/>
  <c r="AN62" i="1" s="1"/>
  <c r="AH28" i="1"/>
  <c r="AN28" i="1" s="1"/>
  <c r="AH9" i="1"/>
  <c r="AN9" i="1" s="1"/>
  <c r="AH70" i="1"/>
  <c r="AN70" i="1" s="1"/>
  <c r="AH82" i="1"/>
  <c r="AN82" i="1" s="1"/>
  <c r="AH84" i="1"/>
  <c r="AN84" i="1" s="1"/>
  <c r="AH85" i="1"/>
  <c r="AN85" i="1" s="1"/>
  <c r="AH96" i="1"/>
  <c r="AN96" i="1" s="1"/>
  <c r="AH58" i="1"/>
  <c r="AN58" i="1" s="1"/>
  <c r="AH27" i="1"/>
  <c r="AN27" i="1" s="1"/>
  <c r="AH16" i="1"/>
  <c r="AN16" i="1" s="1"/>
  <c r="AH79" i="1"/>
  <c r="AN79" i="1" s="1"/>
  <c r="AH19" i="1"/>
  <c r="AN19" i="1" s="1"/>
  <c r="AH77" i="1"/>
  <c r="AN77" i="1" s="1"/>
  <c r="AH81" i="1"/>
  <c r="AN81" i="1" s="1"/>
  <c r="AH54" i="1"/>
  <c r="AN54" i="1" s="1"/>
  <c r="AH106" i="1"/>
  <c r="AN106" i="1" s="1"/>
  <c r="AH65" i="1"/>
  <c r="AN65" i="1" s="1"/>
  <c r="AH46" i="1"/>
  <c r="AN46" i="1" s="1"/>
  <c r="AH50" i="1"/>
  <c r="AN50" i="1" s="1"/>
  <c r="T2" i="1"/>
  <c r="AH40" i="1"/>
  <c r="AN40" i="1" s="1"/>
  <c r="AH31" i="1"/>
  <c r="AN31" i="1" s="1"/>
  <c r="AH6" i="1"/>
  <c r="AN6" i="1" s="1"/>
  <c r="AH45" i="1"/>
  <c r="AN45" i="1" s="1"/>
  <c r="AH74" i="1"/>
  <c r="AN74" i="1" s="1"/>
  <c r="AH5" i="1"/>
  <c r="AN5" i="1" s="1"/>
  <c r="AH51" i="1"/>
  <c r="AN51" i="1" s="1"/>
  <c r="AH75" i="1"/>
  <c r="AN75" i="1" s="1"/>
  <c r="AH43" i="1"/>
  <c r="AN43" i="1" s="1"/>
  <c r="AH71" i="1"/>
  <c r="AN71" i="1" s="1"/>
  <c r="AH102" i="1"/>
  <c r="AN102" i="1" s="1"/>
  <c r="AH93" i="1"/>
  <c r="AN93" i="1" s="1"/>
  <c r="AH2" i="1"/>
  <c r="AN2" i="1" s="1"/>
  <c r="AH15" i="1"/>
  <c r="AN15" i="1" s="1"/>
  <c r="AH78" i="1"/>
  <c r="AN78" i="1" s="1"/>
  <c r="T97" i="1"/>
  <c r="AH104" i="1"/>
  <c r="AN104" i="1" s="1"/>
  <c r="AH57" i="1"/>
  <c r="AN57" i="1" s="1"/>
  <c r="AH20" i="1"/>
  <c r="AN20" i="1" s="1"/>
  <c r="AH35" i="1"/>
  <c r="AN35" i="1" s="1"/>
  <c r="AH12" i="1"/>
  <c r="AN12" i="1" s="1"/>
  <c r="AH76" i="1"/>
  <c r="AN76" i="1" s="1"/>
  <c r="AH80" i="1"/>
  <c r="AN80" i="1" s="1"/>
  <c r="AH26" i="1"/>
  <c r="AN26" i="1" s="1"/>
  <c r="AH7" i="1"/>
  <c r="AN7" i="1" s="1"/>
  <c r="AH56" i="1"/>
  <c r="AN56" i="1" s="1"/>
  <c r="AH86" i="1"/>
  <c r="AN86" i="1" s="1"/>
  <c r="AH88" i="1"/>
  <c r="AN88" i="1" s="1"/>
  <c r="AH97" i="1"/>
  <c r="AN97" i="1" s="1"/>
  <c r="AH21" i="1"/>
  <c r="AN21" i="1" s="1"/>
  <c r="AH32" i="1"/>
  <c r="AN32" i="1" s="1"/>
  <c r="AH29" i="1"/>
  <c r="AN29" i="1" s="1"/>
  <c r="AH95" i="1"/>
  <c r="AN95" i="1" s="1"/>
  <c r="AH34" i="1"/>
  <c r="AN34" i="1" s="1"/>
  <c r="AH39" i="1"/>
  <c r="AN39" i="1" s="1"/>
  <c r="AH13" i="1"/>
  <c r="AN13" i="1" s="1"/>
  <c r="AH73" i="1"/>
  <c r="AN73" i="1" s="1"/>
  <c r="AH107" i="1"/>
  <c r="AN107" i="1" s="1"/>
  <c r="AH83" i="1"/>
  <c r="AN83" i="1" s="1"/>
  <c r="AH87" i="1"/>
  <c r="AN87" i="1" s="1"/>
  <c r="AH89" i="1"/>
  <c r="AN89" i="1" s="1"/>
  <c r="AH55" i="1"/>
  <c r="AN55" i="1" s="1"/>
  <c r="AH64" i="1"/>
  <c r="AN64" i="1" s="1"/>
  <c r="AH68" i="1"/>
  <c r="AN68" i="1" s="1"/>
  <c r="AH36" i="1"/>
  <c r="AN36" i="1" s="1"/>
  <c r="AH8" i="1"/>
  <c r="AN8" i="1" s="1"/>
  <c r="AN3" i="1"/>
  <c r="AN22" i="1"/>
  <c r="AH41" i="1"/>
  <c r="AN41" i="1" s="1"/>
  <c r="AH61" i="1"/>
  <c r="AN61" i="1" s="1"/>
  <c r="AH67" i="1"/>
  <c r="AN67" i="1" s="1"/>
  <c r="AH24" i="1"/>
  <c r="AN24" i="1" s="1"/>
  <c r="AH63" i="1"/>
  <c r="AN63" i="1" s="1"/>
  <c r="AH11" i="1"/>
  <c r="AN11" i="1" s="1"/>
  <c r="AN33" i="1"/>
  <c r="AN18" i="1"/>
  <c r="AN47" i="1" l="1"/>
</calcChain>
</file>

<file path=xl/sharedStrings.xml><?xml version="1.0" encoding="utf-8"?>
<sst xmlns="http://schemas.openxmlformats.org/spreadsheetml/2006/main" count="1329" uniqueCount="695">
  <si>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</si>
  <si>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</si>
  <si>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</si>
  <si>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</si>
  <si>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</si>
  <si>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</si>
  <si>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</si>
  <si>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</si>
  <si>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</si>
  <si>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</si>
  <si>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</si>
  <si>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</si>
  <si>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</si>
  <si>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</si>
  <si>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</si>
  <si>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</si>
  <si>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</si>
  <si>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</si>
  <si>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</si>
  <si>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</si>
  <si>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</si>
  <si>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</si>
  <si>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</si>
  <si>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</si>
  <si>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</si>
  <si>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</si>
  <si>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</si>
  <si>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</si>
  <si>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</si>
  <si>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</si>
  <si>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</si>
  <si>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</si>
  <si>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</si>
  <si>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</si>
  <si>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</si>
  <si>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</si>
  <si>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</si>
  <si>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</si>
  <si>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</si>
  <si>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</si>
  <si>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</si>
  <si>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</si>
  <si>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</si>
  <si>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</si>
  <si>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</si>
  <si>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</si>
  <si>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</si>
  <si>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</si>
  <si>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</si>
  <si>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</si>
  <si>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</si>
  <si>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</si>
  <si>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</si>
  <si>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</si>
  <si>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</si>
  <si>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</si>
  <si>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</si>
  <si>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</si>
  <si>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</si>
  <si>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</si>
  <si>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</si>
  <si>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</si>
  <si>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</si>
  <si>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</si>
  <si>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</si>
  <si>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</si>
  <si>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</si>
  <si>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</si>
  <si>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</si>
  <si>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</si>
  <si>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</si>
  <si>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</si>
  <si>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</si>
  <si>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</si>
  <si>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</si>
  <si>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</si>
  <si>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</si>
  <si>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</si>
  <si>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</si>
  <si>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</si>
  <si>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</si>
  <si>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</si>
  <si>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</si>
  <si>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</si>
  <si>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</si>
  <si>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</si>
  <si>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</si>
  <si>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</si>
  <si>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</si>
  <si>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</si>
  <si>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</si>
  <si>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</si>
  <si>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</si>
  <si>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</si>
  <si>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</si>
  <si>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</si>
  <si>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</si>
  <si>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</si>
  <si>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</si>
  <si>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</si>
  <si>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</si>
  <si>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</si>
  <si>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</si>
  <si>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</si>
  <si>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</si>
  <si>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</si>
  <si>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</si>
  <si>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</si>
  <si>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</si>
  <si>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</si>
  <si>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</si>
  <si>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</si>
  <si>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</si>
  <si>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</si>
  <si>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</si>
  <si>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</si>
  <si>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</si>
  <si>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</si>
  <si>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</si>
  <si>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</si>
  <si>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</si>
  <si>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</si>
  <si>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</si>
  <si>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</si>
  <si>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</si>
  <si>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</si>
  <si>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</si>
  <si>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</si>
  <si>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</si>
  <si>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</si>
  <si>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</si>
  <si>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</si>
  <si>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</si>
  <si>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</si>
  <si>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</si>
  <si>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</si>
  <si>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</si>
  <si>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</si>
  <si>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</si>
  <si>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</si>
  <si>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</si>
  <si>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</si>
  <si>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</si>
  <si>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</si>
  <si>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</si>
  <si>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</si>
  <si>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</si>
  <si>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</si>
  <si>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</si>
  <si>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</si>
  <si>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</si>
  <si>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</si>
  <si>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</si>
  <si>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</si>
  <si>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</si>
  <si>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</si>
  <si>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</si>
  <si>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</si>
  <si>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</si>
  <si>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</si>
  <si>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</si>
  <si>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</si>
  <si>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</si>
  <si>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</si>
  <si>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</si>
  <si>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</si>
  <si>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</si>
  <si>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</si>
  <si>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</si>
  <si>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</si>
  <si>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</si>
  <si>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</si>
  <si>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</si>
  <si>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</si>
  <si>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</si>
  <si>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</si>
  <si>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</si>
  <si>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</si>
  <si>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</si>
  <si>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</si>
  <si>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</si>
  <si>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</si>
  <si>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</si>
  <si>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</si>
  <si>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</si>
  <si>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</si>
  <si>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</si>
  <si>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</si>
  <si>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</si>
  <si>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</si>
  <si>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</si>
  <si>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</si>
  <si>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</si>
  <si>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</si>
  <si>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</si>
  <si>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</si>
  <si>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</si>
  <si>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</si>
  <si>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</si>
  <si>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</si>
  <si>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</si>
  <si>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</si>
  <si>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</si>
  <si>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</si>
  <si>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</si>
  <si>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</si>
  <si>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</si>
  <si>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</si>
  <si>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</si>
  <si>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</si>
  <si>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</si>
  <si>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</si>
  <si>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</si>
  <si>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</si>
  <si>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</si>
  <si>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</si>
  <si>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</si>
  <si>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</si>
  <si>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</si>
  <si>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</si>
  <si>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</si>
  <si>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</si>
  <si>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</si>
  <si>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</si>
  <si>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</si>
  <si>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</si>
  <si>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</si>
  <si>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</si>
  <si>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</si>
  <si>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</si>
  <si>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</si>
  <si>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</si>
  <si>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</si>
  <si>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</si>
  <si>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</si>
  <si>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</si>
  <si>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</si>
  <si>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</si>
  <si>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</si>
  <si>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</si>
  <si>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</si>
  <si>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</si>
  <si>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</si>
  <si>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</si>
  <si>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</si>
  <si>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</si>
  <si>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</si>
  <si>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</si>
  <si>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</si>
  <si>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</si>
  <si>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</si>
  <si>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778+/-2, GPMDB4.6</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</si>
  <si>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</si>
  <si>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</si>
  <si>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</si>
  <si>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</si>
  <si>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</si>
  <si>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</si>
  <si>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</si>
  <si>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</si>
  <si>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</si>
  <si>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</si>
  <si>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</si>
  <si>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</si>
  <si>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</si>
  <si>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</si>
  <si>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</si>
  <si>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</si>
  <si>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</si>
  <si>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</si>
  <si>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</si>
  <si>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</si>
  <si>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</si>
  <si>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</si>
  <si>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</si>
  <si>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</si>
  <si>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</si>
  <si>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</si>
  <si>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</si>
  <si>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</si>
  <si>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</si>
  <si>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</si>
  <si>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</si>
  <si>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</si>
  <si>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</si>
  <si>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</si>
  <si>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</si>
  <si>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</si>
  <si>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</si>
  <si>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</si>
  <si>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</si>
  <si>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</si>
  <si>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</si>
  <si>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</si>
  <si>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</si>
  <si>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</si>
  <si>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</si>
  <si>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</si>
  <si>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</si>
  <si>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</si>
  <si>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</si>
  <si>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Can. J. Earth Sci.</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</si>
  <si>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</si>
  <si>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</si>
  <si>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</si>
  <si>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</si>
  <si>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</si>
  <si>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</si>
  <si>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</si>
  <si>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</si>
  <si>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</si>
  <si>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</si>
  <si>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</si>
  <si>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</si>
  <si>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</si>
  <si>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</si>
  <si>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</si>
  <si>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</si>
  <si>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</si>
  <si>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</si>
  <si>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</si>
  <si>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</si>
  <si>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</si>
  <si>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</si>
  <si>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</si>
  <si>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</si>
  <si>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</si>
  <si>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</si>
  <si>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</si>
  <si>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</si>
  <si>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</si>
  <si>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</si>
  <si>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</si>
  <si>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</si>
  <si>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</si>
  <si>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</si>
  <si>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</si>
  <si>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</si>
  <si>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</si>
  <si>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</si>
  <si>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</si>
  <si>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</si>
  <si>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</si>
  <si>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</si>
  <si>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</si>
  <si>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</si>
  <si>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</si>
  <si>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</si>
  <si>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</si>
  <si>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</si>
  <si>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</si>
  <si>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</si>
  <si>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</si>
  <si>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</si>
  <si>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</si>
  <si>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</si>
  <si>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</si>
  <si>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</si>
  <si>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</si>
  <si>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</si>
  <si>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</si>
  <si>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</si>
  <si>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</si>
  <si>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</si>
  <si>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</si>
  <si>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</si>
  <si>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</si>
  <si>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</si>
  <si>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</si>
  <si>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</si>
  <si>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</si>
  <si>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</si>
  <si>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</si>
  <si>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</si>
  <si>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</si>
  <si>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</si>
  <si>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</si>
  <si>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</si>
  <si>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</si>
  <si>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</si>
  <si>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</si>
  <si>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</si>
  <si>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</si>
  <si>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</si>
  <si>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</si>
  <si>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</si>
  <si>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</si>
  <si>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</si>
  <si>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</si>
  <si>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</si>
  <si>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</si>
  <si>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</si>
  <si>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</si>
  <si>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</si>
  <si>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</si>
  <si>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</si>
  <si>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</si>
  <si>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</si>
  <si>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</si>
  <si>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</si>
  <si>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</si>
  <si>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</si>
  <si>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</si>
  <si>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</si>
  <si>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</si>
  <si>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</si>
  <si>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</si>
  <si>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</si>
  <si>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</si>
  <si>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</si>
  <si>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</si>
  <si>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</si>
  <si>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</si>
  <si>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</si>
  <si>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</si>
  <si>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</si>
  <si>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</si>
  <si>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</si>
  <si>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</si>
  <si>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</si>
  <si>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</si>
  <si>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</si>
  <si>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</si>
  <si>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</si>
  <si>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</si>
  <si>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</si>
  <si>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</si>
  <si>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</si>
  <si>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</si>
  <si>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</si>
  <si>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</si>
  <si>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</si>
  <si>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</si>
  <si>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</si>
  <si>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</si>
  <si>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</si>
  <si>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</si>
  <si>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</si>
  <si>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</si>
  <si>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</si>
  <si>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</si>
  <si>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</si>
  <si>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</si>
  <si>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</si>
  <si>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</si>
  <si>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</si>
  <si>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</si>
  <si>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</si>
  <si>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</si>
  <si>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</si>
  <si>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</si>
  <si>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</si>
  <si>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</si>
  <si>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</si>
  <si>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</si>
  <si>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</si>
  <si>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</si>
  <si>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</si>
  <si>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</si>
  <si>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</si>
  <si>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</si>
  <si>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</si>
  <si>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</si>
  <si>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</si>
  <si>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</si>
  <si>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</si>
  <si>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</si>
  <si>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</si>
  <si>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</si>
  <si>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</si>
  <si>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</si>
  <si>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</si>
  <si>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</si>
  <si>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</si>
  <si>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</si>
  <si>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</si>
  <si>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</si>
  <si>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</si>
  <si>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</si>
  <si>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</si>
  <si>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</si>
  <si>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</si>
  <si>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</si>
  <si>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</si>
  <si>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</si>
  <si>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</si>
  <si>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</si>
  <si>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</si>
  <si>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</si>
  <si>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</si>
  <si>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</si>
  <si>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</si>
  <si>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</si>
  <si>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</si>
  <si>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</si>
  <si>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</si>
  <si>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</si>
  <si>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</si>
  <si>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</si>
  <si>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</si>
  <si>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</si>
  <si>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</si>
  <si>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</si>
  <si>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</si>
  <si>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</si>
  <si>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</si>
  <si>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</si>
  <si>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</si>
  <si>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</si>
  <si>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</si>
  <si>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</si>
  <si>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</si>
  <si>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</si>
  <si>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</si>
  <si>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</si>
  <si>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</si>
  <si>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</si>
  <si>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</si>
  <si>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</si>
  <si>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</si>
  <si>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</si>
  <si>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</si>
  <si>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</si>
  <si>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</si>
  <si>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</si>
  <si>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</si>
  <si>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</si>
  <si>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</si>
  <si>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</si>
  <si>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</si>
  <si>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</si>
  <si>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</si>
  <si>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</si>
  <si>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</si>
  <si>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</si>
  <si>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</si>
  <si>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</si>
  <si>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</si>
  <si>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</si>
  <si>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</si>
  <si>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</si>
  <si>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</si>
  <si>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</si>
  <si>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</si>
  <si>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</si>
  <si>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</si>
  <si>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</si>
  <si>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</si>
  <si>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</si>
  <si>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</si>
  <si>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</si>
  <si>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</si>
  <si>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</si>
  <si>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</si>
  <si>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</si>
  <si>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</si>
  <si>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</si>
  <si>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</si>
  <si>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</si>
  <si>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</si>
  <si>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</si>
  <si>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</si>
  <si>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</si>
  <si>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</si>
  <si>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</si>
  <si>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</si>
  <si>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</si>
  <si>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</si>
  <si>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</si>
  <si>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</si>
  <si>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</si>
  <si>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</si>
  <si>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</si>
  <si>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</si>
  <si>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</si>
  <si>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</si>
  <si>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</si>
  <si>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</si>
  <si>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</si>
  <si>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</si>
  <si>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</si>
  <si>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</si>
  <si>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\cite{Emslie1976a}</t>
  </si>
  <si>
    <t>\cite{Harlan2008a}</t>
  </si>
  <si>
    <t>3 studies (Electra Lake 8342, Laramie anorthosite 7493, Sherman 7494)</t>
  </si>
  <si>
    <t>\cite{Fahrig1976a}</t>
  </si>
  <si>
    <t>\cite{Swanson-Hysell2014a}</t>
  </si>
  <si>
    <t>\cite{Swanson-Hysell2014b}</t>
  </si>
  <si>
    <t>Agate Pt rhyolite 1105.15 ± 0.3 U-Pb, interbedded with Osler R sites associated with this pole (Swanson-Hysell et al. 2019)</t>
  </si>
  <si>
    <t>GSA Bulletin</t>
  </si>
  <si>
    <t>Swanson-Hysell, N. et al</t>
  </si>
  <si>
    <t>1085.67 ± 0.2 date in andesite, Fairchild et al. 2017</t>
  </si>
  <si>
    <t>\cite{Fairchild2017a}</t>
  </si>
  <si>
    <t>\cite{Weil2003a}</t>
  </si>
  <si>
    <t>\cite{Books1972a, Hnat2006a} as calculated in \cite{Swanson-Hysell2019a}</t>
  </si>
  <si>
    <t>\cite{Tauxe2009a,Swanson-Hysell2019a}</t>
  </si>
  <si>
    <t>\cite{Ernst1993a}</t>
  </si>
  <si>
    <t>\cite{Palmer1977a}</t>
  </si>
  <si>
    <t>\cite{Henry1977a}</t>
  </si>
  <si>
    <t>\cite{Warnock2000a}</t>
  </si>
  <si>
    <t>\cite{Murthy1992a}</t>
  </si>
  <si>
    <t>\cite{McCausland2011a}</t>
  </si>
  <si>
    <t>\cite{Symons1991a}</t>
  </si>
  <si>
    <t>\cite{Meert1994a}</t>
  </si>
  <si>
    <t>Halls, Hamilton and Denyszyn</t>
  </si>
  <si>
    <t>Dyke Swarms: Keys for Geodynamic Interpretation</t>
  </si>
  <si>
    <t>\cite{Halls2011a}</t>
  </si>
  <si>
    <t>\cite{Maloof2006a}</t>
  </si>
  <si>
    <t>add data from Swanson-Hysell et al. 2019</t>
  </si>
  <si>
    <t>update ages based on Swanson-Hysell et al. 2019</t>
  </si>
  <si>
    <t>update to correct reference</t>
  </si>
  <si>
    <t>updated pole based on calculation made in Swanson-Hysell et al. 2019</t>
  </si>
  <si>
    <t>Mean Seton/Akaitcho/Mara</t>
  </si>
  <si>
    <t>Mean Kahochella, Peacock Hills</t>
  </si>
  <si>
    <t>Torridon Group</t>
  </si>
  <si>
    <t>Stoer Group</t>
  </si>
  <si>
    <t>Gunbarrel dykes</t>
  </si>
  <si>
    <t xml:space="preserve">Haig/Flaherty/Sutton Mean </t>
  </si>
  <si>
    <t>8-unit mean of: Inspiration sills, Pillar Lake lava, Seagull intrusion (Borradaile+06), Nipigon sills (Middleton+04), Logan sills R x3 (Pesonen 79, Robertson+Fahrig 71, Palmer 70), Thunder Bay R dykes (Pesonen 79)</t>
  </si>
  <si>
    <t>Nordic workshop calculation based on data of \cite{Palmer1970a, Robertson1971a, Pesonen1979a, Pesonen1979b, Middleton2004a, Borradaile2006a}</t>
  </si>
  <si>
    <t>Nordic workshop calculation based on data of \cite{Harlan1994a,Harlan1998a}</t>
  </si>
  <si>
    <t>Nordic workshop calculation based on data of \cite{Schmidt1980a, Schwarz1982a}</t>
  </si>
  <si>
    <t>\cite{Halls1974a, Swanson-Hysell2014b, Swanson-Hysell2019a}</t>
  </si>
  <si>
    <t>Ontario lamprophyre dykes</t>
  </si>
  <si>
    <t>baked contact test, reversal test</t>
  </si>
  <si>
    <t>1143 ± 12 U-Pb perovskite, 1145 + 15/_x0001_10 U-Pb perovskite, 1141 ± 9 U-Pb perovskite, 1144 ± 7 40Ar/39Ar phlogopite dates in Queen et al. (1996)</t>
  </si>
  <si>
    <t>Piispa et al</t>
  </si>
  <si>
    <t>\cite{Piispa2018a}</t>
  </si>
  <si>
    <t>newly added (we should discuss rating — I think that 'A' makes sense given field tests, Q of 7 rating, and context although ages are a bit tricky)</t>
  </si>
  <si>
    <t>\cite{Piper1992a}</t>
  </si>
  <si>
    <t>\cite{Piper1977b}</t>
  </si>
  <si>
    <t>\cite{Piper1977a}</t>
  </si>
  <si>
    <t>\cite{Fahrig1976b}</t>
  </si>
  <si>
    <t>Nordic workshop calculation</t>
  </si>
  <si>
    <t>\cite{Marcussen1983a}</t>
  </si>
  <si>
    <t>\cite{Abrahamsen1987a}</t>
  </si>
  <si>
    <t>Matachewan dykes R</t>
  </si>
  <si>
    <t>Matachewan dykes N</t>
  </si>
  <si>
    <t>Senneterre dykes</t>
  </si>
  <si>
    <t>Otto Stock dykes and aureole</t>
  </si>
  <si>
    <t>Nipissing N1 sills</t>
  </si>
  <si>
    <t>Biscotasing dykes</t>
  </si>
  <si>
    <t>Lac Esprit dykes</t>
  </si>
  <si>
    <t>Minto dykes</t>
  </si>
  <si>
    <t>Marathon dykes N</t>
  </si>
  <si>
    <t>Marathon dykes R</t>
  </si>
  <si>
    <t>Fort Frances dykes</t>
  </si>
  <si>
    <t>Molson (B+C2) dykes</t>
  </si>
  <si>
    <t>Ptarmigan-Mistassini dykes</t>
  </si>
  <si>
    <t>Cauchon Lake dykes</t>
  </si>
  <si>
    <t>Rifle Formation</t>
  </si>
  <si>
    <t>Pearson A/Peninsular/Kilohigok sills</t>
  </si>
  <si>
    <t>Michikamau Intrusion</t>
  </si>
  <si>
    <t>Tobacco Root dykes</t>
  </si>
  <si>
    <t>Rocky Mountain intrusions</t>
  </si>
  <si>
    <t>Nipigon sills and lavas</t>
  </si>
  <si>
    <t>Sept-Iles layered intrusion</t>
  </si>
  <si>
    <t>North Qoroq intrusives</t>
  </si>
  <si>
    <t>NE-SW Trending dykes</t>
  </si>
  <si>
    <t>\cite{Tanczyk1987a}</t>
  </si>
  <si>
    <t>\cite{Kulakov2013a}</t>
  </si>
  <si>
    <t>\cite{Irving1979a}</t>
  </si>
  <si>
    <t>\cite{Murthy1978a}</t>
  </si>
  <si>
    <t>\cite{Kean1997a}</t>
  </si>
  <si>
    <t>\cite{Elston2002a}</t>
  </si>
  <si>
    <t>\cite{Irving2004a}</t>
  </si>
  <si>
    <t>\cite{Irving1972a}</t>
  </si>
  <si>
    <t>\cite{Park1973a}</t>
  </si>
  <si>
    <t>\cite{Donadini2011b}</t>
  </si>
  <si>
    <t>\cite{Kilian2016b}</t>
  </si>
  <si>
    <t>\cite{Weil2006b}</t>
  </si>
  <si>
    <t>INCf</t>
  </si>
  <si>
    <t>PLATf</t>
  </si>
  <si>
    <t>PLONf</t>
  </si>
  <si>
    <t>DPf</t>
  </si>
  <si>
    <t>DMf</t>
  </si>
  <si>
    <t>A95f</t>
  </si>
  <si>
    <t>f</t>
  </si>
  <si>
    <t>Carbon Butte/Awatubi</t>
  </si>
  <si>
    <t>NR</t>
  </si>
  <si>
    <t>751.0 ± 7.6 Re-Os( Rooney et al., 2017) </t>
  </si>
  <si>
    <t>\cite{Eyster2019a}</t>
  </si>
  <si>
    <t>Carbon Canyon</t>
  </si>
  <si>
    <t xml:space="preserve">added </t>
  </si>
  <si>
    <t>updated age</t>
  </si>
  <si>
    <t>&lt;766 +/- 4 based on DZ in Dehler et al. 2010</t>
  </si>
  <si>
    <t>Calculation from \cite{Eyster2019a} based on data of \cite{Harlan1993a, Harlan1997a}</t>
  </si>
  <si>
    <t>updated pole and removed Tsezotene sills following Eysther2019a</t>
  </si>
  <si>
    <t>Adirondack metamorphic
anorthosites</t>
  </si>
  <si>
    <t>Adirondack fayalite granite</t>
  </si>
  <si>
    <t>Adirondack Microcline gneiss</t>
  </si>
  <si>
    <t>\cite{Brown2012a}</t>
  </si>
  <si>
    <t>cooling age estimate</t>
  </si>
  <si>
    <t>\cite{Denyszyn2009b}</t>
  </si>
  <si>
    <t>\cite{Weil2004a} as calculated in \cite{Eyster2019a}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</si>
</sst>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20"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
      <sz val="9"/>
      <color rgb="FFFF0000"/>
      <name val="Helvetica"/>
      <family val="2"/>
    </font>
    <font>
      <sz val="10"/>
      <color theme="5" tint="-0.249977111117893"/>
      <name val="Verdana"/>
      <family val="2"/>
    </font>
    <font>
      <b/>
      <sz val="10"/>
      <color theme="5" tint="-0.249977111117893"/>
      <name val="Verdana"/>
    </font>
    <font>
      <sz val="7"/>
      <name val="Helvetic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72">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xf numFmtId="0" fontId="16" fillId="0" borderId="0" xfId="0" applyFont="1"/>
    <xf numFmtId="164" fontId="5" fillId="0" borderId="0" xfId="0" applyNumberFormat="1" applyFont="1" applyAlignment="1">
      <alignment horizontal="center"/>
    </xf>
    <xf numFmtId="164" fontId="17" fillId="0" borderId="0" xfId="0" applyNumberFormat="1" applyFont="1" applyAlignment="1">
      <alignment horizontal="center" vertical="center"/>
    </xf>
    <xf numFmtId="164" fontId="5" fillId="3" borderId="0" xfId="0" applyNumberFormat="1" applyFont="1" applyFill="1" applyAlignment="1">
      <alignment horizontal="center" vertical="center"/>
    </xf>
    <xf numFmtId="164" fontId="18" fillId="0" borderId="0" xfId="0" applyNumberFormat="1" applyFont="1" applyFill="1" applyAlignment="1">
      <alignment horizontal="center" vertical="center"/>
    </xf>
    <xf numFmtId="0" fontId="19" fillId="0" borderId="0" xfId="0" applyFont="1"/>
    <xf numFmtId="1" fontId="6" fillId="0" borderId="0" xfId="0" applyNumberFormat="1" applyFont="1" applyAlignment="1">
      <alignment vertical="top" wrapText="1"/>
    </xf>
    <xf numFmtId="1" fontId="15" fillId="0" borderId="0" xfId="0" applyNumberFormat="1" applyFont="1" applyFill="1" applyAlignment="1">
      <alignment horizontal="center" vertical="center"/>
    </xf>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D107"/>
  <sheetViews>
    <sheetView tabSelected="1" workbookViewId="0">
      <pane xSplit="2" ySplit="1" topLeftCell="C88" activePane="bottomRight" state="frozen"/>
      <selection pane="topRight" activeCell="C1" sqref="C1"/>
      <selection pane="bottomLeft" activeCell="A2" sqref="A2"/>
      <selection pane="bottomRight" activeCell="U93" sqref="U93"/>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3" width="5.33203125" style="5" customWidth="1"/>
    <col min="24" max="24" width="6.5" style="5" customWidth="1"/>
    <col min="25" max="27" width="5.33203125" style="5" customWidth="1"/>
    <col min="28" max="28" width="6.6640625" style="8" customWidth="1"/>
    <col min="29" max="29" width="6" style="8" customWidth="1"/>
    <col min="30" max="39" width="3.6640625" style="23" customWidth="1"/>
    <col min="40" max="40" width="4.5" style="23" customWidth="1"/>
    <col min="41" max="41" width="6.33203125" style="23" customWidth="1"/>
    <col min="42" max="42" width="11.1640625" style="8" customWidth="1"/>
    <col min="43" max="43" width="8.33203125" style="8" customWidth="1"/>
    <col min="44" max="44" width="8.5" style="8" customWidth="1"/>
    <col min="45" max="45" width="26.6640625" style="41" customWidth="1"/>
    <col min="46" max="46" width="23.5" style="25" customWidth="1"/>
    <col min="47" max="47" width="16" style="25" customWidth="1"/>
    <col min="48" max="48" width="6.6640625" style="8" customWidth="1"/>
    <col min="49" max="49" width="15.5" style="25" customWidth="1"/>
    <col min="50" max="50" width="7.6640625" style="8" customWidth="1"/>
    <col min="51" max="51" width="12.33203125" style="42" customWidth="1"/>
    <col min="52" max="52" width="35.6640625" style="157" customWidth="1"/>
    <col min="53" max="53" width="17.6640625" style="146" customWidth="1"/>
    <col min="54" max="54" width="23.5" style="31" customWidth="1"/>
    <col min="55" max="55" width="19" style="31" customWidth="1"/>
    <col min="56" max="16384" width="25.33203125" style="31"/>
  </cols>
  <sheetData>
    <row r="1" spans="1:56"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68" t="s">
        <v>677</v>
      </c>
      <c r="V1" s="168" t="s">
        <v>671</v>
      </c>
      <c r="W1" s="168" t="s">
        <v>672</v>
      </c>
      <c r="X1" s="168" t="s">
        <v>673</v>
      </c>
      <c r="Y1" s="168" t="s">
        <v>674</v>
      </c>
      <c r="Z1" s="168" t="s">
        <v>675</v>
      </c>
      <c r="AA1" s="168" t="s">
        <v>676</v>
      </c>
      <c r="AB1" s="19" t="s">
        <v>10</v>
      </c>
      <c r="AC1" s="19" t="s">
        <v>20</v>
      </c>
      <c r="AD1" s="22">
        <v>40</v>
      </c>
      <c r="AE1" s="23">
        <v>24</v>
      </c>
      <c r="AF1" s="23">
        <v>10</v>
      </c>
      <c r="AG1" s="23">
        <v>16</v>
      </c>
      <c r="AH1" s="22">
        <v>2</v>
      </c>
      <c r="AI1" s="22">
        <v>3</v>
      </c>
      <c r="AJ1" s="22">
        <v>4</v>
      </c>
      <c r="AK1" s="22">
        <v>5</v>
      </c>
      <c r="AL1" s="22">
        <v>6</v>
      </c>
      <c r="AM1" s="58">
        <v>7</v>
      </c>
      <c r="AN1" s="58" t="s">
        <v>52</v>
      </c>
      <c r="AO1" s="22" t="s">
        <v>72</v>
      </c>
      <c r="AP1" s="19" t="s">
        <v>45</v>
      </c>
      <c r="AQ1" s="19" t="s">
        <v>50</v>
      </c>
      <c r="AR1" s="19" t="s">
        <v>51</v>
      </c>
      <c r="AS1" s="20" t="s">
        <v>46</v>
      </c>
      <c r="AT1" s="18" t="s">
        <v>31</v>
      </c>
      <c r="AU1" s="18" t="s">
        <v>546</v>
      </c>
      <c r="AV1" s="19" t="s">
        <v>24</v>
      </c>
      <c r="AW1" s="18" t="s">
        <v>25</v>
      </c>
      <c r="AX1" s="19" t="s">
        <v>26</v>
      </c>
      <c r="AY1" s="20" t="s">
        <v>21</v>
      </c>
      <c r="AZ1" s="140" t="s">
        <v>22</v>
      </c>
      <c r="BA1" s="140" t="s">
        <v>547</v>
      </c>
      <c r="BB1" s="19" t="s">
        <v>548</v>
      </c>
      <c r="BC1" s="18" t="s">
        <v>549</v>
      </c>
      <c r="BD1" s="24" t="s">
        <v>563</v>
      </c>
    </row>
    <row r="2" spans="1:56" s="108" customFormat="1" ht="42" x14ac:dyDescent="0.15">
      <c r="A2" s="47" t="s">
        <v>522</v>
      </c>
      <c r="B2" s="112" t="s">
        <v>523</v>
      </c>
      <c r="C2" s="23" t="s">
        <v>120</v>
      </c>
      <c r="D2" s="77"/>
      <c r="E2" s="77"/>
      <c r="F2" s="136"/>
      <c r="G2" s="71">
        <v>45.2</v>
      </c>
      <c r="H2" s="71">
        <v>249.2</v>
      </c>
      <c r="I2" s="136"/>
      <c r="J2" s="65">
        <v>74</v>
      </c>
      <c r="K2" s="71">
        <v>171</v>
      </c>
      <c r="L2" s="71">
        <v>-63</v>
      </c>
      <c r="M2" s="71">
        <f t="shared" ref="M2:M13" si="0">ABS(L2)</f>
        <v>63</v>
      </c>
      <c r="N2" s="71">
        <v>32</v>
      </c>
      <c r="O2" s="71">
        <v>2.9</v>
      </c>
      <c r="P2" s="73">
        <v>-83.6</v>
      </c>
      <c r="Q2" s="73">
        <v>335.8</v>
      </c>
      <c r="R2" s="71">
        <f>2*O2/(1+3*(COS(RADIANS(L2)))^2)</f>
        <v>3.5839589181444294</v>
      </c>
      <c r="S2" s="71">
        <f>O2*SIN(RADIANS(DEGREES(ATAN(2/TAN(RADIANS(ABS(L2)))))))/COS(RADIANS(L2))</f>
        <v>4.5592720608928019</v>
      </c>
      <c r="T2" s="71">
        <f t="shared" ref="T2:T12" si="1">SQRT(R2*S2)</f>
        <v>4.0423067378519768</v>
      </c>
      <c r="U2" s="63">
        <v>1</v>
      </c>
      <c r="V2" s="71">
        <v>-63</v>
      </c>
      <c r="W2" s="73">
        <v>-83.6</v>
      </c>
      <c r="X2" s="73">
        <v>335.8</v>
      </c>
      <c r="Y2" s="71">
        <v>3.6</v>
      </c>
      <c r="Z2" s="71">
        <v>4.5999999999999996</v>
      </c>
      <c r="AA2" s="71">
        <f t="shared" ref="AA2:AA12" si="2">SQRT(Y2*Z2)</f>
        <v>4.0693979898751609</v>
      </c>
      <c r="AB2" s="65">
        <v>100</v>
      </c>
      <c r="AC2" s="65">
        <v>4</v>
      </c>
      <c r="AD2" s="74">
        <f t="shared" ref="AD2:AD33" si="3">IF(((AR2-AQ2)/2)&gt;MIN($AD$1,((AR2+AQ2)/2)*$AD$1/1000),0,1)</f>
        <v>1</v>
      </c>
      <c r="AE2" s="75">
        <f t="shared" ref="AE2:AE33" si="4">IF(J2&gt;$AE$1,1,0)</f>
        <v>1</v>
      </c>
      <c r="AF2" s="75">
        <f t="shared" ref="AF2:AF33" si="5">IF(N2&gt;($AF$1-0.001),1,0)</f>
        <v>1</v>
      </c>
      <c r="AG2" s="75">
        <f t="shared" ref="AG2:AG33" si="6">IF(O2&lt;($AG$1+0.001),1,0)</f>
        <v>1</v>
      </c>
      <c r="AH2" s="66">
        <f t="shared" ref="AH2:AH13" si="7">AE2*AF2*AG2</f>
        <v>1</v>
      </c>
      <c r="AI2" s="66">
        <v>1</v>
      </c>
      <c r="AJ2" s="66">
        <v>0</v>
      </c>
      <c r="AK2" s="66">
        <v>1</v>
      </c>
      <c r="AL2" s="66">
        <f>IF(OR(AB2="0or100",AB2=0,AB2=100),0,1)</f>
        <v>0</v>
      </c>
      <c r="AM2" s="2">
        <v>0</v>
      </c>
      <c r="AN2" s="6">
        <f t="shared" ref="AN2:AN33" si="8">AD2+SUM(AH2:AM2)</f>
        <v>4</v>
      </c>
      <c r="AO2" s="66" t="s">
        <v>66</v>
      </c>
      <c r="AP2" s="14">
        <f t="shared" ref="AP2:AP12" si="9">AVERAGE(AQ2:AR2)</f>
        <v>2705</v>
      </c>
      <c r="AQ2" s="66">
        <v>2701</v>
      </c>
      <c r="AR2" s="66">
        <v>2709</v>
      </c>
      <c r="AS2" s="87" t="s">
        <v>524</v>
      </c>
      <c r="AT2" s="77" t="s">
        <v>523</v>
      </c>
      <c r="AU2" s="93" t="s">
        <v>525</v>
      </c>
      <c r="AV2" s="66">
        <v>2008</v>
      </c>
      <c r="AW2" s="93" t="s">
        <v>526</v>
      </c>
      <c r="AX2" s="65">
        <v>9</v>
      </c>
      <c r="AY2" s="97" t="s">
        <v>527</v>
      </c>
      <c r="AZ2" s="150" t="s">
        <v>528</v>
      </c>
      <c r="BA2" s="142" t="s">
        <v>529</v>
      </c>
      <c r="BB2" s="162" t="s">
        <v>555</v>
      </c>
      <c r="BC2" s="33"/>
      <c r="BD2" s="33"/>
    </row>
    <row r="3" spans="1:56" s="105" customFormat="1" ht="56" x14ac:dyDescent="0.15">
      <c r="A3" s="47" t="s">
        <v>440</v>
      </c>
      <c r="B3" s="109" t="s">
        <v>639</v>
      </c>
      <c r="C3" s="38">
        <v>2629</v>
      </c>
      <c r="D3" s="69" t="s">
        <v>442</v>
      </c>
      <c r="E3" s="69" t="s">
        <v>443</v>
      </c>
      <c r="F3" s="68">
        <v>0</v>
      </c>
      <c r="G3" s="70">
        <v>48</v>
      </c>
      <c r="H3" s="70">
        <v>279.90000199999997</v>
      </c>
      <c r="I3" s="68">
        <v>18</v>
      </c>
      <c r="J3" s="68">
        <v>84</v>
      </c>
      <c r="K3" s="71">
        <v>330</v>
      </c>
      <c r="L3" s="70">
        <v>71</v>
      </c>
      <c r="M3" s="70">
        <f t="shared" si="0"/>
        <v>71</v>
      </c>
      <c r="N3" s="70">
        <v>139</v>
      </c>
      <c r="O3" s="70">
        <v>3</v>
      </c>
      <c r="P3" s="72">
        <v>69</v>
      </c>
      <c r="Q3" s="73">
        <v>227</v>
      </c>
      <c r="R3" s="70">
        <v>4.5</v>
      </c>
      <c r="S3" s="70">
        <v>5.2</v>
      </c>
      <c r="T3" s="70">
        <f t="shared" si="1"/>
        <v>4.8373546489791304</v>
      </c>
      <c r="U3" s="101">
        <v>1</v>
      </c>
      <c r="V3" s="70">
        <v>71</v>
      </c>
      <c r="W3" s="72">
        <v>69</v>
      </c>
      <c r="X3" s="73">
        <v>227</v>
      </c>
      <c r="Y3" s="70">
        <v>4.5</v>
      </c>
      <c r="Z3" s="70">
        <v>5.2</v>
      </c>
      <c r="AA3" s="70">
        <f t="shared" si="2"/>
        <v>4.8373546489791304</v>
      </c>
      <c r="AB3" s="68" t="s">
        <v>444</v>
      </c>
      <c r="AC3" s="68">
        <v>3</v>
      </c>
      <c r="AD3" s="74">
        <f t="shared" si="3"/>
        <v>1</v>
      </c>
      <c r="AE3" s="75">
        <f t="shared" si="4"/>
        <v>1</v>
      </c>
      <c r="AF3" s="75">
        <f t="shared" si="5"/>
        <v>1</v>
      </c>
      <c r="AG3" s="75">
        <f t="shared" si="6"/>
        <v>1</v>
      </c>
      <c r="AH3" s="66">
        <f t="shared" si="7"/>
        <v>1</v>
      </c>
      <c r="AI3" s="66">
        <v>1</v>
      </c>
      <c r="AJ3" s="66">
        <v>1</v>
      </c>
      <c r="AK3" s="76">
        <v>1</v>
      </c>
      <c r="AL3" s="66">
        <f>IF(OR(AB3="0or100",AB3=0,AB3=100),0,1)</f>
        <v>1</v>
      </c>
      <c r="AM3" s="2">
        <v>0</v>
      </c>
      <c r="AN3" s="6">
        <f t="shared" si="8"/>
        <v>6</v>
      </c>
      <c r="AO3" s="66" t="s">
        <v>70</v>
      </c>
      <c r="AP3" s="14">
        <f t="shared" si="9"/>
        <v>2676</v>
      </c>
      <c r="AQ3" s="66">
        <v>2671</v>
      </c>
      <c r="AR3" s="66">
        <v>2681</v>
      </c>
      <c r="AS3" s="79" t="s">
        <v>445</v>
      </c>
      <c r="AT3" s="67" t="s">
        <v>441</v>
      </c>
      <c r="AU3" s="78" t="s">
        <v>446</v>
      </c>
      <c r="AV3" s="66">
        <v>1975</v>
      </c>
      <c r="AW3" s="78" t="s">
        <v>93</v>
      </c>
      <c r="AX3" s="66" t="s">
        <v>447</v>
      </c>
      <c r="AY3" s="79" t="s">
        <v>448</v>
      </c>
      <c r="AZ3" s="147" t="s">
        <v>449</v>
      </c>
      <c r="BA3" s="141" t="s">
        <v>450</v>
      </c>
      <c r="BB3" s="160" t="s">
        <v>558</v>
      </c>
      <c r="BC3" s="108"/>
      <c r="BD3" s="108"/>
    </row>
    <row r="4" spans="1:56" s="108" customFormat="1" ht="42" x14ac:dyDescent="0.15">
      <c r="A4" s="47" t="s">
        <v>383</v>
      </c>
      <c r="B4" s="116" t="s">
        <v>384</v>
      </c>
      <c r="C4" s="34" t="s">
        <v>34</v>
      </c>
      <c r="D4" s="35"/>
      <c r="E4" s="33" t="s">
        <v>41</v>
      </c>
      <c r="F4" s="34">
        <v>0</v>
      </c>
      <c r="G4" s="34">
        <v>62.5</v>
      </c>
      <c r="H4" s="34">
        <v>245.5</v>
      </c>
      <c r="I4" s="34">
        <v>5</v>
      </c>
      <c r="J4" s="34">
        <v>58</v>
      </c>
      <c r="K4" s="34">
        <v>2</v>
      </c>
      <c r="L4" s="34">
        <v>-47</v>
      </c>
      <c r="M4" s="34">
        <f t="shared" si="0"/>
        <v>47</v>
      </c>
      <c r="N4" s="34">
        <v>30</v>
      </c>
      <c r="O4" s="34">
        <v>14</v>
      </c>
      <c r="P4" s="34">
        <v>-1</v>
      </c>
      <c r="Q4" s="34">
        <v>64</v>
      </c>
      <c r="R4" s="34">
        <v>15</v>
      </c>
      <c r="S4" s="34">
        <v>15</v>
      </c>
      <c r="T4" s="34">
        <f t="shared" si="1"/>
        <v>15</v>
      </c>
      <c r="U4" s="165">
        <v>1</v>
      </c>
      <c r="V4" s="34">
        <v>-47</v>
      </c>
      <c r="W4" s="34">
        <v>-1</v>
      </c>
      <c r="X4" s="34">
        <v>64</v>
      </c>
      <c r="Y4" s="34">
        <v>15</v>
      </c>
      <c r="Z4" s="34">
        <v>15</v>
      </c>
      <c r="AA4" s="34">
        <f t="shared" si="2"/>
        <v>15</v>
      </c>
      <c r="AB4" s="34">
        <v>0</v>
      </c>
      <c r="AC4" s="34">
        <v>4</v>
      </c>
      <c r="AD4" s="6">
        <f t="shared" si="3"/>
        <v>1</v>
      </c>
      <c r="AE4" s="7">
        <f t="shared" si="4"/>
        <v>1</v>
      </c>
      <c r="AF4" s="7">
        <f t="shared" si="5"/>
        <v>1</v>
      </c>
      <c r="AG4" s="7">
        <f t="shared" si="6"/>
        <v>1</v>
      </c>
      <c r="AH4" s="8">
        <f t="shared" si="7"/>
        <v>1</v>
      </c>
      <c r="AI4" s="36">
        <v>1</v>
      </c>
      <c r="AJ4" s="8">
        <v>1</v>
      </c>
      <c r="AK4" s="36">
        <v>1</v>
      </c>
      <c r="AL4" s="8">
        <v>0</v>
      </c>
      <c r="AM4" s="2">
        <v>0</v>
      </c>
      <c r="AN4" s="6">
        <f t="shared" si="8"/>
        <v>5</v>
      </c>
      <c r="AO4" s="15" t="s">
        <v>8</v>
      </c>
      <c r="AP4" s="14">
        <f t="shared" si="9"/>
        <v>2625</v>
      </c>
      <c r="AQ4" s="34">
        <v>2620</v>
      </c>
      <c r="AR4" s="34">
        <v>2630</v>
      </c>
      <c r="AS4" s="33" t="s">
        <v>385</v>
      </c>
      <c r="AT4" s="33" t="s">
        <v>384</v>
      </c>
      <c r="AU4" s="33" t="s">
        <v>386</v>
      </c>
      <c r="AV4" s="8">
        <v>2014</v>
      </c>
      <c r="AW4" s="33" t="s">
        <v>43</v>
      </c>
      <c r="AX4" s="34">
        <v>314</v>
      </c>
      <c r="AY4" s="35" t="s">
        <v>387</v>
      </c>
      <c r="AZ4" s="154" t="s">
        <v>388</v>
      </c>
      <c r="BA4" s="141"/>
      <c r="BB4" s="32" t="s">
        <v>569</v>
      </c>
      <c r="BC4" s="32" t="s">
        <v>570</v>
      </c>
      <c r="BD4" s="28"/>
    </row>
    <row r="5" spans="1:56" s="108" customFormat="1" ht="28" x14ac:dyDescent="0.15">
      <c r="A5" s="47" t="s">
        <v>440</v>
      </c>
      <c r="B5" s="109" t="s">
        <v>648</v>
      </c>
      <c r="C5" s="38" t="s">
        <v>65</v>
      </c>
      <c r="D5" s="69"/>
      <c r="E5" s="69"/>
      <c r="F5" s="68">
        <v>0</v>
      </c>
      <c r="G5" s="70">
        <v>54</v>
      </c>
      <c r="H5" s="70">
        <v>287</v>
      </c>
      <c r="I5" s="68">
        <v>3</v>
      </c>
      <c r="J5" s="68">
        <v>18</v>
      </c>
      <c r="K5" s="71">
        <v>49.6</v>
      </c>
      <c r="L5" s="70">
        <v>46.1</v>
      </c>
      <c r="M5" s="70">
        <f t="shared" si="0"/>
        <v>46.1</v>
      </c>
      <c r="N5" s="80">
        <v>0.1</v>
      </c>
      <c r="O5" s="80">
        <v>1000</v>
      </c>
      <c r="P5" s="72">
        <v>-45.3</v>
      </c>
      <c r="Q5" s="73">
        <v>213</v>
      </c>
      <c r="R5" s="70">
        <v>13.8</v>
      </c>
      <c r="S5" s="70">
        <v>13.8</v>
      </c>
      <c r="T5" s="70">
        <f t="shared" si="1"/>
        <v>13.8</v>
      </c>
      <c r="U5" s="101">
        <v>1</v>
      </c>
      <c r="V5" s="70">
        <v>46.1</v>
      </c>
      <c r="W5" s="72">
        <v>-45.3</v>
      </c>
      <c r="X5" s="73">
        <v>213</v>
      </c>
      <c r="Y5" s="70">
        <v>13.8</v>
      </c>
      <c r="Z5" s="70">
        <v>13.8</v>
      </c>
      <c r="AA5" s="70">
        <f t="shared" si="2"/>
        <v>13.8</v>
      </c>
      <c r="AB5" s="68" t="s">
        <v>148</v>
      </c>
      <c r="AC5" s="68">
        <v>3</v>
      </c>
      <c r="AD5" s="74">
        <f t="shared" si="3"/>
        <v>1</v>
      </c>
      <c r="AE5" s="75">
        <f t="shared" si="4"/>
        <v>0</v>
      </c>
      <c r="AF5" s="75">
        <f t="shared" si="5"/>
        <v>0</v>
      </c>
      <c r="AG5" s="75">
        <f t="shared" si="6"/>
        <v>0</v>
      </c>
      <c r="AH5" s="66">
        <f t="shared" si="7"/>
        <v>0</v>
      </c>
      <c r="AI5" s="66">
        <v>1</v>
      </c>
      <c r="AJ5" s="66">
        <v>0</v>
      </c>
      <c r="AK5" s="76">
        <v>1</v>
      </c>
      <c r="AL5" s="66">
        <v>0</v>
      </c>
      <c r="AM5" s="2">
        <v>1</v>
      </c>
      <c r="AN5" s="6">
        <f t="shared" si="8"/>
        <v>4</v>
      </c>
      <c r="AO5" s="66" t="s">
        <v>70</v>
      </c>
      <c r="AP5" s="14">
        <f t="shared" si="9"/>
        <v>2505</v>
      </c>
      <c r="AQ5" s="66">
        <v>2503</v>
      </c>
      <c r="AR5" s="66">
        <v>2507</v>
      </c>
      <c r="AS5" s="79" t="s">
        <v>451</v>
      </c>
      <c r="AT5" s="67" t="s">
        <v>452</v>
      </c>
      <c r="AU5" s="78" t="s">
        <v>453</v>
      </c>
      <c r="AV5" s="66">
        <v>2010</v>
      </c>
      <c r="AW5" s="78" t="s">
        <v>1</v>
      </c>
      <c r="AX5" s="66">
        <v>183</v>
      </c>
      <c r="AY5" s="79" t="s">
        <v>454</v>
      </c>
      <c r="AZ5" s="147" t="s">
        <v>455</v>
      </c>
      <c r="BA5" s="126"/>
      <c r="BB5" s="161" t="s">
        <v>556</v>
      </c>
      <c r="BC5" s="105"/>
      <c r="BD5" s="105"/>
    </row>
    <row r="6" spans="1:56" s="108" customFormat="1" ht="28" x14ac:dyDescent="0.15">
      <c r="A6" s="47" t="s">
        <v>440</v>
      </c>
      <c r="B6" s="109" t="s">
        <v>636</v>
      </c>
      <c r="C6" s="38" t="s">
        <v>65</v>
      </c>
      <c r="D6" s="69"/>
      <c r="E6" s="69" t="s">
        <v>147</v>
      </c>
      <c r="F6" s="68">
        <v>0</v>
      </c>
      <c r="G6" s="70">
        <v>48</v>
      </c>
      <c r="H6" s="70">
        <v>278</v>
      </c>
      <c r="I6" s="106"/>
      <c r="J6" s="80">
        <v>1000</v>
      </c>
      <c r="K6" s="71">
        <v>207.6</v>
      </c>
      <c r="L6" s="70">
        <v>-16.600000000000001</v>
      </c>
      <c r="M6" s="70">
        <f t="shared" si="0"/>
        <v>16.600000000000001</v>
      </c>
      <c r="N6" s="80">
        <v>1000</v>
      </c>
      <c r="O6" s="80">
        <v>0.1</v>
      </c>
      <c r="P6" s="72">
        <v>-44.1</v>
      </c>
      <c r="Q6" s="73">
        <v>238.3</v>
      </c>
      <c r="R6" s="70">
        <v>1.6</v>
      </c>
      <c r="S6" s="70">
        <v>1.6</v>
      </c>
      <c r="T6" s="70">
        <f t="shared" si="1"/>
        <v>1.6</v>
      </c>
      <c r="U6" s="101">
        <v>1</v>
      </c>
      <c r="V6" s="70">
        <v>-16.600000000000001</v>
      </c>
      <c r="W6" s="72">
        <v>-44.1</v>
      </c>
      <c r="X6" s="73">
        <v>238.3</v>
      </c>
      <c r="Y6" s="70">
        <v>1.6</v>
      </c>
      <c r="Z6" s="70">
        <v>1.6</v>
      </c>
      <c r="AA6" s="70">
        <f t="shared" si="2"/>
        <v>1.6</v>
      </c>
      <c r="AB6" s="68" t="s">
        <v>148</v>
      </c>
      <c r="AC6" s="68">
        <v>4</v>
      </c>
      <c r="AD6" s="74">
        <f t="shared" si="3"/>
        <v>1</v>
      </c>
      <c r="AE6" s="75">
        <f t="shared" si="4"/>
        <v>1</v>
      </c>
      <c r="AF6" s="75">
        <f t="shared" si="5"/>
        <v>1</v>
      </c>
      <c r="AG6" s="75">
        <f t="shared" si="6"/>
        <v>1</v>
      </c>
      <c r="AH6" s="66">
        <f t="shared" si="7"/>
        <v>1</v>
      </c>
      <c r="AI6" s="66">
        <v>1</v>
      </c>
      <c r="AJ6" s="66">
        <v>1</v>
      </c>
      <c r="AK6" s="76">
        <v>1</v>
      </c>
      <c r="AL6" s="66">
        <v>0</v>
      </c>
      <c r="AM6" s="2">
        <v>1</v>
      </c>
      <c r="AN6" s="6">
        <f t="shared" si="8"/>
        <v>6</v>
      </c>
      <c r="AO6" s="66" t="s">
        <v>66</v>
      </c>
      <c r="AP6" s="14">
        <f t="shared" si="9"/>
        <v>2466</v>
      </c>
      <c r="AQ6" s="66">
        <v>2443</v>
      </c>
      <c r="AR6" s="66">
        <v>2489</v>
      </c>
      <c r="AS6" s="79" t="s">
        <v>457</v>
      </c>
      <c r="AT6" s="67" t="s">
        <v>456</v>
      </c>
      <c r="AU6" s="78" t="s">
        <v>453</v>
      </c>
      <c r="AV6" s="66">
        <v>2010</v>
      </c>
      <c r="AW6" s="78" t="s">
        <v>68</v>
      </c>
      <c r="AX6" s="66">
        <v>183</v>
      </c>
      <c r="AY6" s="79" t="s">
        <v>454</v>
      </c>
      <c r="AZ6" s="147" t="s">
        <v>455</v>
      </c>
      <c r="BA6" s="141"/>
      <c r="BB6" s="161" t="s">
        <v>556</v>
      </c>
    </row>
    <row r="7" spans="1:56" s="108" customFormat="1" ht="28" x14ac:dyDescent="0.15">
      <c r="A7" s="47" t="s">
        <v>440</v>
      </c>
      <c r="B7" s="109" t="s">
        <v>637</v>
      </c>
      <c r="C7" s="38" t="s">
        <v>65</v>
      </c>
      <c r="D7" s="69"/>
      <c r="E7" s="69" t="s">
        <v>147</v>
      </c>
      <c r="F7" s="68">
        <v>0</v>
      </c>
      <c r="G7" s="70">
        <v>48</v>
      </c>
      <c r="H7" s="70">
        <v>278</v>
      </c>
      <c r="I7" s="106"/>
      <c r="J7" s="80">
        <v>1000</v>
      </c>
      <c r="K7" s="71">
        <v>23.3</v>
      </c>
      <c r="L7" s="70">
        <v>29.1</v>
      </c>
      <c r="M7" s="70">
        <f t="shared" si="0"/>
        <v>29.1</v>
      </c>
      <c r="N7" s="80">
        <v>1000</v>
      </c>
      <c r="O7" s="80">
        <v>0.1</v>
      </c>
      <c r="P7" s="72">
        <v>-52.3</v>
      </c>
      <c r="Q7" s="73">
        <v>239.5</v>
      </c>
      <c r="R7" s="70">
        <v>2.4</v>
      </c>
      <c r="S7" s="70">
        <v>2.4</v>
      </c>
      <c r="T7" s="70">
        <f t="shared" si="1"/>
        <v>2.4</v>
      </c>
      <c r="U7" s="101">
        <v>1</v>
      </c>
      <c r="V7" s="70">
        <v>29.1</v>
      </c>
      <c r="W7" s="72">
        <v>-52.3</v>
      </c>
      <c r="X7" s="73">
        <v>239.5</v>
      </c>
      <c r="Y7" s="70">
        <v>2.4</v>
      </c>
      <c r="Z7" s="70">
        <v>2.4</v>
      </c>
      <c r="AA7" s="70">
        <f t="shared" si="2"/>
        <v>2.4</v>
      </c>
      <c r="AB7" s="68" t="s">
        <v>148</v>
      </c>
      <c r="AC7" s="68">
        <v>4</v>
      </c>
      <c r="AD7" s="74">
        <f t="shared" si="3"/>
        <v>1</v>
      </c>
      <c r="AE7" s="75">
        <f t="shared" si="4"/>
        <v>1</v>
      </c>
      <c r="AF7" s="75">
        <f t="shared" si="5"/>
        <v>1</v>
      </c>
      <c r="AG7" s="75">
        <f t="shared" si="6"/>
        <v>1</v>
      </c>
      <c r="AH7" s="66">
        <f t="shared" si="7"/>
        <v>1</v>
      </c>
      <c r="AI7" s="66">
        <v>1</v>
      </c>
      <c r="AJ7" s="66">
        <v>1</v>
      </c>
      <c r="AK7" s="76">
        <v>1</v>
      </c>
      <c r="AL7" s="66">
        <v>0</v>
      </c>
      <c r="AM7" s="2">
        <v>1</v>
      </c>
      <c r="AN7" s="6">
        <f t="shared" si="8"/>
        <v>6</v>
      </c>
      <c r="AO7" s="66" t="s">
        <v>66</v>
      </c>
      <c r="AP7" s="14">
        <f t="shared" si="9"/>
        <v>2446</v>
      </c>
      <c r="AQ7" s="66">
        <v>2443</v>
      </c>
      <c r="AR7" s="66">
        <v>2449</v>
      </c>
      <c r="AS7" s="79" t="s">
        <v>459</v>
      </c>
      <c r="AT7" s="67" t="s">
        <v>458</v>
      </c>
      <c r="AU7" s="78" t="s">
        <v>453</v>
      </c>
      <c r="AV7" s="66">
        <v>2010</v>
      </c>
      <c r="AW7" s="78" t="s">
        <v>68</v>
      </c>
      <c r="AX7" s="66">
        <v>183</v>
      </c>
      <c r="AY7" s="79" t="s">
        <v>454</v>
      </c>
      <c r="AZ7" s="147" t="s">
        <v>455</v>
      </c>
      <c r="BA7" s="126"/>
      <c r="BB7" s="161" t="s">
        <v>556</v>
      </c>
    </row>
    <row r="8" spans="1:56" s="108" customFormat="1" ht="70" x14ac:dyDescent="0.15">
      <c r="A8" s="47" t="s">
        <v>383</v>
      </c>
      <c r="B8" s="116" t="s">
        <v>389</v>
      </c>
      <c r="C8" s="34">
        <v>13555</v>
      </c>
      <c r="D8" s="35"/>
      <c r="E8" s="33" t="s">
        <v>41</v>
      </c>
      <c r="F8" s="34">
        <v>0</v>
      </c>
      <c r="G8" s="34">
        <v>64.2</v>
      </c>
      <c r="H8" s="34">
        <v>249.8</v>
      </c>
      <c r="I8" s="34">
        <v>9</v>
      </c>
      <c r="J8" s="34">
        <v>45</v>
      </c>
      <c r="K8" s="34">
        <v>138.30000000000001</v>
      </c>
      <c r="L8" s="34">
        <v>-53.8</v>
      </c>
      <c r="M8" s="34">
        <f t="shared" si="0"/>
        <v>53.8</v>
      </c>
      <c r="N8" s="34">
        <v>81</v>
      </c>
      <c r="O8" s="34">
        <v>5.8</v>
      </c>
      <c r="P8" s="34">
        <v>-50.8</v>
      </c>
      <c r="Q8" s="34">
        <v>310</v>
      </c>
      <c r="R8" s="34">
        <v>6.7</v>
      </c>
      <c r="S8" s="34">
        <v>6.7</v>
      </c>
      <c r="T8" s="34">
        <f t="shared" si="1"/>
        <v>6.7</v>
      </c>
      <c r="U8" s="165">
        <v>1</v>
      </c>
      <c r="V8" s="34">
        <v>-53.8</v>
      </c>
      <c r="W8" s="34">
        <v>-50.8</v>
      </c>
      <c r="X8" s="34">
        <v>310</v>
      </c>
      <c r="Y8" s="34">
        <v>6.7</v>
      </c>
      <c r="Z8" s="34">
        <v>6.7</v>
      </c>
      <c r="AA8" s="34">
        <f t="shared" si="2"/>
        <v>6.7</v>
      </c>
      <c r="AB8" s="34">
        <v>0</v>
      </c>
      <c r="AC8" s="34">
        <v>4</v>
      </c>
      <c r="AD8" s="6">
        <f t="shared" si="3"/>
        <v>1</v>
      </c>
      <c r="AE8" s="7">
        <f t="shared" si="4"/>
        <v>1</v>
      </c>
      <c r="AF8" s="7">
        <f t="shared" si="5"/>
        <v>1</v>
      </c>
      <c r="AG8" s="7">
        <f t="shared" si="6"/>
        <v>1</v>
      </c>
      <c r="AH8" s="8">
        <f t="shared" si="7"/>
        <v>1</v>
      </c>
      <c r="AI8" s="36">
        <v>1</v>
      </c>
      <c r="AJ8" s="8">
        <v>1</v>
      </c>
      <c r="AK8" s="36">
        <v>1</v>
      </c>
      <c r="AL8" s="8">
        <v>0</v>
      </c>
      <c r="AM8" s="2">
        <v>0</v>
      </c>
      <c r="AN8" s="6">
        <f t="shared" si="8"/>
        <v>5</v>
      </c>
      <c r="AO8" s="13" t="s">
        <v>27</v>
      </c>
      <c r="AP8" s="14">
        <f t="shared" si="9"/>
        <v>2231</v>
      </c>
      <c r="AQ8" s="8">
        <v>2229</v>
      </c>
      <c r="AR8" s="8">
        <v>2233</v>
      </c>
      <c r="AS8" s="33" t="s">
        <v>390</v>
      </c>
      <c r="AT8" s="33" t="s">
        <v>389</v>
      </c>
      <c r="AU8" s="33" t="s">
        <v>391</v>
      </c>
      <c r="AV8" s="8">
        <v>2012</v>
      </c>
      <c r="AW8" s="33" t="s">
        <v>301</v>
      </c>
      <c r="AX8" s="34">
        <v>49</v>
      </c>
      <c r="AY8" s="35" t="s">
        <v>392</v>
      </c>
      <c r="AZ8" s="146" t="s">
        <v>393</v>
      </c>
      <c r="BA8" s="141" t="s">
        <v>394</v>
      </c>
      <c r="BB8" s="28" t="s">
        <v>574</v>
      </c>
      <c r="BC8" s="31" t="s">
        <v>573</v>
      </c>
      <c r="BD8" s="28"/>
    </row>
    <row r="9" spans="1:56" s="33" customFormat="1" ht="84" x14ac:dyDescent="0.15">
      <c r="A9" s="47" t="s">
        <v>440</v>
      </c>
      <c r="B9" s="109" t="s">
        <v>638</v>
      </c>
      <c r="C9" s="38" t="s">
        <v>461</v>
      </c>
      <c r="D9" s="69"/>
      <c r="E9" s="69" t="s">
        <v>147</v>
      </c>
      <c r="F9" s="68">
        <v>0</v>
      </c>
      <c r="G9" s="70">
        <v>49</v>
      </c>
      <c r="H9" s="70">
        <v>283</v>
      </c>
      <c r="I9" s="68">
        <v>6</v>
      </c>
      <c r="J9" s="80">
        <v>1000</v>
      </c>
      <c r="K9" s="71">
        <v>358.6</v>
      </c>
      <c r="L9" s="70">
        <v>-43.9</v>
      </c>
      <c r="M9" s="70">
        <f t="shared" si="0"/>
        <v>43.9</v>
      </c>
      <c r="N9" s="80">
        <v>1000</v>
      </c>
      <c r="O9" s="80">
        <v>0.1</v>
      </c>
      <c r="P9" s="72">
        <v>-15.3</v>
      </c>
      <c r="Q9" s="73">
        <v>284.3</v>
      </c>
      <c r="R9" s="101">
        <v>4.4000000000000004</v>
      </c>
      <c r="S9" s="101">
        <v>7</v>
      </c>
      <c r="T9" s="70">
        <f t="shared" si="1"/>
        <v>5.5497747702046434</v>
      </c>
      <c r="U9" s="101">
        <v>1</v>
      </c>
      <c r="V9" s="70">
        <v>-43.9</v>
      </c>
      <c r="W9" s="72">
        <v>-15.3</v>
      </c>
      <c r="X9" s="73">
        <v>284.3</v>
      </c>
      <c r="Y9" s="70">
        <v>6</v>
      </c>
      <c r="Z9" s="70">
        <v>6</v>
      </c>
      <c r="AA9" s="70">
        <f t="shared" si="2"/>
        <v>6</v>
      </c>
      <c r="AB9" s="68" t="s">
        <v>69</v>
      </c>
      <c r="AC9" s="68">
        <v>4</v>
      </c>
      <c r="AD9" s="74">
        <f t="shared" si="3"/>
        <v>1</v>
      </c>
      <c r="AE9" s="75">
        <f t="shared" si="4"/>
        <v>1</v>
      </c>
      <c r="AF9" s="75">
        <f t="shared" si="5"/>
        <v>1</v>
      </c>
      <c r="AG9" s="75">
        <f t="shared" si="6"/>
        <v>1</v>
      </c>
      <c r="AH9" s="66">
        <f t="shared" si="7"/>
        <v>1</v>
      </c>
      <c r="AI9" s="66">
        <v>1</v>
      </c>
      <c r="AJ9" s="66">
        <v>1</v>
      </c>
      <c r="AK9" s="76">
        <v>1</v>
      </c>
      <c r="AL9" s="66">
        <v>1</v>
      </c>
      <c r="AM9" s="2">
        <v>1</v>
      </c>
      <c r="AN9" s="6">
        <f t="shared" si="8"/>
        <v>7</v>
      </c>
      <c r="AO9" s="66" t="s">
        <v>66</v>
      </c>
      <c r="AP9" s="14">
        <f t="shared" si="9"/>
        <v>2218</v>
      </c>
      <c r="AQ9" s="66">
        <v>2212</v>
      </c>
      <c r="AR9" s="66">
        <v>2224</v>
      </c>
      <c r="AS9" s="79" t="s">
        <v>462</v>
      </c>
      <c r="AT9" s="67" t="s">
        <v>460</v>
      </c>
      <c r="AU9" s="78" t="s">
        <v>150</v>
      </c>
      <c r="AV9" s="66">
        <v>1993</v>
      </c>
      <c r="AW9" s="78" t="s">
        <v>301</v>
      </c>
      <c r="AX9" s="66">
        <v>30</v>
      </c>
      <c r="AY9" s="79" t="s">
        <v>463</v>
      </c>
      <c r="AZ9" s="152" t="s">
        <v>464</v>
      </c>
      <c r="BA9" s="141"/>
      <c r="BB9" s="160" t="s">
        <v>561</v>
      </c>
      <c r="BC9" s="108"/>
      <c r="BD9" s="160" t="s">
        <v>560</v>
      </c>
    </row>
    <row r="10" spans="1:56" s="33" customFormat="1" ht="56" x14ac:dyDescent="0.15">
      <c r="A10" s="47" t="s">
        <v>440</v>
      </c>
      <c r="B10" s="109" t="s">
        <v>640</v>
      </c>
      <c r="C10" s="38" t="s">
        <v>145</v>
      </c>
      <c r="D10" s="69"/>
      <c r="E10" s="69" t="s">
        <v>147</v>
      </c>
      <c r="F10" s="68">
        <v>0</v>
      </c>
      <c r="G10" s="70">
        <v>47</v>
      </c>
      <c r="H10" s="70">
        <v>279</v>
      </c>
      <c r="I10" s="106"/>
      <c r="J10" s="80">
        <v>1000</v>
      </c>
      <c r="K10" s="71">
        <v>7.4</v>
      </c>
      <c r="L10" s="70">
        <v>-43.9</v>
      </c>
      <c r="M10" s="70">
        <f t="shared" si="0"/>
        <v>43.9</v>
      </c>
      <c r="N10" s="80">
        <v>1000</v>
      </c>
      <c r="O10" s="80">
        <v>0.1</v>
      </c>
      <c r="P10" s="72">
        <v>-17</v>
      </c>
      <c r="Q10" s="73">
        <v>272</v>
      </c>
      <c r="R10" s="70">
        <v>10</v>
      </c>
      <c r="S10" s="70">
        <v>10</v>
      </c>
      <c r="T10" s="70">
        <f t="shared" si="1"/>
        <v>10</v>
      </c>
      <c r="U10" s="101">
        <v>1</v>
      </c>
      <c r="V10" s="70">
        <v>-43.9</v>
      </c>
      <c r="W10" s="72">
        <v>-17</v>
      </c>
      <c r="X10" s="73">
        <v>272</v>
      </c>
      <c r="Y10" s="70">
        <v>10</v>
      </c>
      <c r="Z10" s="70">
        <v>10</v>
      </c>
      <c r="AA10" s="70">
        <f t="shared" si="2"/>
        <v>10</v>
      </c>
      <c r="AB10" s="68" t="s">
        <v>69</v>
      </c>
      <c r="AC10" s="68">
        <v>4</v>
      </c>
      <c r="AD10" s="74">
        <f t="shared" si="3"/>
        <v>1</v>
      </c>
      <c r="AE10" s="75">
        <f t="shared" si="4"/>
        <v>1</v>
      </c>
      <c r="AF10" s="75">
        <f t="shared" si="5"/>
        <v>1</v>
      </c>
      <c r="AG10" s="75">
        <f t="shared" si="6"/>
        <v>1</v>
      </c>
      <c r="AH10" s="66">
        <f t="shared" si="7"/>
        <v>1</v>
      </c>
      <c r="AI10" s="66">
        <v>1</v>
      </c>
      <c r="AJ10" s="66">
        <v>1</v>
      </c>
      <c r="AK10" s="76">
        <v>1</v>
      </c>
      <c r="AL10" s="66">
        <v>1</v>
      </c>
      <c r="AM10" s="2">
        <v>1</v>
      </c>
      <c r="AN10" s="6">
        <f t="shared" si="8"/>
        <v>7</v>
      </c>
      <c r="AO10" s="66" t="s">
        <v>66</v>
      </c>
      <c r="AP10" s="14">
        <f t="shared" si="9"/>
        <v>2217</v>
      </c>
      <c r="AQ10" s="66">
        <v>2213</v>
      </c>
      <c r="AR10" s="66">
        <v>2221</v>
      </c>
      <c r="AS10" s="79" t="s">
        <v>466</v>
      </c>
      <c r="AT10" s="67" t="s">
        <v>465</v>
      </c>
      <c r="AU10" s="78" t="s">
        <v>150</v>
      </c>
      <c r="AV10" s="66">
        <v>2000</v>
      </c>
      <c r="AW10" s="78" t="s">
        <v>35</v>
      </c>
      <c r="AX10" s="66">
        <v>319</v>
      </c>
      <c r="AY10" s="79" t="s">
        <v>151</v>
      </c>
      <c r="AZ10" s="147" t="s">
        <v>152</v>
      </c>
      <c r="BA10" s="141"/>
      <c r="BB10" s="160" t="s">
        <v>559</v>
      </c>
      <c r="BC10" s="108"/>
      <c r="BD10" s="108"/>
    </row>
    <row r="11" spans="1:56" ht="42" x14ac:dyDescent="0.15">
      <c r="A11" s="47" t="s">
        <v>383</v>
      </c>
      <c r="B11" s="116" t="s">
        <v>395</v>
      </c>
      <c r="C11" s="4">
        <v>9406</v>
      </c>
      <c r="D11" s="35"/>
      <c r="E11" s="33" t="s">
        <v>28</v>
      </c>
      <c r="F11" s="34">
        <v>0</v>
      </c>
      <c r="G11" s="34">
        <v>62.5</v>
      </c>
      <c r="H11" s="34">
        <v>245.5</v>
      </c>
      <c r="I11" s="34">
        <v>14</v>
      </c>
      <c r="J11" s="34">
        <v>134</v>
      </c>
      <c r="K11" s="34">
        <v>302</v>
      </c>
      <c r="L11" s="34">
        <v>33</v>
      </c>
      <c r="M11" s="34">
        <f t="shared" si="0"/>
        <v>33</v>
      </c>
      <c r="N11" s="34">
        <v>34</v>
      </c>
      <c r="O11" s="34">
        <v>7</v>
      </c>
      <c r="P11" s="34">
        <v>-31</v>
      </c>
      <c r="Q11" s="34">
        <v>315</v>
      </c>
      <c r="R11" s="34">
        <v>7</v>
      </c>
      <c r="S11" s="34">
        <v>7</v>
      </c>
      <c r="T11" s="34">
        <f t="shared" si="1"/>
        <v>7</v>
      </c>
      <c r="U11" s="165">
        <v>1</v>
      </c>
      <c r="V11" s="34">
        <v>33</v>
      </c>
      <c r="W11" s="34">
        <v>-31</v>
      </c>
      <c r="X11" s="34">
        <v>315</v>
      </c>
      <c r="Y11" s="34">
        <v>7</v>
      </c>
      <c r="Z11" s="34">
        <v>7</v>
      </c>
      <c r="AA11" s="34">
        <f t="shared" si="2"/>
        <v>7</v>
      </c>
      <c r="AB11" s="34">
        <v>0</v>
      </c>
      <c r="AC11" s="34">
        <v>4</v>
      </c>
      <c r="AD11" s="6">
        <f t="shared" si="3"/>
        <v>1</v>
      </c>
      <c r="AE11" s="7">
        <f t="shared" si="4"/>
        <v>1</v>
      </c>
      <c r="AF11" s="7">
        <f t="shared" si="5"/>
        <v>1</v>
      </c>
      <c r="AG11" s="7">
        <f t="shared" si="6"/>
        <v>1</v>
      </c>
      <c r="AH11" s="8">
        <f t="shared" si="7"/>
        <v>1</v>
      </c>
      <c r="AI11" s="36">
        <v>1</v>
      </c>
      <c r="AJ11" s="8">
        <v>1</v>
      </c>
      <c r="AK11" s="36">
        <v>1</v>
      </c>
      <c r="AL11" s="8">
        <v>0</v>
      </c>
      <c r="AM11" s="2">
        <v>1</v>
      </c>
      <c r="AN11" s="6">
        <f t="shared" si="8"/>
        <v>6</v>
      </c>
      <c r="AO11" s="15" t="s">
        <v>27</v>
      </c>
      <c r="AP11" s="14">
        <f t="shared" si="9"/>
        <v>2193</v>
      </c>
      <c r="AQ11" s="34">
        <v>2191</v>
      </c>
      <c r="AR11" s="34">
        <v>2195</v>
      </c>
      <c r="AS11" s="33" t="s">
        <v>396</v>
      </c>
      <c r="AT11" s="33" t="s">
        <v>395</v>
      </c>
      <c r="AU11" s="33" t="s">
        <v>386</v>
      </c>
      <c r="AV11" s="8">
        <v>2014</v>
      </c>
      <c r="AW11" s="33" t="s">
        <v>43</v>
      </c>
      <c r="AX11" s="34">
        <v>314</v>
      </c>
      <c r="AY11" s="35" t="s">
        <v>387</v>
      </c>
      <c r="AZ11" s="154" t="s">
        <v>388</v>
      </c>
      <c r="BA11" s="141"/>
      <c r="BB11" s="32" t="s">
        <v>569</v>
      </c>
      <c r="BC11" s="32" t="s">
        <v>576</v>
      </c>
      <c r="BD11" s="28"/>
    </row>
    <row r="12" spans="1:56" s="33" customFormat="1" ht="28" x14ac:dyDescent="0.15">
      <c r="A12" s="47" t="s">
        <v>440</v>
      </c>
      <c r="B12" s="109" t="s">
        <v>641</v>
      </c>
      <c r="C12" s="38" t="s">
        <v>65</v>
      </c>
      <c r="D12" s="69"/>
      <c r="E12" s="69" t="s">
        <v>147</v>
      </c>
      <c r="F12" s="68">
        <v>0</v>
      </c>
      <c r="G12" s="70">
        <v>48</v>
      </c>
      <c r="H12" s="70">
        <v>280</v>
      </c>
      <c r="I12" s="68">
        <v>12</v>
      </c>
      <c r="J12" s="80">
        <v>1000</v>
      </c>
      <c r="K12" s="71">
        <v>263.89999999999998</v>
      </c>
      <c r="L12" s="70">
        <v>60.4</v>
      </c>
      <c r="M12" s="70">
        <f t="shared" si="0"/>
        <v>60.4</v>
      </c>
      <c r="N12" s="80">
        <v>1000</v>
      </c>
      <c r="O12" s="80">
        <v>0.1</v>
      </c>
      <c r="P12" s="72">
        <v>26</v>
      </c>
      <c r="Q12" s="73">
        <v>223.9</v>
      </c>
      <c r="R12" s="70">
        <v>7</v>
      </c>
      <c r="S12" s="70">
        <v>7</v>
      </c>
      <c r="T12" s="70">
        <f t="shared" si="1"/>
        <v>7</v>
      </c>
      <c r="U12" s="101">
        <v>1</v>
      </c>
      <c r="V12" s="70">
        <v>60.4</v>
      </c>
      <c r="W12" s="72">
        <v>26</v>
      </c>
      <c r="X12" s="73">
        <v>223.9</v>
      </c>
      <c r="Y12" s="70">
        <v>7</v>
      </c>
      <c r="Z12" s="70">
        <v>7</v>
      </c>
      <c r="AA12" s="70">
        <f t="shared" si="2"/>
        <v>7</v>
      </c>
      <c r="AB12" s="68" t="s">
        <v>148</v>
      </c>
      <c r="AC12" s="68">
        <v>4</v>
      </c>
      <c r="AD12" s="74">
        <f t="shared" si="3"/>
        <v>1</v>
      </c>
      <c r="AE12" s="75">
        <f t="shared" si="4"/>
        <v>1</v>
      </c>
      <c r="AF12" s="75">
        <f t="shared" si="5"/>
        <v>1</v>
      </c>
      <c r="AG12" s="75">
        <f t="shared" si="6"/>
        <v>1</v>
      </c>
      <c r="AH12" s="66">
        <f t="shared" si="7"/>
        <v>1</v>
      </c>
      <c r="AI12" s="66">
        <v>1</v>
      </c>
      <c r="AJ12" s="66">
        <v>1</v>
      </c>
      <c r="AK12" s="76">
        <v>1</v>
      </c>
      <c r="AL12" s="66">
        <v>0</v>
      </c>
      <c r="AM12" s="2">
        <v>1</v>
      </c>
      <c r="AN12" s="6">
        <f t="shared" si="8"/>
        <v>6</v>
      </c>
      <c r="AO12" s="66" t="s">
        <v>66</v>
      </c>
      <c r="AP12" s="14">
        <f t="shared" si="9"/>
        <v>2169.5</v>
      </c>
      <c r="AQ12" s="66">
        <v>2167</v>
      </c>
      <c r="AR12" s="66">
        <v>2172</v>
      </c>
      <c r="AS12" s="79" t="s">
        <v>468</v>
      </c>
      <c r="AT12" s="67" t="s">
        <v>467</v>
      </c>
      <c r="AU12" s="78" t="s">
        <v>453</v>
      </c>
      <c r="AV12" s="66">
        <v>2010</v>
      </c>
      <c r="AW12" s="78" t="s">
        <v>68</v>
      </c>
      <c r="AX12" s="66">
        <v>183</v>
      </c>
      <c r="AY12" s="79" t="s">
        <v>454</v>
      </c>
      <c r="AZ12" s="147" t="s">
        <v>455</v>
      </c>
      <c r="BA12" s="141"/>
      <c r="BB12" s="161" t="s">
        <v>556</v>
      </c>
      <c r="BC12" s="108"/>
      <c r="BD12" s="108"/>
    </row>
    <row r="13" spans="1:56" ht="84" x14ac:dyDescent="0.15">
      <c r="A13" s="100" t="s">
        <v>522</v>
      </c>
      <c r="B13" s="124" t="s">
        <v>530</v>
      </c>
      <c r="C13" s="59" t="s">
        <v>34</v>
      </c>
      <c r="D13" s="62"/>
      <c r="E13" s="134" t="s">
        <v>531</v>
      </c>
      <c r="F13" s="59">
        <v>100</v>
      </c>
      <c r="G13" s="63">
        <v>43.9</v>
      </c>
      <c r="H13" s="63">
        <f>360-107.2</f>
        <v>252.8</v>
      </c>
      <c r="I13" s="59">
        <v>13</v>
      </c>
      <c r="J13" s="59">
        <v>81</v>
      </c>
      <c r="K13" s="63">
        <v>212.8</v>
      </c>
      <c r="L13" s="63">
        <v>-59</v>
      </c>
      <c r="M13" s="63">
        <f t="shared" si="0"/>
        <v>59</v>
      </c>
      <c r="N13" s="63">
        <v>48.5</v>
      </c>
      <c r="O13" s="63">
        <v>6</v>
      </c>
      <c r="P13" s="103">
        <v>65.5</v>
      </c>
      <c r="Q13" s="103">
        <v>339.2</v>
      </c>
      <c r="R13" s="63">
        <v>7.6</v>
      </c>
      <c r="S13" s="63">
        <v>7.6</v>
      </c>
      <c r="T13" s="63">
        <v>7.6</v>
      </c>
      <c r="U13" s="63">
        <v>1</v>
      </c>
      <c r="V13" s="63">
        <v>-59</v>
      </c>
      <c r="W13" s="103">
        <v>65.5</v>
      </c>
      <c r="X13" s="103">
        <v>339.2</v>
      </c>
      <c r="Y13" s="63">
        <v>7.6</v>
      </c>
      <c r="Z13" s="63">
        <v>7.6</v>
      </c>
      <c r="AA13" s="63">
        <v>7.6</v>
      </c>
      <c r="AB13" s="137" t="s">
        <v>532</v>
      </c>
      <c r="AC13" s="59">
        <v>4</v>
      </c>
      <c r="AD13" s="1">
        <f t="shared" si="3"/>
        <v>1</v>
      </c>
      <c r="AE13" s="10">
        <f t="shared" si="4"/>
        <v>1</v>
      </c>
      <c r="AF13" s="10">
        <f t="shared" si="5"/>
        <v>1</v>
      </c>
      <c r="AG13" s="10">
        <f t="shared" si="6"/>
        <v>1</v>
      </c>
      <c r="AH13" s="2">
        <f t="shared" si="7"/>
        <v>1</v>
      </c>
      <c r="AI13" s="2">
        <v>1</v>
      </c>
      <c r="AJ13" s="2">
        <v>1</v>
      </c>
      <c r="AK13" s="2">
        <v>1</v>
      </c>
      <c r="AL13" s="2">
        <v>1</v>
      </c>
      <c r="AM13" s="2">
        <v>1</v>
      </c>
      <c r="AN13" s="6">
        <f t="shared" si="8"/>
        <v>7</v>
      </c>
      <c r="AO13" s="2" t="s">
        <v>27</v>
      </c>
      <c r="AP13" s="90">
        <v>2160</v>
      </c>
      <c r="AQ13" s="84">
        <v>2152</v>
      </c>
      <c r="AR13" s="2">
        <v>2171</v>
      </c>
      <c r="AS13" s="125" t="s">
        <v>533</v>
      </c>
      <c r="AT13" s="125" t="s">
        <v>530</v>
      </c>
      <c r="AU13" s="126" t="s">
        <v>534</v>
      </c>
      <c r="AV13" s="2">
        <v>2015</v>
      </c>
      <c r="AW13" s="11" t="s">
        <v>535</v>
      </c>
      <c r="AX13" s="59">
        <v>424</v>
      </c>
      <c r="AY13" s="127" t="s">
        <v>536</v>
      </c>
      <c r="AZ13" s="126" t="s">
        <v>537</v>
      </c>
      <c r="BA13" s="142"/>
      <c r="BB13" s="90" t="s">
        <v>554</v>
      </c>
    </row>
    <row r="14" spans="1:56" s="33" customFormat="1" ht="98" x14ac:dyDescent="0.15">
      <c r="A14" s="100" t="s">
        <v>383</v>
      </c>
      <c r="B14" s="120" t="s">
        <v>397</v>
      </c>
      <c r="C14" s="4">
        <v>9484</v>
      </c>
      <c r="D14" s="12"/>
      <c r="E14" s="3" t="s">
        <v>28</v>
      </c>
      <c r="F14" s="4">
        <v>0</v>
      </c>
      <c r="G14" s="4">
        <v>62.5</v>
      </c>
      <c r="H14" s="4">
        <v>245.6</v>
      </c>
      <c r="I14" s="4">
        <v>18</v>
      </c>
      <c r="J14" s="107">
        <v>1000</v>
      </c>
      <c r="K14" s="4">
        <v>300</v>
      </c>
      <c r="L14" s="4">
        <v>-70</v>
      </c>
      <c r="M14" s="4">
        <v>70</v>
      </c>
      <c r="N14" s="4">
        <v>62</v>
      </c>
      <c r="O14" s="4">
        <v>4</v>
      </c>
      <c r="P14" s="4">
        <v>-36</v>
      </c>
      <c r="Q14" s="4">
        <f>76+180</f>
        <v>256</v>
      </c>
      <c r="R14" s="4">
        <v>7</v>
      </c>
      <c r="S14" s="4">
        <v>7</v>
      </c>
      <c r="T14" s="4">
        <v>7</v>
      </c>
      <c r="U14" s="165">
        <v>1</v>
      </c>
      <c r="V14" s="4">
        <v>-70</v>
      </c>
      <c r="W14" s="4">
        <v>36</v>
      </c>
      <c r="X14" s="4">
        <v>76</v>
      </c>
      <c r="Y14" s="4">
        <v>7</v>
      </c>
      <c r="Z14" s="4">
        <v>7</v>
      </c>
      <c r="AA14" s="4">
        <v>7</v>
      </c>
      <c r="AB14" s="4" t="s">
        <v>38</v>
      </c>
      <c r="AC14" s="4">
        <v>4</v>
      </c>
      <c r="AD14" s="1">
        <f t="shared" si="3"/>
        <v>1</v>
      </c>
      <c r="AE14" s="10">
        <f t="shared" si="4"/>
        <v>1</v>
      </c>
      <c r="AF14" s="10">
        <f t="shared" si="5"/>
        <v>1</v>
      </c>
      <c r="AG14" s="10">
        <f t="shared" si="6"/>
        <v>1</v>
      </c>
      <c r="AH14" s="2">
        <v>1</v>
      </c>
      <c r="AI14" s="9">
        <v>1</v>
      </c>
      <c r="AJ14" s="2">
        <v>1</v>
      </c>
      <c r="AK14" s="9">
        <v>1</v>
      </c>
      <c r="AL14" s="2">
        <v>1</v>
      </c>
      <c r="AM14" s="2">
        <v>1</v>
      </c>
      <c r="AN14" s="1">
        <f t="shared" si="8"/>
        <v>7</v>
      </c>
      <c r="AO14" s="92" t="s">
        <v>27</v>
      </c>
      <c r="AP14" s="84">
        <v>2126</v>
      </c>
      <c r="AQ14" s="4">
        <v>2108</v>
      </c>
      <c r="AR14" s="4">
        <v>2129</v>
      </c>
      <c r="AS14" s="3" t="s">
        <v>398</v>
      </c>
      <c r="AT14" s="3" t="s">
        <v>399</v>
      </c>
      <c r="AU14" s="3" t="s">
        <v>400</v>
      </c>
      <c r="AV14" s="2">
        <v>2016</v>
      </c>
      <c r="AW14" s="3" t="s">
        <v>401</v>
      </c>
      <c r="AX14" s="4">
        <v>275</v>
      </c>
      <c r="AY14" s="12" t="s">
        <v>402</v>
      </c>
      <c r="AZ14" s="143" t="s">
        <v>403</v>
      </c>
      <c r="BA14" s="141"/>
      <c r="BB14" s="105" t="s">
        <v>575</v>
      </c>
      <c r="BC14" s="31" t="s">
        <v>577</v>
      </c>
      <c r="BD14" s="31"/>
    </row>
    <row r="15" spans="1:56" s="94" customFormat="1" ht="70" x14ac:dyDescent="0.15">
      <c r="A15" s="47" t="s">
        <v>473</v>
      </c>
      <c r="B15" s="109" t="s">
        <v>644</v>
      </c>
      <c r="C15" s="38" t="s">
        <v>475</v>
      </c>
      <c r="D15" s="69"/>
      <c r="E15" s="69"/>
      <c r="F15" s="68">
        <v>0</v>
      </c>
      <c r="G15" s="70">
        <v>49</v>
      </c>
      <c r="H15" s="70">
        <v>275</v>
      </c>
      <c r="I15" s="106"/>
      <c r="J15" s="80">
        <v>1000</v>
      </c>
      <c r="K15" s="71">
        <v>296.89999999999998</v>
      </c>
      <c r="L15" s="70">
        <v>59.2</v>
      </c>
      <c r="M15" s="70">
        <f t="shared" ref="M15:M25" si="10">ABS(L15)</f>
        <v>59.2</v>
      </c>
      <c r="N15" s="80">
        <v>1000</v>
      </c>
      <c r="O15" s="80">
        <v>0.1</v>
      </c>
      <c r="P15" s="72">
        <v>45.4</v>
      </c>
      <c r="Q15" s="73">
        <v>198.2</v>
      </c>
      <c r="R15" s="70">
        <v>7.7</v>
      </c>
      <c r="S15" s="70">
        <v>7.7</v>
      </c>
      <c r="T15" s="70">
        <f t="shared" ref="T15:T24" si="11">SQRT(R15*S15)</f>
        <v>7.7</v>
      </c>
      <c r="U15" s="101">
        <v>1</v>
      </c>
      <c r="V15" s="70">
        <v>59.2</v>
      </c>
      <c r="W15" s="72">
        <v>45.4</v>
      </c>
      <c r="X15" s="73">
        <v>198.2</v>
      </c>
      <c r="Y15" s="70">
        <v>7.7</v>
      </c>
      <c r="Z15" s="70">
        <v>7.7</v>
      </c>
      <c r="AA15" s="70">
        <f t="shared" ref="AA15:AA22" si="12">SQRT(Y15*Z15)</f>
        <v>7.7</v>
      </c>
      <c r="AB15" s="68" t="s">
        <v>148</v>
      </c>
      <c r="AC15" s="68">
        <v>4</v>
      </c>
      <c r="AD15" s="74">
        <f t="shared" si="3"/>
        <v>1</v>
      </c>
      <c r="AE15" s="75">
        <f t="shared" si="4"/>
        <v>1</v>
      </c>
      <c r="AF15" s="75">
        <f t="shared" si="5"/>
        <v>1</v>
      </c>
      <c r="AG15" s="75">
        <f t="shared" si="6"/>
        <v>1</v>
      </c>
      <c r="AH15" s="66">
        <f t="shared" ref="AH15:AH24" si="13">AE15*AF15*AG15</f>
        <v>1</v>
      </c>
      <c r="AI15" s="66">
        <v>1</v>
      </c>
      <c r="AJ15" s="66">
        <v>0</v>
      </c>
      <c r="AK15" s="76">
        <v>1</v>
      </c>
      <c r="AL15" s="66">
        <v>0</v>
      </c>
      <c r="AM15" s="2">
        <v>0</v>
      </c>
      <c r="AN15" s="6">
        <f t="shared" si="8"/>
        <v>4</v>
      </c>
      <c r="AO15" s="66" t="s">
        <v>66</v>
      </c>
      <c r="AP15" s="14">
        <f t="shared" ref="AP15:AP24" si="14">AVERAGE(AQ15:AR15)</f>
        <v>2123.5</v>
      </c>
      <c r="AQ15" s="66">
        <v>2121</v>
      </c>
      <c r="AR15" s="66">
        <v>2126</v>
      </c>
      <c r="AS15" s="79" t="s">
        <v>476</v>
      </c>
      <c r="AT15" s="67" t="s">
        <v>474</v>
      </c>
      <c r="AU15" s="78" t="s">
        <v>477</v>
      </c>
      <c r="AV15" s="66">
        <v>2008</v>
      </c>
      <c r="AW15" s="78" t="s">
        <v>68</v>
      </c>
      <c r="AX15" s="66">
        <v>162</v>
      </c>
      <c r="AY15" s="79" t="s">
        <v>478</v>
      </c>
      <c r="AZ15" s="147" t="s">
        <v>479</v>
      </c>
      <c r="BA15" s="126" t="s">
        <v>379</v>
      </c>
      <c r="BB15" s="161" t="s">
        <v>557</v>
      </c>
      <c r="BC15" s="31"/>
      <c r="BD15" s="31"/>
    </row>
    <row r="16" spans="1:56" s="94" customFormat="1" ht="70" x14ac:dyDescent="0.15">
      <c r="A16" s="47" t="s">
        <v>473</v>
      </c>
      <c r="B16" s="109" t="s">
        <v>645</v>
      </c>
      <c r="C16" s="38" t="s">
        <v>475</v>
      </c>
      <c r="D16" s="69"/>
      <c r="E16" s="69" t="s">
        <v>147</v>
      </c>
      <c r="F16" s="68">
        <v>0</v>
      </c>
      <c r="G16" s="70">
        <v>49</v>
      </c>
      <c r="H16" s="70">
        <v>275</v>
      </c>
      <c r="I16" s="106"/>
      <c r="J16" s="80">
        <v>1000</v>
      </c>
      <c r="K16" s="71">
        <v>134.4</v>
      </c>
      <c r="L16" s="70">
        <v>-56.4</v>
      </c>
      <c r="M16" s="70">
        <f t="shared" si="10"/>
        <v>56.4</v>
      </c>
      <c r="N16" s="80">
        <v>1000</v>
      </c>
      <c r="O16" s="80">
        <v>0.1</v>
      </c>
      <c r="P16" s="72">
        <v>55.1</v>
      </c>
      <c r="Q16" s="73">
        <v>182.2</v>
      </c>
      <c r="R16" s="70">
        <v>7.5</v>
      </c>
      <c r="S16" s="70">
        <v>7.5</v>
      </c>
      <c r="T16" s="70">
        <f t="shared" si="11"/>
        <v>7.5</v>
      </c>
      <c r="U16" s="101">
        <v>1</v>
      </c>
      <c r="V16" s="70">
        <v>-56.4</v>
      </c>
      <c r="W16" s="72">
        <v>55.1</v>
      </c>
      <c r="X16" s="73">
        <v>182.2</v>
      </c>
      <c r="Y16" s="70">
        <v>7.5</v>
      </c>
      <c r="Z16" s="70">
        <v>7.5</v>
      </c>
      <c r="AA16" s="70">
        <f t="shared" si="12"/>
        <v>7.5</v>
      </c>
      <c r="AB16" s="68" t="s">
        <v>148</v>
      </c>
      <c r="AC16" s="68">
        <v>4</v>
      </c>
      <c r="AD16" s="74">
        <f t="shared" si="3"/>
        <v>1</v>
      </c>
      <c r="AE16" s="75">
        <f t="shared" si="4"/>
        <v>1</v>
      </c>
      <c r="AF16" s="75">
        <f t="shared" si="5"/>
        <v>1</v>
      </c>
      <c r="AG16" s="75">
        <f t="shared" si="6"/>
        <v>1</v>
      </c>
      <c r="AH16" s="66">
        <f t="shared" si="13"/>
        <v>1</v>
      </c>
      <c r="AI16" s="66">
        <v>1</v>
      </c>
      <c r="AJ16" s="66">
        <v>1</v>
      </c>
      <c r="AK16" s="76">
        <v>1</v>
      </c>
      <c r="AL16" s="66">
        <v>0</v>
      </c>
      <c r="AM16" s="2">
        <v>0</v>
      </c>
      <c r="AN16" s="6">
        <f t="shared" si="8"/>
        <v>5</v>
      </c>
      <c r="AO16" s="66" t="s">
        <v>66</v>
      </c>
      <c r="AP16" s="14">
        <f t="shared" si="14"/>
        <v>2103.5</v>
      </c>
      <c r="AQ16" s="66">
        <v>2101</v>
      </c>
      <c r="AR16" s="66">
        <v>2106</v>
      </c>
      <c r="AS16" s="79" t="s">
        <v>481</v>
      </c>
      <c r="AT16" s="67" t="s">
        <v>480</v>
      </c>
      <c r="AU16" s="78" t="s">
        <v>477</v>
      </c>
      <c r="AV16" s="66">
        <v>2008</v>
      </c>
      <c r="AW16" s="78" t="s">
        <v>68</v>
      </c>
      <c r="AX16" s="66">
        <v>162</v>
      </c>
      <c r="AY16" s="79" t="s">
        <v>478</v>
      </c>
      <c r="AZ16" s="147" t="s">
        <v>479</v>
      </c>
      <c r="BA16" s="126" t="s">
        <v>482</v>
      </c>
      <c r="BB16" s="161" t="s">
        <v>557</v>
      </c>
      <c r="BC16" s="33"/>
      <c r="BD16" s="33"/>
    </row>
    <row r="17" spans="1:56" s="33" customFormat="1" ht="19" customHeight="1" x14ac:dyDescent="0.15">
      <c r="A17" s="47" t="s">
        <v>473</v>
      </c>
      <c r="B17" s="109" t="s">
        <v>649</v>
      </c>
      <c r="C17" s="38" t="s">
        <v>65</v>
      </c>
      <c r="D17" s="69"/>
      <c r="E17" s="69" t="s">
        <v>147</v>
      </c>
      <c r="F17" s="68">
        <v>0</v>
      </c>
      <c r="G17" s="70">
        <v>56</v>
      </c>
      <c r="H17" s="70">
        <v>263</v>
      </c>
      <c r="I17" s="106"/>
      <c r="J17" s="80">
        <v>1000</v>
      </c>
      <c r="K17" s="71">
        <v>123.3</v>
      </c>
      <c r="L17" s="70">
        <v>-63.9</v>
      </c>
      <c r="M17" s="70">
        <f t="shared" si="10"/>
        <v>63.9</v>
      </c>
      <c r="N17" s="80">
        <v>1000</v>
      </c>
      <c r="O17" s="80">
        <v>0.1</v>
      </c>
      <c r="P17" s="72">
        <v>53.8</v>
      </c>
      <c r="Q17" s="73">
        <v>180.9</v>
      </c>
      <c r="R17" s="70">
        <v>7.7</v>
      </c>
      <c r="S17" s="70">
        <v>7.7</v>
      </c>
      <c r="T17" s="70">
        <f t="shared" si="11"/>
        <v>7.7</v>
      </c>
      <c r="U17" s="101">
        <v>1</v>
      </c>
      <c r="V17" s="70">
        <v>-63.9</v>
      </c>
      <c r="W17" s="72">
        <v>53.8</v>
      </c>
      <c r="X17" s="73">
        <v>180.9</v>
      </c>
      <c r="Y17" s="70">
        <v>7.7</v>
      </c>
      <c r="Z17" s="70">
        <v>7.7</v>
      </c>
      <c r="AA17" s="70">
        <f t="shared" si="12"/>
        <v>7.7</v>
      </c>
      <c r="AB17" s="68" t="s">
        <v>148</v>
      </c>
      <c r="AC17" s="68">
        <v>4</v>
      </c>
      <c r="AD17" s="74">
        <f t="shared" si="3"/>
        <v>1</v>
      </c>
      <c r="AE17" s="75">
        <f t="shared" si="4"/>
        <v>1</v>
      </c>
      <c r="AF17" s="75">
        <f t="shared" si="5"/>
        <v>1</v>
      </c>
      <c r="AG17" s="75">
        <f t="shared" si="6"/>
        <v>1</v>
      </c>
      <c r="AH17" s="66">
        <f t="shared" si="13"/>
        <v>1</v>
      </c>
      <c r="AI17" s="66">
        <v>1</v>
      </c>
      <c r="AJ17" s="66">
        <v>1</v>
      </c>
      <c r="AK17" s="76">
        <v>1</v>
      </c>
      <c r="AL17" s="66">
        <v>0</v>
      </c>
      <c r="AM17" s="2">
        <v>0</v>
      </c>
      <c r="AN17" s="6">
        <f t="shared" si="8"/>
        <v>5</v>
      </c>
      <c r="AO17" s="66" t="s">
        <v>66</v>
      </c>
      <c r="AP17" s="14">
        <f t="shared" si="14"/>
        <v>2091</v>
      </c>
      <c r="AQ17" s="66">
        <v>2089</v>
      </c>
      <c r="AR17" s="66">
        <v>2093</v>
      </c>
      <c r="AS17" s="79" t="s">
        <v>484</v>
      </c>
      <c r="AT17" s="67" t="s">
        <v>483</v>
      </c>
      <c r="AU17" s="78" t="s">
        <v>453</v>
      </c>
      <c r="AV17" s="66">
        <v>2010</v>
      </c>
      <c r="AW17" s="78" t="s">
        <v>68</v>
      </c>
      <c r="AX17" s="66">
        <v>183</v>
      </c>
      <c r="AY17" s="79" t="s">
        <v>454</v>
      </c>
      <c r="AZ17" s="147" t="s">
        <v>455</v>
      </c>
      <c r="BA17" s="126" t="s">
        <v>482</v>
      </c>
      <c r="BB17" s="161" t="s">
        <v>556</v>
      </c>
      <c r="BC17" s="31"/>
      <c r="BD17" s="31"/>
    </row>
    <row r="18" spans="1:56" ht="33" customHeight="1" x14ac:dyDescent="0.15">
      <c r="A18" s="47" t="s">
        <v>473</v>
      </c>
      <c r="B18" s="109" t="s">
        <v>646</v>
      </c>
      <c r="C18" s="38" t="s">
        <v>65</v>
      </c>
      <c r="D18" s="69"/>
      <c r="E18" s="69"/>
      <c r="F18" s="68">
        <v>0</v>
      </c>
      <c r="G18" s="70">
        <v>48</v>
      </c>
      <c r="H18" s="70">
        <v>266</v>
      </c>
      <c r="I18" s="106"/>
      <c r="J18" s="80">
        <v>1000</v>
      </c>
      <c r="K18" s="71">
        <v>117.2</v>
      </c>
      <c r="L18" s="70">
        <v>-54.8</v>
      </c>
      <c r="M18" s="70">
        <f t="shared" si="10"/>
        <v>54.8</v>
      </c>
      <c r="N18" s="80">
        <v>1000</v>
      </c>
      <c r="O18" s="80">
        <v>0.1</v>
      </c>
      <c r="P18" s="72">
        <v>42.8</v>
      </c>
      <c r="Q18" s="73">
        <v>184.6</v>
      </c>
      <c r="R18" s="70">
        <v>6.1</v>
      </c>
      <c r="S18" s="70">
        <v>6.1</v>
      </c>
      <c r="T18" s="70">
        <f t="shared" si="11"/>
        <v>6.1</v>
      </c>
      <c r="U18" s="101">
        <v>1</v>
      </c>
      <c r="V18" s="70">
        <v>-54.8</v>
      </c>
      <c r="W18" s="72">
        <v>42.8</v>
      </c>
      <c r="X18" s="73">
        <v>184.6</v>
      </c>
      <c r="Y18" s="70">
        <v>6.1</v>
      </c>
      <c r="Z18" s="70">
        <v>6.1</v>
      </c>
      <c r="AA18" s="70">
        <f t="shared" si="12"/>
        <v>6.1</v>
      </c>
      <c r="AB18" s="68" t="s">
        <v>148</v>
      </c>
      <c r="AC18" s="68">
        <v>3</v>
      </c>
      <c r="AD18" s="74">
        <f t="shared" si="3"/>
        <v>1</v>
      </c>
      <c r="AE18" s="75">
        <f t="shared" si="4"/>
        <v>1</v>
      </c>
      <c r="AF18" s="75">
        <f t="shared" si="5"/>
        <v>1</v>
      </c>
      <c r="AG18" s="75">
        <f t="shared" si="6"/>
        <v>1</v>
      </c>
      <c r="AH18" s="66">
        <f t="shared" si="13"/>
        <v>1</v>
      </c>
      <c r="AI18" s="66">
        <v>1</v>
      </c>
      <c r="AJ18" s="66">
        <v>0</v>
      </c>
      <c r="AK18" s="76">
        <v>1</v>
      </c>
      <c r="AL18" s="66">
        <v>0</v>
      </c>
      <c r="AM18" s="2">
        <v>0</v>
      </c>
      <c r="AN18" s="6">
        <f t="shared" si="8"/>
        <v>4</v>
      </c>
      <c r="AO18" s="66" t="s">
        <v>66</v>
      </c>
      <c r="AP18" s="14">
        <f t="shared" si="14"/>
        <v>2076.5</v>
      </c>
      <c r="AQ18" s="66">
        <v>2072</v>
      </c>
      <c r="AR18" s="66">
        <v>2081</v>
      </c>
      <c r="AS18" s="79" t="s">
        <v>486</v>
      </c>
      <c r="AT18" s="67" t="s">
        <v>485</v>
      </c>
      <c r="AU18" s="78" t="s">
        <v>453</v>
      </c>
      <c r="AV18" s="66">
        <v>2010</v>
      </c>
      <c r="AW18" s="78" t="s">
        <v>68</v>
      </c>
      <c r="AX18" s="66">
        <v>183</v>
      </c>
      <c r="AY18" s="79" t="s">
        <v>454</v>
      </c>
      <c r="AZ18" s="147" t="s">
        <v>455</v>
      </c>
      <c r="BA18" s="126" t="s">
        <v>379</v>
      </c>
      <c r="BB18" s="161" t="s">
        <v>556</v>
      </c>
      <c r="BC18" s="33"/>
      <c r="BD18" s="33"/>
    </row>
    <row r="19" spans="1:56" ht="21.5" customHeight="1" x14ac:dyDescent="0.15">
      <c r="A19" s="47" t="s">
        <v>440</v>
      </c>
      <c r="B19" s="109" t="s">
        <v>642</v>
      </c>
      <c r="C19" s="38" t="s">
        <v>65</v>
      </c>
      <c r="D19" s="69"/>
      <c r="E19" s="69"/>
      <c r="F19" s="68">
        <v>0</v>
      </c>
      <c r="G19" s="70">
        <v>53</v>
      </c>
      <c r="H19" s="70">
        <v>282</v>
      </c>
      <c r="I19" s="68">
        <v>8</v>
      </c>
      <c r="J19" s="68">
        <v>82</v>
      </c>
      <c r="K19" s="71">
        <v>146.9</v>
      </c>
      <c r="L19" s="70">
        <v>-56.4</v>
      </c>
      <c r="M19" s="70">
        <f t="shared" si="10"/>
        <v>56.4</v>
      </c>
      <c r="N19" s="80">
        <v>1000</v>
      </c>
      <c r="O19" s="80">
        <v>0.1</v>
      </c>
      <c r="P19" s="72">
        <v>62</v>
      </c>
      <c r="Q19" s="73">
        <v>170.5</v>
      </c>
      <c r="R19" s="70">
        <v>6.4</v>
      </c>
      <c r="S19" s="70">
        <v>6.4</v>
      </c>
      <c r="T19" s="70">
        <f t="shared" si="11"/>
        <v>6.4</v>
      </c>
      <c r="U19" s="101">
        <v>1</v>
      </c>
      <c r="V19" s="70">
        <v>-56.4</v>
      </c>
      <c r="W19" s="72">
        <v>62</v>
      </c>
      <c r="X19" s="73">
        <v>170.5</v>
      </c>
      <c r="Y19" s="70">
        <v>6.4</v>
      </c>
      <c r="Z19" s="70">
        <v>6.4</v>
      </c>
      <c r="AA19" s="70">
        <f t="shared" si="12"/>
        <v>6.4</v>
      </c>
      <c r="AB19" s="68" t="s">
        <v>148</v>
      </c>
      <c r="AC19" s="68">
        <v>4</v>
      </c>
      <c r="AD19" s="74">
        <f t="shared" si="3"/>
        <v>1</v>
      </c>
      <c r="AE19" s="75">
        <f t="shared" si="4"/>
        <v>1</v>
      </c>
      <c r="AF19" s="75">
        <f t="shared" si="5"/>
        <v>1</v>
      </c>
      <c r="AG19" s="75">
        <f t="shared" si="6"/>
        <v>1</v>
      </c>
      <c r="AH19" s="66">
        <f t="shared" si="13"/>
        <v>1</v>
      </c>
      <c r="AI19" s="66">
        <v>1</v>
      </c>
      <c r="AJ19" s="66">
        <v>0</v>
      </c>
      <c r="AK19" s="76">
        <v>1</v>
      </c>
      <c r="AL19" s="66">
        <v>0</v>
      </c>
      <c r="AM19" s="2">
        <v>1</v>
      </c>
      <c r="AN19" s="6">
        <f t="shared" si="8"/>
        <v>5</v>
      </c>
      <c r="AO19" s="66" t="s">
        <v>66</v>
      </c>
      <c r="AP19" s="14">
        <f t="shared" si="14"/>
        <v>2069</v>
      </c>
      <c r="AQ19" s="66">
        <v>2068</v>
      </c>
      <c r="AR19" s="66">
        <v>2070</v>
      </c>
      <c r="AS19" s="79" t="s">
        <v>470</v>
      </c>
      <c r="AT19" s="67" t="s">
        <v>469</v>
      </c>
      <c r="AU19" s="78" t="s">
        <v>453</v>
      </c>
      <c r="AV19" s="66">
        <v>2010</v>
      </c>
      <c r="AW19" s="78" t="s">
        <v>68</v>
      </c>
      <c r="AX19" s="66">
        <v>183</v>
      </c>
      <c r="AY19" s="79" t="s">
        <v>454</v>
      </c>
      <c r="AZ19" s="147" t="s">
        <v>455</v>
      </c>
      <c r="BA19" s="141" t="s">
        <v>450</v>
      </c>
      <c r="BB19" s="161" t="s">
        <v>556</v>
      </c>
      <c r="BC19" s="33"/>
      <c r="BD19" s="33"/>
    </row>
    <row r="20" spans="1:56" ht="42" x14ac:dyDescent="0.15">
      <c r="A20" s="28" t="s">
        <v>343</v>
      </c>
      <c r="B20" s="123" t="s">
        <v>344</v>
      </c>
      <c r="C20" s="38">
        <v>3222</v>
      </c>
      <c r="D20" s="39"/>
      <c r="E20" s="39"/>
      <c r="F20" s="38">
        <v>0</v>
      </c>
      <c r="G20" s="40">
        <v>66</v>
      </c>
      <c r="H20" s="40">
        <v>307</v>
      </c>
      <c r="I20" s="38">
        <v>23</v>
      </c>
      <c r="J20" s="38">
        <v>157</v>
      </c>
      <c r="K20" s="40">
        <v>220</v>
      </c>
      <c r="L20" s="40">
        <v>56</v>
      </c>
      <c r="M20" s="5">
        <f t="shared" si="10"/>
        <v>56</v>
      </c>
      <c r="N20" s="40">
        <v>190</v>
      </c>
      <c r="O20" s="40">
        <v>2.1</v>
      </c>
      <c r="P20" s="110">
        <v>17.100000000000001</v>
      </c>
      <c r="Q20" s="110">
        <v>273.79998799999998</v>
      </c>
      <c r="R20" s="40">
        <v>2.2000000000000002</v>
      </c>
      <c r="S20" s="40">
        <v>3.2</v>
      </c>
      <c r="T20" s="40">
        <f t="shared" si="11"/>
        <v>2.6532998322843202</v>
      </c>
      <c r="U20" s="101">
        <v>1</v>
      </c>
      <c r="V20" s="40">
        <v>56</v>
      </c>
      <c r="W20" s="110">
        <v>17.100000000000001</v>
      </c>
      <c r="X20" s="110">
        <v>273.79998799999998</v>
      </c>
      <c r="Y20" s="40">
        <v>2.2000000000000002</v>
      </c>
      <c r="Z20" s="40">
        <v>3.2</v>
      </c>
      <c r="AA20" s="40">
        <f t="shared" si="12"/>
        <v>2.6532998322843202</v>
      </c>
      <c r="AB20" s="34" t="s">
        <v>33</v>
      </c>
      <c r="AC20" s="38"/>
      <c r="AD20" s="6">
        <f t="shared" si="3"/>
        <v>1</v>
      </c>
      <c r="AE20" s="7">
        <f t="shared" si="4"/>
        <v>1</v>
      </c>
      <c r="AF20" s="7">
        <f t="shared" si="5"/>
        <v>1</v>
      </c>
      <c r="AG20" s="7">
        <f t="shared" si="6"/>
        <v>1</v>
      </c>
      <c r="AH20" s="8">
        <f t="shared" si="13"/>
        <v>1</v>
      </c>
      <c r="AI20" s="8">
        <v>0</v>
      </c>
      <c r="AJ20" s="8">
        <v>1</v>
      </c>
      <c r="AK20" s="8">
        <v>1</v>
      </c>
      <c r="AL20" s="23">
        <v>0</v>
      </c>
      <c r="AM20" s="59">
        <v>0</v>
      </c>
      <c r="AN20" s="6">
        <f t="shared" si="8"/>
        <v>4</v>
      </c>
      <c r="AO20" s="8" t="s">
        <v>70</v>
      </c>
      <c r="AP20" s="14">
        <f t="shared" si="14"/>
        <v>2042</v>
      </c>
      <c r="AQ20" s="38">
        <v>2030</v>
      </c>
      <c r="AR20" s="38">
        <v>2054</v>
      </c>
      <c r="AS20" s="16" t="s">
        <v>345</v>
      </c>
      <c r="AT20" s="39" t="s">
        <v>344</v>
      </c>
      <c r="AU20" s="16" t="s">
        <v>346</v>
      </c>
      <c r="AV20" s="37">
        <v>1976</v>
      </c>
      <c r="AW20" s="16" t="s">
        <v>347</v>
      </c>
      <c r="AX20" s="37"/>
      <c r="AY20" s="16" t="s">
        <v>348</v>
      </c>
      <c r="AZ20" s="158" t="s">
        <v>349</v>
      </c>
      <c r="BA20" s="141" t="s">
        <v>350</v>
      </c>
      <c r="BB20" s="32" t="s">
        <v>632</v>
      </c>
    </row>
    <row r="21" spans="1:56" ht="84" x14ac:dyDescent="0.15">
      <c r="A21" s="47" t="s">
        <v>383</v>
      </c>
      <c r="B21" s="117" t="s">
        <v>404</v>
      </c>
      <c r="C21" s="34">
        <v>100035</v>
      </c>
      <c r="D21" s="69"/>
      <c r="E21" s="69" t="s">
        <v>405</v>
      </c>
      <c r="F21" s="68">
        <v>0</v>
      </c>
      <c r="G21" s="70">
        <v>64.400000000000006</v>
      </c>
      <c r="H21" s="70">
        <v>249.6</v>
      </c>
      <c r="I21" s="68">
        <v>10</v>
      </c>
      <c r="J21" s="68">
        <v>54</v>
      </c>
      <c r="K21" s="71">
        <v>338.2</v>
      </c>
      <c r="L21" s="70">
        <v>-55.3</v>
      </c>
      <c r="M21" s="70">
        <f t="shared" si="10"/>
        <v>55.3</v>
      </c>
      <c r="N21" s="70">
        <v>68</v>
      </c>
      <c r="O21" s="70">
        <v>5.9</v>
      </c>
      <c r="P21" s="72">
        <v>11.8</v>
      </c>
      <c r="Q21" s="73">
        <v>267.89999999999998</v>
      </c>
      <c r="R21" s="70">
        <v>6</v>
      </c>
      <c r="S21" s="70">
        <v>8.4</v>
      </c>
      <c r="T21" s="70">
        <f t="shared" si="11"/>
        <v>7.0992957397195395</v>
      </c>
      <c r="U21" s="101">
        <v>1</v>
      </c>
      <c r="V21" s="70">
        <v>-55.3</v>
      </c>
      <c r="W21" s="72">
        <v>11.8</v>
      </c>
      <c r="X21" s="73">
        <v>267.89999999999998</v>
      </c>
      <c r="Y21" s="70">
        <v>6</v>
      </c>
      <c r="Z21" s="70">
        <v>8.4</v>
      </c>
      <c r="AA21" s="70">
        <f t="shared" si="12"/>
        <v>7.0992957397195395</v>
      </c>
      <c r="AB21" s="68" t="s">
        <v>148</v>
      </c>
      <c r="AC21" s="68">
        <v>4</v>
      </c>
      <c r="AD21" s="74">
        <f t="shared" si="3"/>
        <v>1</v>
      </c>
      <c r="AE21" s="75">
        <f t="shared" si="4"/>
        <v>1</v>
      </c>
      <c r="AF21" s="75">
        <f t="shared" si="5"/>
        <v>1</v>
      </c>
      <c r="AG21" s="75">
        <f t="shared" si="6"/>
        <v>1</v>
      </c>
      <c r="AH21" s="66">
        <f t="shared" si="13"/>
        <v>1</v>
      </c>
      <c r="AI21" s="66">
        <v>1</v>
      </c>
      <c r="AJ21" s="66">
        <v>1</v>
      </c>
      <c r="AK21" s="76">
        <v>1</v>
      </c>
      <c r="AL21" s="66">
        <f>IF(OR(AB21="0or100",AB21=0,AB21=100),0,1)</f>
        <v>0</v>
      </c>
      <c r="AM21" s="2">
        <v>1</v>
      </c>
      <c r="AN21" s="6">
        <f t="shared" si="8"/>
        <v>6</v>
      </c>
      <c r="AO21" s="66" t="s">
        <v>66</v>
      </c>
      <c r="AP21" s="14">
        <f t="shared" si="14"/>
        <v>2026</v>
      </c>
      <c r="AQ21" s="66">
        <v>2021</v>
      </c>
      <c r="AR21" s="66">
        <v>2031</v>
      </c>
      <c r="AS21" s="77" t="s">
        <v>406</v>
      </c>
      <c r="AT21" s="78" t="s">
        <v>404</v>
      </c>
      <c r="AU21" s="78" t="s">
        <v>407</v>
      </c>
      <c r="AV21" s="66">
        <v>2009</v>
      </c>
      <c r="AW21" s="78" t="s">
        <v>408</v>
      </c>
      <c r="AX21" s="66">
        <v>46</v>
      </c>
      <c r="AY21" s="79" t="s">
        <v>409</v>
      </c>
      <c r="AZ21" s="155" t="s">
        <v>410</v>
      </c>
      <c r="BA21" s="141"/>
      <c r="BB21" s="32" t="s">
        <v>571</v>
      </c>
      <c r="BC21" s="32" t="s">
        <v>572</v>
      </c>
      <c r="BD21" s="28"/>
    </row>
    <row r="22" spans="1:56" s="33" customFormat="1" ht="28" x14ac:dyDescent="0.15">
      <c r="A22" s="47" t="s">
        <v>440</v>
      </c>
      <c r="B22" s="109" t="s">
        <v>643</v>
      </c>
      <c r="C22" s="38" t="s">
        <v>65</v>
      </c>
      <c r="D22" s="69"/>
      <c r="E22" s="69"/>
      <c r="F22" s="68">
        <v>0</v>
      </c>
      <c r="G22" s="70">
        <v>57</v>
      </c>
      <c r="H22" s="70">
        <v>285</v>
      </c>
      <c r="I22" s="68">
        <v>6</v>
      </c>
      <c r="J22" s="68">
        <v>44</v>
      </c>
      <c r="K22" s="71">
        <v>130</v>
      </c>
      <c r="L22" s="70">
        <v>-37.200000000000003</v>
      </c>
      <c r="M22" s="70">
        <f t="shared" si="10"/>
        <v>37.200000000000003</v>
      </c>
      <c r="N22" s="80">
        <v>1000</v>
      </c>
      <c r="O22" s="80">
        <v>0.1</v>
      </c>
      <c r="P22" s="72">
        <v>38.700000000000003</v>
      </c>
      <c r="Q22" s="73">
        <v>171.5</v>
      </c>
      <c r="R22" s="70">
        <v>13.1</v>
      </c>
      <c r="S22" s="70">
        <v>13.1</v>
      </c>
      <c r="T22" s="70">
        <f t="shared" si="11"/>
        <v>13.1</v>
      </c>
      <c r="U22" s="101">
        <v>1</v>
      </c>
      <c r="V22" s="70">
        <v>-37.200000000000003</v>
      </c>
      <c r="W22" s="72">
        <v>38.700000000000003</v>
      </c>
      <c r="X22" s="73">
        <v>171.5</v>
      </c>
      <c r="Y22" s="70">
        <v>13.1</v>
      </c>
      <c r="Z22" s="70">
        <v>13.1</v>
      </c>
      <c r="AA22" s="70">
        <f t="shared" si="12"/>
        <v>13.1</v>
      </c>
      <c r="AB22" s="68" t="s">
        <v>69</v>
      </c>
      <c r="AC22" s="68">
        <v>4</v>
      </c>
      <c r="AD22" s="74">
        <f t="shared" si="3"/>
        <v>1</v>
      </c>
      <c r="AE22" s="75">
        <f t="shared" si="4"/>
        <v>1</v>
      </c>
      <c r="AF22" s="75">
        <f t="shared" si="5"/>
        <v>1</v>
      </c>
      <c r="AG22" s="75">
        <f t="shared" si="6"/>
        <v>1</v>
      </c>
      <c r="AH22" s="66">
        <f t="shared" si="13"/>
        <v>1</v>
      </c>
      <c r="AI22" s="66">
        <v>1</v>
      </c>
      <c r="AJ22" s="66">
        <v>0</v>
      </c>
      <c r="AK22" s="76">
        <v>1</v>
      </c>
      <c r="AL22" s="66">
        <v>1</v>
      </c>
      <c r="AM22" s="2">
        <v>0</v>
      </c>
      <c r="AN22" s="6">
        <f t="shared" si="8"/>
        <v>5</v>
      </c>
      <c r="AO22" s="66" t="s">
        <v>66</v>
      </c>
      <c r="AP22" s="14">
        <f t="shared" si="14"/>
        <v>1998</v>
      </c>
      <c r="AQ22" s="66">
        <v>1996</v>
      </c>
      <c r="AR22" s="66">
        <v>2000</v>
      </c>
      <c r="AS22" s="79" t="s">
        <v>472</v>
      </c>
      <c r="AT22" s="67" t="s">
        <v>471</v>
      </c>
      <c r="AU22" s="78" t="s">
        <v>453</v>
      </c>
      <c r="AV22" s="66">
        <v>2010</v>
      </c>
      <c r="AW22" s="78" t="s">
        <v>68</v>
      </c>
      <c r="AX22" s="66">
        <v>183</v>
      </c>
      <c r="AY22" s="79" t="s">
        <v>454</v>
      </c>
      <c r="AZ22" s="147" t="s">
        <v>455</v>
      </c>
      <c r="BA22" s="126" t="s">
        <v>379</v>
      </c>
      <c r="BB22" s="161" t="s">
        <v>556</v>
      </c>
    </row>
    <row r="23" spans="1:56" s="33" customFormat="1" ht="56" x14ac:dyDescent="0.15">
      <c r="A23" s="47" t="s">
        <v>383</v>
      </c>
      <c r="B23" s="117" t="s">
        <v>650</v>
      </c>
      <c r="C23" s="38">
        <v>5915</v>
      </c>
      <c r="D23" s="69"/>
      <c r="E23" s="99" t="s">
        <v>412</v>
      </c>
      <c r="F23" s="68">
        <v>100</v>
      </c>
      <c r="G23" s="70">
        <v>65.900002000000001</v>
      </c>
      <c r="H23" s="70">
        <v>252.900002</v>
      </c>
      <c r="I23" s="68">
        <v>22</v>
      </c>
      <c r="J23" s="68">
        <v>65</v>
      </c>
      <c r="K23" s="71">
        <v>86</v>
      </c>
      <c r="L23" s="70">
        <v>25</v>
      </c>
      <c r="M23" s="70">
        <f t="shared" si="10"/>
        <v>25</v>
      </c>
      <c r="N23" s="70">
        <v>12</v>
      </c>
      <c r="O23" s="70">
        <v>9</v>
      </c>
      <c r="P23" s="72">
        <v>14</v>
      </c>
      <c r="Q23" s="73">
        <v>341</v>
      </c>
      <c r="R23" s="70">
        <v>6</v>
      </c>
      <c r="S23" s="70">
        <v>10</v>
      </c>
      <c r="T23" s="70">
        <f t="shared" si="11"/>
        <v>7.745966692414834</v>
      </c>
      <c r="U23" s="101">
        <v>0.6</v>
      </c>
      <c r="V23" s="101">
        <v>37.9</v>
      </c>
      <c r="W23" s="102">
        <v>20.9</v>
      </c>
      <c r="X23" s="102">
        <v>337.5</v>
      </c>
      <c r="Y23" s="102">
        <v>6.3</v>
      </c>
      <c r="Z23" s="102">
        <v>10.6</v>
      </c>
      <c r="AA23" s="102">
        <v>8.1999999999999993</v>
      </c>
      <c r="AB23" s="68">
        <v>23</v>
      </c>
      <c r="AC23" s="68">
        <v>3</v>
      </c>
      <c r="AD23" s="74">
        <f t="shared" si="3"/>
        <v>1</v>
      </c>
      <c r="AE23" s="75">
        <f t="shared" si="4"/>
        <v>1</v>
      </c>
      <c r="AF23" s="75">
        <f t="shared" si="5"/>
        <v>1</v>
      </c>
      <c r="AG23" s="75">
        <f t="shared" si="6"/>
        <v>1</v>
      </c>
      <c r="AH23" s="66">
        <f t="shared" si="13"/>
        <v>1</v>
      </c>
      <c r="AI23" s="66">
        <v>1</v>
      </c>
      <c r="AJ23" s="66">
        <v>1</v>
      </c>
      <c r="AK23" s="76">
        <v>1</v>
      </c>
      <c r="AL23" s="66">
        <f>IF(OR(AB23="0or100",AB23=0,AB23=100),0,1)</f>
        <v>1</v>
      </c>
      <c r="AM23" s="2">
        <v>0</v>
      </c>
      <c r="AN23" s="6">
        <f t="shared" si="8"/>
        <v>6</v>
      </c>
      <c r="AO23" s="66" t="s">
        <v>70</v>
      </c>
      <c r="AP23" s="14">
        <f t="shared" si="14"/>
        <v>1963</v>
      </c>
      <c r="AQ23" s="66">
        <v>1957</v>
      </c>
      <c r="AR23" s="66">
        <v>1969</v>
      </c>
      <c r="AS23" s="77" t="s">
        <v>413</v>
      </c>
      <c r="AT23" s="78" t="s">
        <v>411</v>
      </c>
      <c r="AU23" s="78" t="s">
        <v>414</v>
      </c>
      <c r="AV23" s="66">
        <v>1981</v>
      </c>
      <c r="AW23" s="78" t="s">
        <v>415</v>
      </c>
      <c r="AX23" s="66"/>
      <c r="AY23" s="79" t="s">
        <v>416</v>
      </c>
      <c r="AZ23" s="148" t="s">
        <v>417</v>
      </c>
      <c r="BA23" s="141"/>
      <c r="BB23" s="108" t="s">
        <v>581</v>
      </c>
      <c r="BC23" s="28"/>
      <c r="BD23" s="28"/>
    </row>
    <row r="24" spans="1:56" ht="56" x14ac:dyDescent="0.15">
      <c r="A24" s="47" t="s">
        <v>351</v>
      </c>
      <c r="B24" s="109" t="s">
        <v>352</v>
      </c>
      <c r="C24" s="38">
        <v>8429</v>
      </c>
      <c r="D24" s="39" t="s">
        <v>353</v>
      </c>
      <c r="E24" s="39"/>
      <c r="F24" s="38">
        <v>0</v>
      </c>
      <c r="G24" s="40">
        <v>57.099997999999999</v>
      </c>
      <c r="H24" s="40">
        <v>251.599998</v>
      </c>
      <c r="I24" s="38">
        <v>8</v>
      </c>
      <c r="J24" s="38">
        <v>115</v>
      </c>
      <c r="K24" s="5">
        <v>112.300003</v>
      </c>
      <c r="L24" s="40">
        <v>38</v>
      </c>
      <c r="M24" s="40">
        <f t="shared" si="10"/>
        <v>38</v>
      </c>
      <c r="N24" s="40">
        <v>315.79998799999998</v>
      </c>
      <c r="O24" s="40">
        <v>3.1</v>
      </c>
      <c r="P24" s="110">
        <v>6.5</v>
      </c>
      <c r="Q24" s="30">
        <v>311.79998799999998</v>
      </c>
      <c r="R24" s="40">
        <v>2.2000000000000002</v>
      </c>
      <c r="S24" s="40">
        <v>3.7</v>
      </c>
      <c r="T24" s="40">
        <f t="shared" si="11"/>
        <v>2.8530685235374214</v>
      </c>
      <c r="U24" s="101">
        <v>1</v>
      </c>
      <c r="V24" s="40">
        <v>38</v>
      </c>
      <c r="W24" s="110">
        <v>6.5</v>
      </c>
      <c r="X24" s="30">
        <v>311.79998799999998</v>
      </c>
      <c r="Y24" s="40">
        <v>2.2000000000000002</v>
      </c>
      <c r="Z24" s="40">
        <v>3.7</v>
      </c>
      <c r="AA24" s="40">
        <f>SQRT(Y24*Z24)</f>
        <v>2.8530685235374214</v>
      </c>
      <c r="AB24" s="38">
        <v>0</v>
      </c>
      <c r="AC24" s="38">
        <v>4</v>
      </c>
      <c r="AD24" s="6">
        <f t="shared" si="3"/>
        <v>1</v>
      </c>
      <c r="AE24" s="7">
        <f t="shared" si="4"/>
        <v>1</v>
      </c>
      <c r="AF24" s="7">
        <f t="shared" si="5"/>
        <v>1</v>
      </c>
      <c r="AG24" s="7">
        <f t="shared" si="6"/>
        <v>1</v>
      </c>
      <c r="AH24" s="8">
        <f t="shared" si="13"/>
        <v>1</v>
      </c>
      <c r="AI24" s="8">
        <v>1</v>
      </c>
      <c r="AJ24" s="8">
        <v>0</v>
      </c>
      <c r="AK24" s="96">
        <v>0</v>
      </c>
      <c r="AL24" s="8">
        <f>IF(OR(AB24="0or100",AB24=0,AB24=100),0,1)</f>
        <v>0</v>
      </c>
      <c r="AM24" s="2">
        <v>1</v>
      </c>
      <c r="AN24" s="6">
        <f t="shared" si="8"/>
        <v>4</v>
      </c>
      <c r="AO24" s="8" t="s">
        <v>70</v>
      </c>
      <c r="AP24" s="14">
        <f t="shared" si="14"/>
        <v>1917</v>
      </c>
      <c r="AQ24" s="8">
        <v>1910</v>
      </c>
      <c r="AR24" s="8">
        <v>1924</v>
      </c>
      <c r="AS24" s="41" t="s">
        <v>354</v>
      </c>
      <c r="AT24" s="47" t="s">
        <v>352</v>
      </c>
      <c r="AU24" s="25" t="s">
        <v>355</v>
      </c>
      <c r="AV24" s="8">
        <v>1999</v>
      </c>
      <c r="AW24" s="25" t="s">
        <v>35</v>
      </c>
      <c r="AX24" s="8" t="s">
        <v>356</v>
      </c>
      <c r="AY24" s="42" t="s">
        <v>357</v>
      </c>
      <c r="AZ24" s="153" t="s">
        <v>358</v>
      </c>
      <c r="BA24" s="126"/>
      <c r="BB24" s="31" t="s">
        <v>566</v>
      </c>
      <c r="BC24" s="33" t="s">
        <v>565</v>
      </c>
      <c r="BD24" s="33"/>
    </row>
    <row r="25" spans="1:56" s="28" customFormat="1" ht="84" x14ac:dyDescent="0.15">
      <c r="A25" s="100" t="s">
        <v>522</v>
      </c>
      <c r="B25" s="120" t="s">
        <v>538</v>
      </c>
      <c r="C25" s="59" t="s">
        <v>34</v>
      </c>
      <c r="D25" s="83"/>
      <c r="E25" s="105" t="s">
        <v>105</v>
      </c>
      <c r="F25" s="135">
        <v>0</v>
      </c>
      <c r="G25" s="135">
        <v>44.7</v>
      </c>
      <c r="H25" s="135">
        <v>-108.3</v>
      </c>
      <c r="I25" s="135">
        <v>16</v>
      </c>
      <c r="J25" s="135">
        <v>109</v>
      </c>
      <c r="K25" s="135">
        <v>65.099999999999994</v>
      </c>
      <c r="L25" s="135">
        <v>75.2</v>
      </c>
      <c r="M25" s="101">
        <f t="shared" si="10"/>
        <v>75.2</v>
      </c>
      <c r="N25" s="135">
        <v>21.8</v>
      </c>
      <c r="O25" s="135">
        <v>4.7</v>
      </c>
      <c r="P25" s="135">
        <v>49.2</v>
      </c>
      <c r="Q25" s="135">
        <v>292</v>
      </c>
      <c r="R25" s="135">
        <v>8.1</v>
      </c>
      <c r="S25" s="135">
        <v>8.1</v>
      </c>
      <c r="T25" s="135">
        <v>8.1</v>
      </c>
      <c r="U25" s="101">
        <v>1</v>
      </c>
      <c r="V25" s="135">
        <v>75.2</v>
      </c>
      <c r="W25" s="135">
        <v>49.2</v>
      </c>
      <c r="X25" s="135">
        <v>292</v>
      </c>
      <c r="Y25" s="135">
        <v>8.1</v>
      </c>
      <c r="Z25" s="135">
        <v>8.1</v>
      </c>
      <c r="AA25" s="135">
        <v>8.1</v>
      </c>
      <c r="AB25" s="135" t="s">
        <v>539</v>
      </c>
      <c r="AC25" s="64">
        <v>4</v>
      </c>
      <c r="AD25" s="1">
        <f t="shared" si="3"/>
        <v>1</v>
      </c>
      <c r="AE25" s="10">
        <f t="shared" si="4"/>
        <v>1</v>
      </c>
      <c r="AF25" s="10">
        <f t="shared" si="5"/>
        <v>1</v>
      </c>
      <c r="AG25" s="10">
        <f t="shared" si="6"/>
        <v>1</v>
      </c>
      <c r="AH25" s="2">
        <v>1</v>
      </c>
      <c r="AI25" s="2">
        <v>1</v>
      </c>
      <c r="AJ25" s="2">
        <v>1</v>
      </c>
      <c r="AK25" s="2">
        <v>1</v>
      </c>
      <c r="AL25" s="2">
        <v>1</v>
      </c>
      <c r="AM25" s="2">
        <v>0</v>
      </c>
      <c r="AN25" s="6">
        <f t="shared" si="8"/>
        <v>6</v>
      </c>
      <c r="AO25" s="2" t="s">
        <v>27</v>
      </c>
      <c r="AP25" s="128">
        <v>1899</v>
      </c>
      <c r="AQ25" s="2">
        <f>1899-5</f>
        <v>1894</v>
      </c>
      <c r="AR25" s="2">
        <f>1899+5</f>
        <v>1904</v>
      </c>
      <c r="AS25" s="125" t="s">
        <v>540</v>
      </c>
      <c r="AT25" s="100" t="s">
        <v>538</v>
      </c>
      <c r="AU25" s="129" t="s">
        <v>541</v>
      </c>
      <c r="AV25" s="130" t="s">
        <v>542</v>
      </c>
      <c r="AW25" s="60" t="s">
        <v>178</v>
      </c>
      <c r="AX25" s="2">
        <v>44</v>
      </c>
      <c r="AY25" s="61" t="s">
        <v>543</v>
      </c>
      <c r="AZ25" s="151" t="s">
        <v>544</v>
      </c>
      <c r="BA25" s="142" t="s">
        <v>545</v>
      </c>
      <c r="BB25" s="90" t="s">
        <v>669</v>
      </c>
      <c r="BC25" s="31"/>
      <c r="BD25" s="31"/>
    </row>
    <row r="26" spans="1:56" s="28" customFormat="1" ht="98" x14ac:dyDescent="0.15">
      <c r="A26" s="60" t="s">
        <v>383</v>
      </c>
      <c r="B26" s="139" t="s">
        <v>418</v>
      </c>
      <c r="C26" s="9" t="s">
        <v>34</v>
      </c>
      <c r="D26" s="61"/>
      <c r="E26" s="86" t="s">
        <v>28</v>
      </c>
      <c r="F26" s="9">
        <v>0</v>
      </c>
      <c r="G26" s="63">
        <v>62.6</v>
      </c>
      <c r="H26" s="63">
        <v>244.6</v>
      </c>
      <c r="I26" s="2">
        <v>23</v>
      </c>
      <c r="J26" s="2">
        <v>1000</v>
      </c>
      <c r="K26" s="63">
        <v>350</v>
      </c>
      <c r="L26" s="63">
        <v>-48</v>
      </c>
      <c r="M26" s="63">
        <v>48</v>
      </c>
      <c r="N26" s="63">
        <v>32</v>
      </c>
      <c r="O26" s="63">
        <v>5</v>
      </c>
      <c r="P26" s="103">
        <v>-2</v>
      </c>
      <c r="Q26" s="103">
        <f>106+180</f>
        <v>286</v>
      </c>
      <c r="R26" s="63">
        <v>6</v>
      </c>
      <c r="S26" s="63">
        <v>6</v>
      </c>
      <c r="T26" s="63">
        <v>6</v>
      </c>
      <c r="U26" s="101">
        <v>1</v>
      </c>
      <c r="V26" s="101">
        <v>-48</v>
      </c>
      <c r="W26" s="102">
        <v>2</v>
      </c>
      <c r="X26" s="103">
        <v>106</v>
      </c>
      <c r="Y26" s="101">
        <v>6</v>
      </c>
      <c r="Z26" s="101">
        <v>6</v>
      </c>
      <c r="AA26" s="101">
        <v>6</v>
      </c>
      <c r="AB26" s="2">
        <v>74</v>
      </c>
      <c r="AC26" s="2">
        <v>4</v>
      </c>
      <c r="AD26" s="2">
        <f t="shared" si="3"/>
        <v>1</v>
      </c>
      <c r="AE26" s="2">
        <f t="shared" si="4"/>
        <v>1</v>
      </c>
      <c r="AF26" s="2">
        <f t="shared" si="5"/>
        <v>1</v>
      </c>
      <c r="AG26" s="2">
        <f t="shared" si="6"/>
        <v>1</v>
      </c>
      <c r="AH26" s="2">
        <f t="shared" ref="AH26:AH68" si="15">AE26*AF26*AG26</f>
        <v>1</v>
      </c>
      <c r="AI26" s="2">
        <v>1</v>
      </c>
      <c r="AJ26" s="2">
        <v>1</v>
      </c>
      <c r="AK26" s="104">
        <v>1</v>
      </c>
      <c r="AL26" s="2">
        <f>IF(OR(AB26="0or100",AB26=0,AB26=100),0,1)</f>
        <v>1</v>
      </c>
      <c r="AM26" s="2">
        <v>0</v>
      </c>
      <c r="AN26" s="2">
        <f t="shared" si="8"/>
        <v>6</v>
      </c>
      <c r="AO26" s="92" t="s">
        <v>27</v>
      </c>
      <c r="AP26" s="84">
        <v>1887</v>
      </c>
      <c r="AQ26" s="11">
        <v>1878</v>
      </c>
      <c r="AR26" s="2">
        <v>1892</v>
      </c>
      <c r="AS26" s="62" t="s">
        <v>419</v>
      </c>
      <c r="AT26" s="60" t="s">
        <v>418</v>
      </c>
      <c r="AU26" s="86" t="s">
        <v>400</v>
      </c>
      <c r="AV26" s="2">
        <v>2016</v>
      </c>
      <c r="AW26" s="86" t="s">
        <v>401</v>
      </c>
      <c r="AX26" s="9">
        <v>275</v>
      </c>
      <c r="AY26" s="88" t="s">
        <v>402</v>
      </c>
      <c r="AZ26" s="156" t="s">
        <v>403</v>
      </c>
      <c r="BA26" s="126" t="s">
        <v>420</v>
      </c>
      <c r="BB26" s="105" t="s">
        <v>575</v>
      </c>
      <c r="BC26" s="31"/>
      <c r="BD26" s="31"/>
    </row>
    <row r="27" spans="1:56" s="28" customFormat="1" ht="56" x14ac:dyDescent="0.15">
      <c r="A27" s="25" t="s">
        <v>383</v>
      </c>
      <c r="B27" s="117" t="s">
        <v>612</v>
      </c>
      <c r="C27" s="8" t="s">
        <v>65</v>
      </c>
      <c r="D27" s="79"/>
      <c r="E27" s="79" t="s">
        <v>167</v>
      </c>
      <c r="F27" s="66">
        <v>100</v>
      </c>
      <c r="G27" s="71">
        <v>65</v>
      </c>
      <c r="H27" s="71">
        <v>250</v>
      </c>
      <c r="I27" s="66">
        <v>82</v>
      </c>
      <c r="J27" s="71">
        <v>1000</v>
      </c>
      <c r="K27" s="71">
        <v>169.5</v>
      </c>
      <c r="L27" s="71">
        <v>34</v>
      </c>
      <c r="M27" s="71">
        <f t="shared" ref="M27:M58" si="16">ABS(L27)</f>
        <v>34</v>
      </c>
      <c r="N27" s="71">
        <v>1000</v>
      </c>
      <c r="O27" s="71">
        <v>0.1</v>
      </c>
      <c r="P27" s="73">
        <v>-6</v>
      </c>
      <c r="Q27" s="73">
        <v>260</v>
      </c>
      <c r="R27" s="71">
        <v>4</v>
      </c>
      <c r="S27" s="71">
        <v>4</v>
      </c>
      <c r="T27" s="71">
        <f t="shared" ref="T27:T58" si="17">SQRT(R27*S27)</f>
        <v>4</v>
      </c>
      <c r="U27" s="101">
        <v>1</v>
      </c>
      <c r="V27" s="70">
        <v>34</v>
      </c>
      <c r="W27" s="72">
        <v>-6</v>
      </c>
      <c r="X27" s="73">
        <v>260</v>
      </c>
      <c r="Y27" s="70">
        <v>4</v>
      </c>
      <c r="Z27" s="70">
        <v>4</v>
      </c>
      <c r="AA27" s="70">
        <f>SQRT(Y27*Z27)</f>
        <v>4</v>
      </c>
      <c r="AB27" s="66" t="s">
        <v>69</v>
      </c>
      <c r="AC27" s="66">
        <v>3</v>
      </c>
      <c r="AD27" s="66">
        <f t="shared" si="3"/>
        <v>1</v>
      </c>
      <c r="AE27" s="66">
        <f t="shared" si="4"/>
        <v>1</v>
      </c>
      <c r="AF27" s="66">
        <f t="shared" si="5"/>
        <v>1</v>
      </c>
      <c r="AG27" s="66">
        <f t="shared" si="6"/>
        <v>1</v>
      </c>
      <c r="AH27" s="66">
        <f t="shared" si="15"/>
        <v>1</v>
      </c>
      <c r="AI27" s="66">
        <v>1</v>
      </c>
      <c r="AJ27" s="66">
        <v>1</v>
      </c>
      <c r="AK27" s="76">
        <v>1</v>
      </c>
      <c r="AL27" s="66">
        <f>IF(OR(AB27="0or100",AB27=0,AB27=100),0,1)</f>
        <v>1</v>
      </c>
      <c r="AM27" s="2">
        <v>1</v>
      </c>
      <c r="AN27" s="8">
        <f t="shared" si="8"/>
        <v>7</v>
      </c>
      <c r="AO27" s="66" t="s">
        <v>70</v>
      </c>
      <c r="AP27" s="14">
        <f t="shared" ref="AP27:AP68" si="18">AVERAGE(AQ27:AR27)</f>
        <v>1885</v>
      </c>
      <c r="AQ27" s="66">
        <v>1880</v>
      </c>
      <c r="AR27" s="66">
        <v>1890</v>
      </c>
      <c r="AS27" s="77" t="s">
        <v>422</v>
      </c>
      <c r="AT27" s="78" t="s">
        <v>421</v>
      </c>
      <c r="AU27" s="78" t="s">
        <v>423</v>
      </c>
      <c r="AV27" s="66">
        <v>2010</v>
      </c>
      <c r="AW27" s="78" t="s">
        <v>1</v>
      </c>
      <c r="AX27" s="66">
        <v>179</v>
      </c>
      <c r="AY27" s="79" t="s">
        <v>424</v>
      </c>
      <c r="AZ27" s="148" t="s">
        <v>425</v>
      </c>
      <c r="BA27" s="126"/>
      <c r="BB27" s="93" t="s">
        <v>578</v>
      </c>
      <c r="BC27" s="31"/>
      <c r="BD27" s="31"/>
    </row>
    <row r="28" spans="1:56" s="28" customFormat="1" ht="56" x14ac:dyDescent="0.15">
      <c r="A28" s="25" t="s">
        <v>383</v>
      </c>
      <c r="B28" s="117" t="s">
        <v>613</v>
      </c>
      <c r="C28" s="8" t="s">
        <v>65</v>
      </c>
      <c r="D28" s="79"/>
      <c r="E28" s="79"/>
      <c r="F28" s="66">
        <v>100</v>
      </c>
      <c r="G28" s="71">
        <v>65</v>
      </c>
      <c r="H28" s="71">
        <v>250</v>
      </c>
      <c r="I28" s="66">
        <v>33</v>
      </c>
      <c r="J28" s="71">
        <v>1000</v>
      </c>
      <c r="K28" s="71">
        <v>145.4</v>
      </c>
      <c r="L28" s="71">
        <v>16.899999999999999</v>
      </c>
      <c r="M28" s="71">
        <f t="shared" si="16"/>
        <v>16.899999999999999</v>
      </c>
      <c r="N28" s="71">
        <v>1000</v>
      </c>
      <c r="O28" s="71">
        <v>0.1</v>
      </c>
      <c r="P28" s="73">
        <v>-12</v>
      </c>
      <c r="Q28" s="73">
        <v>285</v>
      </c>
      <c r="R28" s="71">
        <v>7</v>
      </c>
      <c r="S28" s="71">
        <v>7</v>
      </c>
      <c r="T28" s="71">
        <f t="shared" si="17"/>
        <v>7</v>
      </c>
      <c r="U28" s="101">
        <v>0.6</v>
      </c>
      <c r="V28" s="101">
        <v>26.9</v>
      </c>
      <c r="W28" s="101">
        <v>-6.6</v>
      </c>
      <c r="X28" s="101">
        <v>283.7</v>
      </c>
      <c r="Y28" s="101">
        <v>4.0999999999999996</v>
      </c>
      <c r="Z28" s="101">
        <v>7.6</v>
      </c>
      <c r="AA28" s="101">
        <v>5.6</v>
      </c>
      <c r="AB28" s="66" t="s">
        <v>69</v>
      </c>
      <c r="AC28" s="66">
        <v>2</v>
      </c>
      <c r="AD28" s="66">
        <f t="shared" si="3"/>
        <v>1</v>
      </c>
      <c r="AE28" s="66">
        <f t="shared" si="4"/>
        <v>1</v>
      </c>
      <c r="AF28" s="66">
        <f t="shared" si="5"/>
        <v>1</v>
      </c>
      <c r="AG28" s="66">
        <f t="shared" si="6"/>
        <v>1</v>
      </c>
      <c r="AH28" s="66">
        <f t="shared" si="15"/>
        <v>1</v>
      </c>
      <c r="AI28" s="66">
        <v>0</v>
      </c>
      <c r="AJ28" s="66">
        <v>0</v>
      </c>
      <c r="AK28" s="76">
        <v>1</v>
      </c>
      <c r="AL28" s="66">
        <f>IF(OR(AB28="0or100",AB28=0,AB28=100),0,1)</f>
        <v>1</v>
      </c>
      <c r="AM28" s="2">
        <v>1</v>
      </c>
      <c r="AN28" s="8">
        <f t="shared" si="8"/>
        <v>5</v>
      </c>
      <c r="AO28" s="66" t="s">
        <v>70</v>
      </c>
      <c r="AP28" s="14">
        <f t="shared" si="18"/>
        <v>1882</v>
      </c>
      <c r="AQ28" s="66">
        <v>1878</v>
      </c>
      <c r="AR28" s="66">
        <v>1886</v>
      </c>
      <c r="AS28" s="77" t="s">
        <v>427</v>
      </c>
      <c r="AT28" s="78" t="s">
        <v>426</v>
      </c>
      <c r="AU28" s="78" t="s">
        <v>423</v>
      </c>
      <c r="AV28" s="66">
        <v>2010</v>
      </c>
      <c r="AW28" s="78" t="s">
        <v>1</v>
      </c>
      <c r="AX28" s="66">
        <v>179</v>
      </c>
      <c r="AY28" s="79" t="s">
        <v>424</v>
      </c>
      <c r="AZ28" s="148" t="s">
        <v>425</v>
      </c>
      <c r="BA28" s="126"/>
      <c r="BB28" s="93" t="s">
        <v>578</v>
      </c>
      <c r="BC28" s="31"/>
      <c r="BD28" s="31"/>
    </row>
    <row r="29" spans="1:56" ht="28" x14ac:dyDescent="0.15">
      <c r="A29" s="25" t="s">
        <v>473</v>
      </c>
      <c r="B29" s="117" t="s">
        <v>647</v>
      </c>
      <c r="C29" s="8" t="s">
        <v>65</v>
      </c>
      <c r="D29" s="79"/>
      <c r="E29" s="79" t="s">
        <v>147</v>
      </c>
      <c r="F29" s="66">
        <v>0</v>
      </c>
      <c r="G29" s="71">
        <v>55</v>
      </c>
      <c r="H29" s="71">
        <v>262</v>
      </c>
      <c r="I29" s="66"/>
      <c r="J29" s="71">
        <v>1000</v>
      </c>
      <c r="K29" s="71">
        <v>248.6</v>
      </c>
      <c r="L29" s="71">
        <v>66.7</v>
      </c>
      <c r="M29" s="71">
        <f t="shared" si="16"/>
        <v>66.7</v>
      </c>
      <c r="N29" s="71">
        <v>1000</v>
      </c>
      <c r="O29" s="71">
        <v>0.1</v>
      </c>
      <c r="P29" s="73">
        <v>28.9</v>
      </c>
      <c r="Q29" s="73">
        <v>218</v>
      </c>
      <c r="R29" s="71">
        <v>3.8</v>
      </c>
      <c r="S29" s="71">
        <v>3.8</v>
      </c>
      <c r="T29" s="71">
        <f t="shared" si="17"/>
        <v>3.8</v>
      </c>
      <c r="U29" s="101">
        <v>1</v>
      </c>
      <c r="V29" s="70">
        <v>66.7</v>
      </c>
      <c r="W29" s="72">
        <v>28.9</v>
      </c>
      <c r="X29" s="73">
        <v>218</v>
      </c>
      <c r="Y29" s="70">
        <v>3.8</v>
      </c>
      <c r="Z29" s="70">
        <v>3.8</v>
      </c>
      <c r="AA29" s="70">
        <f>SQRT(Y29*Z29)</f>
        <v>3.8</v>
      </c>
      <c r="AB29" s="66" t="s">
        <v>69</v>
      </c>
      <c r="AC29" s="66">
        <v>4</v>
      </c>
      <c r="AD29" s="66">
        <f t="shared" si="3"/>
        <v>1</v>
      </c>
      <c r="AE29" s="66">
        <f t="shared" si="4"/>
        <v>1</v>
      </c>
      <c r="AF29" s="66">
        <f t="shared" si="5"/>
        <v>1</v>
      </c>
      <c r="AG29" s="66">
        <f t="shared" si="6"/>
        <v>1</v>
      </c>
      <c r="AH29" s="66">
        <f t="shared" si="15"/>
        <v>1</v>
      </c>
      <c r="AI29" s="66">
        <v>1</v>
      </c>
      <c r="AJ29" s="66">
        <v>1</v>
      </c>
      <c r="AK29" s="76">
        <v>1</v>
      </c>
      <c r="AL29" s="66">
        <v>1</v>
      </c>
      <c r="AM29" s="2">
        <v>1</v>
      </c>
      <c r="AN29" s="8">
        <f t="shared" si="8"/>
        <v>7</v>
      </c>
      <c r="AO29" s="66" t="s">
        <v>66</v>
      </c>
      <c r="AP29" s="14">
        <f t="shared" si="18"/>
        <v>1878.5</v>
      </c>
      <c r="AQ29" s="66">
        <v>1873</v>
      </c>
      <c r="AR29" s="66">
        <v>1884</v>
      </c>
      <c r="AS29" s="79" t="s">
        <v>488</v>
      </c>
      <c r="AT29" s="78" t="s">
        <v>487</v>
      </c>
      <c r="AU29" s="78" t="s">
        <v>453</v>
      </c>
      <c r="AV29" s="66">
        <v>2010</v>
      </c>
      <c r="AW29" s="78" t="s">
        <v>68</v>
      </c>
      <c r="AX29" s="66">
        <v>183</v>
      </c>
      <c r="AY29" s="79" t="s">
        <v>454</v>
      </c>
      <c r="AZ29" s="148" t="s">
        <v>455</v>
      </c>
      <c r="BA29" s="126"/>
      <c r="BB29" s="161" t="s">
        <v>556</v>
      </c>
      <c r="BC29" s="94"/>
      <c r="BD29" s="94"/>
    </row>
    <row r="30" spans="1:56" s="28" customFormat="1" ht="42" x14ac:dyDescent="0.15">
      <c r="A30" s="25" t="s">
        <v>383</v>
      </c>
      <c r="B30" s="117" t="s">
        <v>428</v>
      </c>
      <c r="C30" s="8">
        <v>16</v>
      </c>
      <c r="D30" s="79" t="s">
        <v>242</v>
      </c>
      <c r="E30" s="79" t="s">
        <v>60</v>
      </c>
      <c r="F30" s="66">
        <v>100</v>
      </c>
      <c r="G30" s="71">
        <v>62.799999</v>
      </c>
      <c r="H30" s="71">
        <v>249.699997</v>
      </c>
      <c r="I30" s="66">
        <v>6</v>
      </c>
      <c r="J30" s="66">
        <v>43</v>
      </c>
      <c r="K30" s="71">
        <v>172</v>
      </c>
      <c r="L30" s="71">
        <v>18</v>
      </c>
      <c r="M30" s="71">
        <f t="shared" si="16"/>
        <v>18</v>
      </c>
      <c r="N30" s="71">
        <v>14</v>
      </c>
      <c r="O30" s="71">
        <v>19</v>
      </c>
      <c r="P30" s="73">
        <v>-18</v>
      </c>
      <c r="Q30" s="73">
        <v>258</v>
      </c>
      <c r="R30" s="71">
        <v>10.199999999999999</v>
      </c>
      <c r="S30" s="71">
        <v>19.700001</v>
      </c>
      <c r="T30" s="71">
        <f t="shared" si="17"/>
        <v>14.17533104375344</v>
      </c>
      <c r="U30" s="166">
        <v>0.8</v>
      </c>
      <c r="V30" s="166">
        <v>22.1</v>
      </c>
      <c r="W30" s="166">
        <v>-15.5</v>
      </c>
      <c r="X30" s="166">
        <v>257.8</v>
      </c>
      <c r="Y30" s="166">
        <v>10.6</v>
      </c>
      <c r="Z30" s="166">
        <v>20.100000000000001</v>
      </c>
      <c r="AA30" s="166">
        <v>14.6</v>
      </c>
      <c r="AB30" s="66">
        <v>33</v>
      </c>
      <c r="AC30" s="66">
        <v>3</v>
      </c>
      <c r="AD30" s="66">
        <f t="shared" si="3"/>
        <v>1</v>
      </c>
      <c r="AE30" s="66">
        <f t="shared" si="4"/>
        <v>1</v>
      </c>
      <c r="AF30" s="66">
        <f t="shared" si="5"/>
        <v>1</v>
      </c>
      <c r="AG30" s="66">
        <f t="shared" si="6"/>
        <v>0</v>
      </c>
      <c r="AH30" s="66">
        <f t="shared" si="15"/>
        <v>0</v>
      </c>
      <c r="AI30" s="66">
        <v>1</v>
      </c>
      <c r="AJ30" s="66">
        <v>0</v>
      </c>
      <c r="AK30" s="76">
        <v>1</v>
      </c>
      <c r="AL30" s="66">
        <f t="shared" ref="AL30:AL40" si="19">IF(OR(AB30="0or100",AB30=0,AB30=100),0,1)</f>
        <v>1</v>
      </c>
      <c r="AM30" s="2">
        <v>1</v>
      </c>
      <c r="AN30" s="8">
        <f t="shared" si="8"/>
        <v>5</v>
      </c>
      <c r="AO30" s="66" t="s">
        <v>70</v>
      </c>
      <c r="AP30" s="14">
        <f t="shared" si="18"/>
        <v>1876</v>
      </c>
      <c r="AQ30" s="66">
        <v>1866</v>
      </c>
      <c r="AR30" s="66">
        <v>1886</v>
      </c>
      <c r="AS30" s="77" t="s">
        <v>429</v>
      </c>
      <c r="AT30" s="78" t="s">
        <v>428</v>
      </c>
      <c r="AU30" s="78" t="s">
        <v>430</v>
      </c>
      <c r="AV30" s="66">
        <v>1979</v>
      </c>
      <c r="AW30" s="78" t="s">
        <v>53</v>
      </c>
      <c r="AX30" s="66" t="s">
        <v>64</v>
      </c>
      <c r="AY30" s="79" t="s">
        <v>431</v>
      </c>
      <c r="AZ30" s="148" t="s">
        <v>432</v>
      </c>
      <c r="BA30" s="126"/>
      <c r="BB30" s="93" t="s">
        <v>661</v>
      </c>
    </row>
    <row r="31" spans="1:56" s="28" customFormat="1" ht="42" x14ac:dyDescent="0.15">
      <c r="A31" s="25" t="s">
        <v>383</v>
      </c>
      <c r="B31" s="117" t="s">
        <v>433</v>
      </c>
      <c r="C31" s="8">
        <v>18</v>
      </c>
      <c r="D31" s="79"/>
      <c r="E31" s="79" t="s">
        <v>60</v>
      </c>
      <c r="F31" s="66">
        <v>100</v>
      </c>
      <c r="G31" s="71">
        <v>66.099997999999999</v>
      </c>
      <c r="H31" s="71">
        <v>246.900002</v>
      </c>
      <c r="I31" s="66">
        <v>17</v>
      </c>
      <c r="J31" s="66">
        <v>111</v>
      </c>
      <c r="K31" s="71">
        <v>178</v>
      </c>
      <c r="L31" s="71">
        <v>19</v>
      </c>
      <c r="M31" s="71">
        <f t="shared" si="16"/>
        <v>19</v>
      </c>
      <c r="N31" s="71">
        <v>15</v>
      </c>
      <c r="O31" s="71">
        <v>10</v>
      </c>
      <c r="P31" s="73">
        <v>-13</v>
      </c>
      <c r="Q31" s="73">
        <v>249</v>
      </c>
      <c r="R31" s="71">
        <v>8</v>
      </c>
      <c r="S31" s="71">
        <v>8</v>
      </c>
      <c r="T31" s="71">
        <f t="shared" si="17"/>
        <v>8</v>
      </c>
      <c r="U31" s="101">
        <v>0.6</v>
      </c>
      <c r="V31" s="101">
        <v>29.9</v>
      </c>
      <c r="W31" s="101">
        <v>-7.9</v>
      </c>
      <c r="X31" s="101">
        <v>248.8</v>
      </c>
      <c r="Y31" s="101">
        <v>6.1</v>
      </c>
      <c r="Z31" s="101">
        <v>11.1</v>
      </c>
      <c r="AA31" s="101">
        <v>8.3000000000000007</v>
      </c>
      <c r="AB31" s="66">
        <v>18</v>
      </c>
      <c r="AC31" s="66">
        <v>3</v>
      </c>
      <c r="AD31" s="66">
        <f t="shared" si="3"/>
        <v>1</v>
      </c>
      <c r="AE31" s="66">
        <f t="shared" si="4"/>
        <v>1</v>
      </c>
      <c r="AF31" s="66">
        <f t="shared" si="5"/>
        <v>1</v>
      </c>
      <c r="AG31" s="66">
        <f t="shared" si="6"/>
        <v>1</v>
      </c>
      <c r="AH31" s="66">
        <f t="shared" si="15"/>
        <v>1</v>
      </c>
      <c r="AI31" s="66">
        <v>1</v>
      </c>
      <c r="AJ31" s="66">
        <v>0</v>
      </c>
      <c r="AK31" s="76">
        <v>1</v>
      </c>
      <c r="AL31" s="66">
        <f t="shared" si="19"/>
        <v>1</v>
      </c>
      <c r="AM31" s="2">
        <v>1</v>
      </c>
      <c r="AN31" s="8">
        <f t="shared" si="8"/>
        <v>6</v>
      </c>
      <c r="AO31" s="66" t="s">
        <v>70</v>
      </c>
      <c r="AP31" s="14">
        <f t="shared" si="18"/>
        <v>1876</v>
      </c>
      <c r="AQ31" s="66">
        <v>1866</v>
      </c>
      <c r="AR31" s="66">
        <v>1886</v>
      </c>
      <c r="AS31" s="77" t="s">
        <v>429</v>
      </c>
      <c r="AT31" s="78" t="s">
        <v>433</v>
      </c>
      <c r="AU31" s="78" t="s">
        <v>430</v>
      </c>
      <c r="AV31" s="66">
        <v>1979</v>
      </c>
      <c r="AW31" s="78" t="s">
        <v>53</v>
      </c>
      <c r="AX31" s="66" t="s">
        <v>64</v>
      </c>
      <c r="AY31" s="79" t="s">
        <v>431</v>
      </c>
      <c r="AZ31" s="148" t="s">
        <v>432</v>
      </c>
      <c r="BA31" s="126"/>
      <c r="BB31" s="93" t="s">
        <v>661</v>
      </c>
    </row>
    <row r="32" spans="1:56" ht="18.5" customHeight="1" x14ac:dyDescent="0.15">
      <c r="A32" s="25" t="s">
        <v>436</v>
      </c>
      <c r="B32" s="117" t="s">
        <v>617</v>
      </c>
      <c r="C32" s="8" t="s">
        <v>65</v>
      </c>
      <c r="D32" s="79" t="s">
        <v>438</v>
      </c>
      <c r="E32" s="79" t="s">
        <v>67</v>
      </c>
      <c r="F32" s="66">
        <v>100</v>
      </c>
      <c r="G32" s="71">
        <v>56.2</v>
      </c>
      <c r="H32" s="71">
        <v>281</v>
      </c>
      <c r="I32" s="66">
        <v>27</v>
      </c>
      <c r="J32" s="66">
        <v>100</v>
      </c>
      <c r="K32" s="71">
        <v>38.700000000000003</v>
      </c>
      <c r="L32" s="71">
        <v>-47.8</v>
      </c>
      <c r="M32" s="71">
        <f t="shared" si="16"/>
        <v>47.8</v>
      </c>
      <c r="N32" s="71">
        <v>1000</v>
      </c>
      <c r="O32" s="71">
        <v>0.1</v>
      </c>
      <c r="P32" s="73">
        <v>1</v>
      </c>
      <c r="Q32" s="73">
        <v>245.8</v>
      </c>
      <c r="R32" s="71">
        <v>3.9</v>
      </c>
      <c r="S32" s="71">
        <v>3.9</v>
      </c>
      <c r="T32" s="71">
        <f t="shared" si="17"/>
        <v>3.9</v>
      </c>
      <c r="U32" s="101">
        <v>1</v>
      </c>
      <c r="V32" s="70">
        <v>3.5</v>
      </c>
      <c r="W32" s="72">
        <v>-13</v>
      </c>
      <c r="X32" s="73">
        <v>249</v>
      </c>
      <c r="Y32" s="70">
        <v>8</v>
      </c>
      <c r="Z32" s="70">
        <v>8</v>
      </c>
      <c r="AA32" s="70">
        <f>SQRT(Y32*Z32)</f>
        <v>8</v>
      </c>
      <c r="AB32" s="66" t="s">
        <v>69</v>
      </c>
      <c r="AC32" s="66">
        <v>3</v>
      </c>
      <c r="AD32" s="66">
        <f t="shared" si="3"/>
        <v>1</v>
      </c>
      <c r="AE32" s="66">
        <f t="shared" si="4"/>
        <v>1</v>
      </c>
      <c r="AF32" s="66">
        <f t="shared" si="5"/>
        <v>1</v>
      </c>
      <c r="AG32" s="66">
        <f t="shared" si="6"/>
        <v>1</v>
      </c>
      <c r="AH32" s="66">
        <f t="shared" si="15"/>
        <v>1</v>
      </c>
      <c r="AI32" s="66">
        <v>1</v>
      </c>
      <c r="AJ32" s="66">
        <v>1</v>
      </c>
      <c r="AK32" s="76">
        <v>1</v>
      </c>
      <c r="AL32" s="66">
        <f t="shared" si="19"/>
        <v>1</v>
      </c>
      <c r="AM32" s="2">
        <v>1</v>
      </c>
      <c r="AN32" s="8">
        <f t="shared" si="8"/>
        <v>7</v>
      </c>
      <c r="AO32" s="66" t="s">
        <v>70</v>
      </c>
      <c r="AP32" s="14">
        <f t="shared" si="18"/>
        <v>1870</v>
      </c>
      <c r="AQ32" s="66">
        <v>1869</v>
      </c>
      <c r="AR32" s="66">
        <v>1871</v>
      </c>
      <c r="AS32" s="79" t="s">
        <v>439</v>
      </c>
      <c r="AT32" s="78" t="s">
        <v>437</v>
      </c>
      <c r="AU32" s="77" t="s">
        <v>49</v>
      </c>
      <c r="AV32" s="65">
        <v>2009</v>
      </c>
      <c r="AW32" s="77"/>
      <c r="AX32" s="65"/>
      <c r="AY32" s="77"/>
      <c r="AZ32" s="149"/>
      <c r="BA32" s="126"/>
      <c r="BB32" s="31" t="s">
        <v>621</v>
      </c>
      <c r="BC32" s="94"/>
      <c r="BD32" s="94"/>
    </row>
    <row r="33" spans="1:56" ht="56" x14ac:dyDescent="0.15">
      <c r="A33" s="25" t="s">
        <v>383</v>
      </c>
      <c r="B33" s="117" t="s">
        <v>651</v>
      </c>
      <c r="C33" s="8" t="s">
        <v>65</v>
      </c>
      <c r="D33" s="79"/>
      <c r="E33" s="79" t="s">
        <v>147</v>
      </c>
      <c r="F33" s="66"/>
      <c r="G33" s="71">
        <v>65</v>
      </c>
      <c r="H33" s="71">
        <v>250</v>
      </c>
      <c r="I33" s="66">
        <v>22</v>
      </c>
      <c r="J33" s="71">
        <v>1000</v>
      </c>
      <c r="K33" s="71">
        <v>162.4</v>
      </c>
      <c r="L33" s="71">
        <v>3.5</v>
      </c>
      <c r="M33" s="71">
        <f t="shared" si="16"/>
        <v>3.5</v>
      </c>
      <c r="N33" s="71">
        <v>1000</v>
      </c>
      <c r="O33" s="71">
        <v>0.1</v>
      </c>
      <c r="P33" s="73">
        <v>-22</v>
      </c>
      <c r="Q33" s="73">
        <v>269</v>
      </c>
      <c r="R33" s="71">
        <v>6</v>
      </c>
      <c r="S33" s="71">
        <v>6</v>
      </c>
      <c r="T33" s="71">
        <f t="shared" si="17"/>
        <v>6</v>
      </c>
      <c r="U33" s="101">
        <v>1</v>
      </c>
      <c r="V33" s="70">
        <v>-47.8</v>
      </c>
      <c r="W33" s="72">
        <v>1</v>
      </c>
      <c r="X33" s="73">
        <v>245.8</v>
      </c>
      <c r="Y33" s="70">
        <v>3.9</v>
      </c>
      <c r="Z33" s="70">
        <v>3.9</v>
      </c>
      <c r="AA33" s="70">
        <f>SQRT(Y33*Z33)</f>
        <v>3.9</v>
      </c>
      <c r="AB33" s="66" t="s">
        <v>69</v>
      </c>
      <c r="AC33" s="66">
        <v>2</v>
      </c>
      <c r="AD33" s="66">
        <f t="shared" si="3"/>
        <v>1</v>
      </c>
      <c r="AE33" s="66">
        <f t="shared" si="4"/>
        <v>1</v>
      </c>
      <c r="AF33" s="66">
        <f t="shared" si="5"/>
        <v>1</v>
      </c>
      <c r="AG33" s="66">
        <f t="shared" si="6"/>
        <v>1</v>
      </c>
      <c r="AH33" s="66">
        <f t="shared" si="15"/>
        <v>1</v>
      </c>
      <c r="AI33" s="66">
        <v>0</v>
      </c>
      <c r="AJ33" s="66">
        <v>1</v>
      </c>
      <c r="AK33" s="76">
        <v>1</v>
      </c>
      <c r="AL33" s="66">
        <f t="shared" si="19"/>
        <v>1</v>
      </c>
      <c r="AM33" s="2">
        <v>1</v>
      </c>
      <c r="AN33" s="8">
        <f t="shared" si="8"/>
        <v>6</v>
      </c>
      <c r="AO33" s="66" t="s">
        <v>66</v>
      </c>
      <c r="AP33" s="14">
        <f t="shared" si="18"/>
        <v>1870</v>
      </c>
      <c r="AQ33" s="66">
        <v>1866</v>
      </c>
      <c r="AR33" s="66">
        <v>1874</v>
      </c>
      <c r="AS33" s="77" t="s">
        <v>435</v>
      </c>
      <c r="AT33" s="78" t="s">
        <v>434</v>
      </c>
      <c r="AU33" s="78" t="s">
        <v>423</v>
      </c>
      <c r="AV33" s="66">
        <v>2010</v>
      </c>
      <c r="AW33" s="78" t="s">
        <v>1</v>
      </c>
      <c r="AX33" s="66">
        <v>179</v>
      </c>
      <c r="AY33" s="79" t="s">
        <v>424</v>
      </c>
      <c r="AZ33" s="148" t="s">
        <v>425</v>
      </c>
      <c r="BA33" s="126"/>
      <c r="BB33" s="93" t="s">
        <v>578</v>
      </c>
    </row>
    <row r="34" spans="1:56" ht="70" x14ac:dyDescent="0.15">
      <c r="A34" s="25" t="s">
        <v>503</v>
      </c>
      <c r="B34" s="117" t="s">
        <v>504</v>
      </c>
      <c r="C34" s="8">
        <v>8359</v>
      </c>
      <c r="D34" s="79"/>
      <c r="E34" s="79" t="s">
        <v>505</v>
      </c>
      <c r="F34" s="66">
        <v>0</v>
      </c>
      <c r="G34" s="71">
        <v>54.700001</v>
      </c>
      <c r="H34" s="71">
        <v>258.09999800000003</v>
      </c>
      <c r="I34" s="66">
        <v>18</v>
      </c>
      <c r="J34" s="66">
        <v>90</v>
      </c>
      <c r="K34" s="71">
        <v>46.700001</v>
      </c>
      <c r="L34" s="71">
        <v>83.199996999999996</v>
      </c>
      <c r="M34" s="71">
        <f t="shared" si="16"/>
        <v>83.199996999999996</v>
      </c>
      <c r="N34" s="71">
        <v>72</v>
      </c>
      <c r="O34" s="71">
        <v>4.0999999999999996</v>
      </c>
      <c r="P34" s="73">
        <v>62.400002000000001</v>
      </c>
      <c r="Q34" s="103">
        <v>275.39999999999998</v>
      </c>
      <c r="R34" s="71">
        <v>7.9</v>
      </c>
      <c r="S34" s="71">
        <v>8</v>
      </c>
      <c r="T34" s="71">
        <f t="shared" si="17"/>
        <v>7.9498427657407165</v>
      </c>
      <c r="U34" s="101">
        <v>1</v>
      </c>
      <c r="V34" s="70">
        <v>83.199996999999996</v>
      </c>
      <c r="W34" s="72">
        <v>62.400002000000001</v>
      </c>
      <c r="X34" s="73">
        <v>279.39999399999999</v>
      </c>
      <c r="Y34" s="70">
        <v>7.9</v>
      </c>
      <c r="Z34" s="70">
        <v>8</v>
      </c>
      <c r="AA34" s="70">
        <f>SQRT(Y34*Z34)</f>
        <v>7.9498427657407165</v>
      </c>
      <c r="AB34" s="66">
        <v>6</v>
      </c>
      <c r="AC34" s="66">
        <v>4</v>
      </c>
      <c r="AD34" s="66">
        <f t="shared" ref="AD34:AD65" si="20">IF(((AR34-AQ34)/2)&gt;MIN($AD$1,((AR34+AQ34)/2)*$AD$1/1000),0,1)</f>
        <v>1</v>
      </c>
      <c r="AE34" s="66">
        <f t="shared" ref="AE34:AE65" si="21">IF(J34&gt;$AE$1,1,0)</f>
        <v>1</v>
      </c>
      <c r="AF34" s="66">
        <f t="shared" ref="AF34:AF65" si="22">IF(N34&gt;($AF$1-0.001),1,0)</f>
        <v>1</v>
      </c>
      <c r="AG34" s="66">
        <f t="shared" ref="AG34:AG65" si="23">IF(O34&lt;($AG$1+0.001),1,0)</f>
        <v>1</v>
      </c>
      <c r="AH34" s="66">
        <f t="shared" si="15"/>
        <v>1</v>
      </c>
      <c r="AI34" s="66">
        <v>1</v>
      </c>
      <c r="AJ34" s="66">
        <v>1</v>
      </c>
      <c r="AK34" s="76">
        <v>0</v>
      </c>
      <c r="AL34" s="66">
        <f t="shared" si="19"/>
        <v>1</v>
      </c>
      <c r="AM34" s="2">
        <v>1</v>
      </c>
      <c r="AN34" s="8">
        <f t="shared" ref="AN34:AN65" si="24">AD34+SUM(AH34:AM34)</f>
        <v>6</v>
      </c>
      <c r="AO34" s="66" t="s">
        <v>70</v>
      </c>
      <c r="AP34" s="14">
        <f t="shared" si="18"/>
        <v>1838</v>
      </c>
      <c r="AQ34" s="66">
        <v>1837</v>
      </c>
      <c r="AR34" s="66">
        <v>1839</v>
      </c>
      <c r="AS34" s="77" t="s">
        <v>63</v>
      </c>
      <c r="AT34" s="78" t="s">
        <v>504</v>
      </c>
      <c r="AU34" s="78" t="s">
        <v>506</v>
      </c>
      <c r="AV34" s="66">
        <v>1999</v>
      </c>
      <c r="AW34" s="78" t="s">
        <v>507</v>
      </c>
      <c r="AX34" s="66" t="s">
        <v>107</v>
      </c>
      <c r="AY34" s="79" t="s">
        <v>508</v>
      </c>
      <c r="AZ34" s="148" t="s">
        <v>509</v>
      </c>
      <c r="BA34" s="126"/>
      <c r="BB34" s="161" t="s">
        <v>553</v>
      </c>
    </row>
    <row r="35" spans="1:56" s="28" customFormat="1" ht="42" x14ac:dyDescent="0.15">
      <c r="A35" s="47" t="s">
        <v>351</v>
      </c>
      <c r="B35" s="109" t="s">
        <v>359</v>
      </c>
      <c r="C35" s="38">
        <v>2642</v>
      </c>
      <c r="D35" s="39"/>
      <c r="E35" s="39" t="s">
        <v>360</v>
      </c>
      <c r="F35" s="38">
        <v>0</v>
      </c>
      <c r="G35" s="40">
        <v>61.599997999999999</v>
      </c>
      <c r="H35" s="40">
        <v>250.199997</v>
      </c>
      <c r="I35" s="38">
        <v>10</v>
      </c>
      <c r="J35" s="38">
        <v>54</v>
      </c>
      <c r="K35" s="5">
        <v>131</v>
      </c>
      <c r="L35" s="40">
        <v>51</v>
      </c>
      <c r="M35" s="40">
        <f t="shared" si="16"/>
        <v>51</v>
      </c>
      <c r="N35" s="40">
        <v>50</v>
      </c>
      <c r="O35" s="40">
        <v>7</v>
      </c>
      <c r="P35" s="110">
        <v>12</v>
      </c>
      <c r="Q35" s="30">
        <v>291</v>
      </c>
      <c r="R35" s="40">
        <v>6.6</v>
      </c>
      <c r="S35" s="40">
        <v>9.4</v>
      </c>
      <c r="T35" s="40">
        <f t="shared" si="17"/>
        <v>7.8765474670060867</v>
      </c>
      <c r="U35" s="101">
        <v>1</v>
      </c>
      <c r="V35" s="40">
        <v>51</v>
      </c>
      <c r="W35" s="110">
        <v>12</v>
      </c>
      <c r="X35" s="30">
        <v>291</v>
      </c>
      <c r="Y35" s="40">
        <v>6.6</v>
      </c>
      <c r="Z35" s="40">
        <v>9.4</v>
      </c>
      <c r="AA35" s="40">
        <f>SQRT(Y35*Z35)</f>
        <v>7.8765474670060867</v>
      </c>
      <c r="AB35" s="38">
        <v>20</v>
      </c>
      <c r="AC35" s="38">
        <v>3</v>
      </c>
      <c r="AD35" s="6">
        <f t="shared" si="20"/>
        <v>1</v>
      </c>
      <c r="AE35" s="7">
        <f t="shared" si="21"/>
        <v>1</v>
      </c>
      <c r="AF35" s="7">
        <f t="shared" si="22"/>
        <v>1</v>
      </c>
      <c r="AG35" s="7">
        <f t="shared" si="23"/>
        <v>1</v>
      </c>
      <c r="AH35" s="8">
        <f t="shared" si="15"/>
        <v>1</v>
      </c>
      <c r="AI35" s="8">
        <v>1</v>
      </c>
      <c r="AJ35" s="8">
        <v>0</v>
      </c>
      <c r="AK35" s="96">
        <v>1</v>
      </c>
      <c r="AL35" s="8">
        <f t="shared" si="19"/>
        <v>1</v>
      </c>
      <c r="AM35" s="2">
        <v>0</v>
      </c>
      <c r="AN35" s="6">
        <f t="shared" si="24"/>
        <v>5</v>
      </c>
      <c r="AO35" s="8" t="s">
        <v>70</v>
      </c>
      <c r="AP35" s="14">
        <f t="shared" si="18"/>
        <v>1827</v>
      </c>
      <c r="AQ35" s="8">
        <v>1823</v>
      </c>
      <c r="AR35" s="8">
        <v>1831</v>
      </c>
      <c r="AS35" s="41" t="s">
        <v>361</v>
      </c>
      <c r="AT35" s="47" t="s">
        <v>359</v>
      </c>
      <c r="AU35" s="25" t="s">
        <v>362</v>
      </c>
      <c r="AV35" s="8">
        <v>1974</v>
      </c>
      <c r="AW35" s="25" t="s">
        <v>93</v>
      </c>
      <c r="AX35" s="8" t="s">
        <v>363</v>
      </c>
      <c r="AY35" s="42" t="s">
        <v>364</v>
      </c>
      <c r="AZ35" s="153" t="s">
        <v>365</v>
      </c>
      <c r="BA35" s="141" t="s">
        <v>366</v>
      </c>
      <c r="BB35" s="32" t="s">
        <v>567</v>
      </c>
      <c r="BC35" s="31"/>
      <c r="BD35" s="31"/>
    </row>
    <row r="36" spans="1:56" s="28" customFormat="1" ht="42" x14ac:dyDescent="0.15">
      <c r="A36" s="47" t="s">
        <v>351</v>
      </c>
      <c r="B36" s="109" t="s">
        <v>367</v>
      </c>
      <c r="C36" s="38">
        <v>2659</v>
      </c>
      <c r="D36" s="39"/>
      <c r="E36" s="39" t="s">
        <v>56</v>
      </c>
      <c r="F36" s="38">
        <v>100</v>
      </c>
      <c r="G36" s="40">
        <v>59.599997999999999</v>
      </c>
      <c r="H36" s="40">
        <v>251.400002</v>
      </c>
      <c r="I36" s="38">
        <v>15</v>
      </c>
      <c r="J36" s="38">
        <v>56</v>
      </c>
      <c r="K36" s="5">
        <v>322.5</v>
      </c>
      <c r="L36" s="40">
        <v>-29.4</v>
      </c>
      <c r="M36" s="40">
        <f t="shared" si="16"/>
        <v>29.4</v>
      </c>
      <c r="N36" s="40">
        <v>15</v>
      </c>
      <c r="O36" s="40">
        <v>10.4</v>
      </c>
      <c r="P36" s="110">
        <v>-9</v>
      </c>
      <c r="Q36" s="30">
        <v>288</v>
      </c>
      <c r="R36" s="40">
        <v>6.3</v>
      </c>
      <c r="S36" s="40">
        <v>11.5</v>
      </c>
      <c r="T36" s="40">
        <f t="shared" si="17"/>
        <v>8.5117565754666646</v>
      </c>
      <c r="U36" s="101">
        <v>0.6</v>
      </c>
      <c r="V36" s="101">
        <v>-43.2</v>
      </c>
      <c r="W36" s="90">
        <v>-0.2</v>
      </c>
      <c r="X36" s="101">
        <v>104.8</v>
      </c>
      <c r="Y36" s="101">
        <v>8</v>
      </c>
      <c r="Z36" s="101">
        <v>12.9</v>
      </c>
      <c r="AA36" s="101">
        <v>10.199999999999999</v>
      </c>
      <c r="AB36" s="38">
        <v>60</v>
      </c>
      <c r="AC36" s="38">
        <v>2</v>
      </c>
      <c r="AD36" s="6">
        <f t="shared" si="20"/>
        <v>1</v>
      </c>
      <c r="AE36" s="7">
        <f t="shared" si="21"/>
        <v>1</v>
      </c>
      <c r="AF36" s="7">
        <f t="shared" si="22"/>
        <v>1</v>
      </c>
      <c r="AG36" s="7">
        <f t="shared" si="23"/>
        <v>1</v>
      </c>
      <c r="AH36" s="8">
        <f t="shared" si="15"/>
        <v>1</v>
      </c>
      <c r="AI36" s="8">
        <v>0</v>
      </c>
      <c r="AJ36" s="8">
        <v>1</v>
      </c>
      <c r="AK36" s="96">
        <v>1</v>
      </c>
      <c r="AL36" s="8">
        <f t="shared" si="19"/>
        <v>1</v>
      </c>
      <c r="AM36" s="2">
        <v>0</v>
      </c>
      <c r="AN36" s="6">
        <f t="shared" si="24"/>
        <v>5</v>
      </c>
      <c r="AO36" s="8" t="s">
        <v>66</v>
      </c>
      <c r="AP36" s="14">
        <f t="shared" si="18"/>
        <v>1818</v>
      </c>
      <c r="AQ36" s="8">
        <v>1814</v>
      </c>
      <c r="AR36" s="8">
        <v>1822</v>
      </c>
      <c r="AS36" s="41" t="s">
        <v>368</v>
      </c>
      <c r="AT36" s="47" t="s">
        <v>367</v>
      </c>
      <c r="AU36" s="25" t="s">
        <v>369</v>
      </c>
      <c r="AV36" s="8">
        <v>1973</v>
      </c>
      <c r="AW36" s="25" t="s">
        <v>93</v>
      </c>
      <c r="AX36" s="8" t="s">
        <v>370</v>
      </c>
      <c r="AY36" s="42" t="s">
        <v>371</v>
      </c>
      <c r="AZ36" s="153" t="s">
        <v>372</v>
      </c>
      <c r="BA36" s="141" t="s">
        <v>366</v>
      </c>
      <c r="BB36" s="32" t="s">
        <v>568</v>
      </c>
    </row>
    <row r="37" spans="1:56" ht="28" x14ac:dyDescent="0.15">
      <c r="A37" s="47" t="s">
        <v>73</v>
      </c>
      <c r="B37" s="109" t="s">
        <v>74</v>
      </c>
      <c r="C37" s="38">
        <v>2737</v>
      </c>
      <c r="D37" s="39"/>
      <c r="E37" s="39" t="s">
        <v>75</v>
      </c>
      <c r="F37" s="38">
        <v>100</v>
      </c>
      <c r="G37" s="40">
        <v>64.099997999999999</v>
      </c>
      <c r="H37" s="40">
        <v>265.59999800000003</v>
      </c>
      <c r="I37" s="38">
        <v>30</v>
      </c>
      <c r="J37" s="38">
        <v>130</v>
      </c>
      <c r="K37" s="5">
        <v>347</v>
      </c>
      <c r="L37" s="40">
        <v>-50</v>
      </c>
      <c r="M37" s="40">
        <f t="shared" si="16"/>
        <v>50</v>
      </c>
      <c r="N37" s="40">
        <v>17</v>
      </c>
      <c r="O37" s="40">
        <v>7</v>
      </c>
      <c r="P37" s="110">
        <v>7</v>
      </c>
      <c r="Q37" s="30">
        <v>277</v>
      </c>
      <c r="R37" s="40">
        <v>8</v>
      </c>
      <c r="S37" s="40">
        <v>8</v>
      </c>
      <c r="T37" s="40">
        <f t="shared" si="17"/>
        <v>8</v>
      </c>
      <c r="U37" s="101">
        <v>0.6</v>
      </c>
      <c r="V37" s="101">
        <v>-63.3</v>
      </c>
      <c r="W37" s="101">
        <v>-19.399999999999999</v>
      </c>
      <c r="X37" s="101">
        <v>95.3</v>
      </c>
      <c r="Y37" s="101">
        <v>8.6999999999999993</v>
      </c>
      <c r="Z37" s="101">
        <v>11</v>
      </c>
      <c r="AA37" s="101">
        <v>9.8000000000000007</v>
      </c>
      <c r="AB37" s="38">
        <v>63</v>
      </c>
      <c r="AC37" s="38">
        <v>3</v>
      </c>
      <c r="AD37" s="6">
        <f t="shared" si="20"/>
        <v>1</v>
      </c>
      <c r="AE37" s="7">
        <f t="shared" si="21"/>
        <v>1</v>
      </c>
      <c r="AF37" s="7">
        <f t="shared" si="22"/>
        <v>1</v>
      </c>
      <c r="AG37" s="7">
        <f t="shared" si="23"/>
        <v>1</v>
      </c>
      <c r="AH37" s="8">
        <f t="shared" si="15"/>
        <v>1</v>
      </c>
      <c r="AI37" s="8">
        <v>1</v>
      </c>
      <c r="AJ37" s="8">
        <v>1</v>
      </c>
      <c r="AK37" s="96">
        <v>1</v>
      </c>
      <c r="AL37" s="8">
        <f t="shared" si="19"/>
        <v>1</v>
      </c>
      <c r="AM37" s="2">
        <v>0</v>
      </c>
      <c r="AN37" s="6">
        <f t="shared" si="24"/>
        <v>6</v>
      </c>
      <c r="AO37" s="8" t="s">
        <v>70</v>
      </c>
      <c r="AP37" s="14">
        <f t="shared" si="18"/>
        <v>1785</v>
      </c>
      <c r="AQ37" s="8">
        <v>1750</v>
      </c>
      <c r="AR37" s="8">
        <v>1820</v>
      </c>
      <c r="AS37" s="41" t="s">
        <v>76</v>
      </c>
      <c r="AT37" s="47" t="s">
        <v>74</v>
      </c>
      <c r="AU37" s="25" t="s">
        <v>77</v>
      </c>
      <c r="AV37" s="8">
        <v>1973</v>
      </c>
      <c r="AW37" s="25" t="s">
        <v>23</v>
      </c>
      <c r="AX37" s="8" t="s">
        <v>78</v>
      </c>
      <c r="AY37" s="42" t="s">
        <v>79</v>
      </c>
      <c r="AZ37" s="157" t="s">
        <v>80</v>
      </c>
      <c r="BA37" s="143" t="s">
        <v>81</v>
      </c>
      <c r="BB37" s="33" t="s">
        <v>667</v>
      </c>
      <c r="BC37" s="28"/>
      <c r="BD37" s="28"/>
    </row>
    <row r="38" spans="1:56" s="28" customFormat="1" ht="56" x14ac:dyDescent="0.15">
      <c r="A38" s="47" t="s">
        <v>503</v>
      </c>
      <c r="B38" s="109" t="s">
        <v>510</v>
      </c>
      <c r="C38" s="38">
        <v>8889</v>
      </c>
      <c r="D38" s="69"/>
      <c r="E38" s="69"/>
      <c r="F38" s="68">
        <v>0</v>
      </c>
      <c r="G38" s="70">
        <v>54.900002000000001</v>
      </c>
      <c r="H38" s="70">
        <v>256.699997</v>
      </c>
      <c r="I38" s="68">
        <v>18</v>
      </c>
      <c r="J38" s="68">
        <v>168</v>
      </c>
      <c r="K38" s="71">
        <v>28.299999</v>
      </c>
      <c r="L38" s="70">
        <v>82.099997999999999</v>
      </c>
      <c r="M38" s="70">
        <f t="shared" si="16"/>
        <v>82.099997999999999</v>
      </c>
      <c r="N38" s="70">
        <v>77.5</v>
      </c>
      <c r="O38" s="70">
        <v>4</v>
      </c>
      <c r="P38" s="72">
        <v>67.5</v>
      </c>
      <c r="Q38" s="73">
        <v>276</v>
      </c>
      <c r="R38" s="70">
        <v>7.6</v>
      </c>
      <c r="S38" s="70">
        <v>7.8</v>
      </c>
      <c r="T38" s="70">
        <f t="shared" si="17"/>
        <v>7.6993506219680627</v>
      </c>
      <c r="U38" s="101">
        <v>1</v>
      </c>
      <c r="V38" s="70">
        <v>82.099997999999999</v>
      </c>
      <c r="W38" s="72">
        <v>67.5</v>
      </c>
      <c r="X38" s="73">
        <v>276</v>
      </c>
      <c r="Y38" s="70">
        <v>7.6</v>
      </c>
      <c r="Z38" s="70">
        <v>7.8</v>
      </c>
      <c r="AA38" s="70">
        <f t="shared" ref="AA38:AA44" si="25">SQRT(Y38*Z38)</f>
        <v>7.6993506219680627</v>
      </c>
      <c r="AB38" s="68" t="s">
        <v>33</v>
      </c>
      <c r="AC38" s="68">
        <v>4</v>
      </c>
      <c r="AD38" s="74">
        <f t="shared" si="20"/>
        <v>1</v>
      </c>
      <c r="AE38" s="75">
        <f t="shared" si="21"/>
        <v>1</v>
      </c>
      <c r="AF38" s="75">
        <f t="shared" si="22"/>
        <v>1</v>
      </c>
      <c r="AG38" s="75">
        <f t="shared" si="23"/>
        <v>1</v>
      </c>
      <c r="AH38" s="66">
        <f t="shared" si="15"/>
        <v>1</v>
      </c>
      <c r="AI38" s="66">
        <v>1</v>
      </c>
      <c r="AJ38" s="66">
        <v>0</v>
      </c>
      <c r="AK38" s="76">
        <v>1</v>
      </c>
      <c r="AL38" s="66">
        <f t="shared" si="19"/>
        <v>0</v>
      </c>
      <c r="AM38" s="2">
        <v>1</v>
      </c>
      <c r="AN38" s="6">
        <f t="shared" si="24"/>
        <v>5</v>
      </c>
      <c r="AO38" s="66" t="s">
        <v>70</v>
      </c>
      <c r="AP38" s="14">
        <f t="shared" si="18"/>
        <v>1766</v>
      </c>
      <c r="AQ38" s="66">
        <v>1761</v>
      </c>
      <c r="AR38" s="66">
        <v>1771</v>
      </c>
      <c r="AS38" s="77" t="s">
        <v>63</v>
      </c>
      <c r="AT38" s="67" t="s">
        <v>510</v>
      </c>
      <c r="AU38" s="78" t="s">
        <v>511</v>
      </c>
      <c r="AV38" s="66">
        <v>2000</v>
      </c>
      <c r="AW38" s="78" t="s">
        <v>512</v>
      </c>
      <c r="AX38" s="66" t="s">
        <v>59</v>
      </c>
      <c r="AY38" s="79" t="s">
        <v>513</v>
      </c>
      <c r="AZ38" s="152" t="s">
        <v>514</v>
      </c>
      <c r="BA38" s="141"/>
      <c r="BB38" s="160" t="s">
        <v>552</v>
      </c>
      <c r="BC38" s="31" t="s">
        <v>550</v>
      </c>
      <c r="BD38" s="31"/>
    </row>
    <row r="39" spans="1:56" s="28" customFormat="1" ht="28" x14ac:dyDescent="0.15">
      <c r="A39" s="47" t="s">
        <v>503</v>
      </c>
      <c r="B39" s="109" t="s">
        <v>515</v>
      </c>
      <c r="C39" s="38" t="s">
        <v>65</v>
      </c>
      <c r="D39" s="69" t="s">
        <v>516</v>
      </c>
      <c r="E39" s="69"/>
      <c r="F39" s="68">
        <v>0</v>
      </c>
      <c r="G39" s="70">
        <v>54.900002000000001</v>
      </c>
      <c r="H39" s="70">
        <v>257.199997</v>
      </c>
      <c r="I39" s="68">
        <v>10</v>
      </c>
      <c r="J39" s="80">
        <v>1000</v>
      </c>
      <c r="K39" s="71">
        <v>166.7</v>
      </c>
      <c r="L39" s="70">
        <v>73.2</v>
      </c>
      <c r="M39" s="70">
        <f t="shared" si="16"/>
        <v>73.2</v>
      </c>
      <c r="N39" s="70">
        <v>27.6</v>
      </c>
      <c r="O39" s="70">
        <v>10</v>
      </c>
      <c r="P39" s="72">
        <v>24.3</v>
      </c>
      <c r="Q39" s="73">
        <v>264.3</v>
      </c>
      <c r="R39" s="70">
        <v>16</v>
      </c>
      <c r="S39" s="70">
        <v>17.899999999999999</v>
      </c>
      <c r="T39" s="70">
        <f t="shared" si="17"/>
        <v>16.923356641044943</v>
      </c>
      <c r="U39" s="101">
        <v>1</v>
      </c>
      <c r="V39" s="70">
        <v>73.2</v>
      </c>
      <c r="W39" s="72">
        <v>24.3</v>
      </c>
      <c r="X39" s="73">
        <v>264.3</v>
      </c>
      <c r="Y39" s="70">
        <v>16</v>
      </c>
      <c r="Z39" s="70">
        <v>17.899999999999999</v>
      </c>
      <c r="AA39" s="70">
        <f t="shared" si="25"/>
        <v>16.923356641044943</v>
      </c>
      <c r="AB39" s="68">
        <v>0</v>
      </c>
      <c r="AC39" s="68">
        <v>4</v>
      </c>
      <c r="AD39" s="74">
        <f t="shared" si="20"/>
        <v>1</v>
      </c>
      <c r="AE39" s="75">
        <f t="shared" si="21"/>
        <v>1</v>
      </c>
      <c r="AF39" s="75">
        <f t="shared" si="22"/>
        <v>1</v>
      </c>
      <c r="AG39" s="75">
        <f t="shared" si="23"/>
        <v>1</v>
      </c>
      <c r="AH39" s="66">
        <f t="shared" si="15"/>
        <v>1</v>
      </c>
      <c r="AI39" s="66">
        <v>1</v>
      </c>
      <c r="AJ39" s="66">
        <v>0</v>
      </c>
      <c r="AK39" s="76">
        <v>0</v>
      </c>
      <c r="AL39" s="66">
        <f t="shared" si="19"/>
        <v>0</v>
      </c>
      <c r="AM39" s="2">
        <v>0</v>
      </c>
      <c r="AN39" s="6">
        <f t="shared" si="24"/>
        <v>3</v>
      </c>
      <c r="AO39" s="66" t="s">
        <v>70</v>
      </c>
      <c r="AP39" s="14">
        <f t="shared" si="18"/>
        <v>1758</v>
      </c>
      <c r="AQ39" s="66">
        <v>1757</v>
      </c>
      <c r="AR39" s="66">
        <v>1759</v>
      </c>
      <c r="AS39" s="163" t="s">
        <v>517</v>
      </c>
      <c r="AT39" s="67" t="s">
        <v>515</v>
      </c>
      <c r="AU39" s="78" t="s">
        <v>518</v>
      </c>
      <c r="AV39" s="66">
        <v>1995</v>
      </c>
      <c r="AW39" s="78" t="s">
        <v>519</v>
      </c>
      <c r="AX39" s="66"/>
      <c r="AY39" s="79" t="s">
        <v>520</v>
      </c>
      <c r="AZ39" s="152" t="s">
        <v>521</v>
      </c>
      <c r="BA39" s="142"/>
      <c r="BB39" s="162" t="s">
        <v>562</v>
      </c>
      <c r="BC39" s="33" t="s">
        <v>551</v>
      </c>
      <c r="BD39" s="33" t="s">
        <v>564</v>
      </c>
    </row>
    <row r="40" spans="1:56" s="90" customFormat="1" ht="56" x14ac:dyDescent="0.15">
      <c r="A40" s="47" t="s">
        <v>73</v>
      </c>
      <c r="B40" s="109" t="s">
        <v>82</v>
      </c>
      <c r="C40" s="38">
        <v>9139</v>
      </c>
      <c r="D40" s="39"/>
      <c r="E40" s="111" t="s">
        <v>83</v>
      </c>
      <c r="F40" s="38">
        <v>0</v>
      </c>
      <c r="G40" s="40">
        <v>67.5</v>
      </c>
      <c r="H40" s="40">
        <v>241.970001</v>
      </c>
      <c r="I40" s="38">
        <v>17</v>
      </c>
      <c r="J40" s="38">
        <v>102</v>
      </c>
      <c r="K40" s="5">
        <v>136.5</v>
      </c>
      <c r="L40" s="40">
        <v>57.400002000000001</v>
      </c>
      <c r="M40" s="40">
        <f t="shared" si="16"/>
        <v>57.400002000000001</v>
      </c>
      <c r="N40" s="40">
        <v>64</v>
      </c>
      <c r="O40" s="40">
        <v>4.5</v>
      </c>
      <c r="P40" s="110">
        <v>19.399999999999999</v>
      </c>
      <c r="Q40" s="30">
        <v>276.70001200000002</v>
      </c>
      <c r="R40" s="40">
        <v>6.1</v>
      </c>
      <c r="S40" s="40">
        <v>6.1</v>
      </c>
      <c r="T40" s="40">
        <f t="shared" si="17"/>
        <v>6.1</v>
      </c>
      <c r="U40" s="101">
        <v>1</v>
      </c>
      <c r="V40" s="40">
        <v>57.400002000000001</v>
      </c>
      <c r="W40" s="110">
        <v>19.399999999999999</v>
      </c>
      <c r="X40" s="30">
        <v>276.70001200000002</v>
      </c>
      <c r="Y40" s="40">
        <v>6.1</v>
      </c>
      <c r="Z40" s="40">
        <v>6.1</v>
      </c>
      <c r="AA40" s="40">
        <f t="shared" si="25"/>
        <v>6.1</v>
      </c>
      <c r="AB40" s="38" t="s">
        <v>33</v>
      </c>
      <c r="AC40" s="38">
        <v>4</v>
      </c>
      <c r="AD40" s="6">
        <f t="shared" si="20"/>
        <v>1</v>
      </c>
      <c r="AE40" s="7">
        <f t="shared" si="21"/>
        <v>1</v>
      </c>
      <c r="AF40" s="7">
        <f t="shared" si="22"/>
        <v>1</v>
      </c>
      <c r="AG40" s="7">
        <f t="shared" si="23"/>
        <v>1</v>
      </c>
      <c r="AH40" s="8">
        <f t="shared" si="15"/>
        <v>1</v>
      </c>
      <c r="AI40" s="8">
        <v>1</v>
      </c>
      <c r="AJ40" s="8">
        <v>1</v>
      </c>
      <c r="AK40" s="96">
        <v>1</v>
      </c>
      <c r="AL40" s="8">
        <f t="shared" si="19"/>
        <v>0</v>
      </c>
      <c r="AM40" s="2">
        <v>1</v>
      </c>
      <c r="AN40" s="6">
        <f t="shared" si="24"/>
        <v>6</v>
      </c>
      <c r="AO40" s="8" t="s">
        <v>66</v>
      </c>
      <c r="AP40" s="14">
        <f t="shared" si="18"/>
        <v>1740.5</v>
      </c>
      <c r="AQ40" s="8">
        <v>1736</v>
      </c>
      <c r="AR40" s="8">
        <v>1745</v>
      </c>
      <c r="AS40" s="41" t="s">
        <v>84</v>
      </c>
      <c r="AT40" s="47" t="s">
        <v>82</v>
      </c>
      <c r="AU40" s="25" t="s">
        <v>85</v>
      </c>
      <c r="AV40" s="8">
        <v>2004</v>
      </c>
      <c r="AW40" s="25" t="s">
        <v>1</v>
      </c>
      <c r="AX40" s="8" t="s">
        <v>86</v>
      </c>
      <c r="AY40" s="42" t="s">
        <v>87</v>
      </c>
      <c r="AZ40" s="157" t="s">
        <v>88</v>
      </c>
      <c r="BA40" s="143"/>
      <c r="BB40" s="33" t="s">
        <v>665</v>
      </c>
      <c r="BC40" s="28"/>
      <c r="BD40" s="28"/>
    </row>
    <row r="41" spans="1:56" s="90" customFormat="1" ht="15" x14ac:dyDescent="0.2">
      <c r="A41" s="28" t="s">
        <v>296</v>
      </c>
      <c r="B41" s="116" t="s">
        <v>297</v>
      </c>
      <c r="C41" s="34">
        <v>100377</v>
      </c>
      <c r="D41" s="28"/>
      <c r="E41" s="28"/>
      <c r="F41" s="29">
        <v>0</v>
      </c>
      <c r="G41" s="4">
        <v>74.583399999999997</v>
      </c>
      <c r="H41" s="34">
        <f>360-57.026</f>
        <v>302.97399999999999</v>
      </c>
      <c r="I41" s="29">
        <v>9</v>
      </c>
      <c r="J41" s="29">
        <v>54</v>
      </c>
      <c r="K41" s="30">
        <v>33.1</v>
      </c>
      <c r="L41" s="30">
        <v>-31.2</v>
      </c>
      <c r="M41" s="5">
        <f t="shared" si="16"/>
        <v>31.2</v>
      </c>
      <c r="N41" s="30">
        <v>29</v>
      </c>
      <c r="O41" s="114">
        <v>0.1</v>
      </c>
      <c r="P41" s="30">
        <v>5</v>
      </c>
      <c r="Q41" s="30">
        <v>273.8</v>
      </c>
      <c r="R41" s="30">
        <v>8.6999999999999993</v>
      </c>
      <c r="S41" s="30">
        <v>8.6999999999999993</v>
      </c>
      <c r="T41" s="30">
        <f t="shared" si="17"/>
        <v>8.6999999999999993</v>
      </c>
      <c r="U41" s="103">
        <v>1</v>
      </c>
      <c r="V41" s="30">
        <v>-31.2</v>
      </c>
      <c r="W41" s="30">
        <v>5</v>
      </c>
      <c r="X41" s="30">
        <v>273.8</v>
      </c>
      <c r="Y41" s="30">
        <v>8.6999999999999993</v>
      </c>
      <c r="Z41" s="30">
        <v>8.6999999999999993</v>
      </c>
      <c r="AA41" s="30">
        <f t="shared" si="25"/>
        <v>8.6999999999999993</v>
      </c>
      <c r="AB41" s="29" t="s">
        <v>298</v>
      </c>
      <c r="AC41" s="29"/>
      <c r="AD41" s="6">
        <f t="shared" si="20"/>
        <v>1</v>
      </c>
      <c r="AE41" s="7">
        <f t="shared" si="21"/>
        <v>1</v>
      </c>
      <c r="AF41" s="7">
        <f t="shared" si="22"/>
        <v>1</v>
      </c>
      <c r="AG41" s="7">
        <f t="shared" si="23"/>
        <v>1</v>
      </c>
      <c r="AH41" s="8">
        <f t="shared" si="15"/>
        <v>1</v>
      </c>
      <c r="AI41" s="8">
        <v>1</v>
      </c>
      <c r="AJ41" s="8">
        <v>0</v>
      </c>
      <c r="AK41" s="8">
        <v>1</v>
      </c>
      <c r="AL41" s="23">
        <v>1</v>
      </c>
      <c r="AM41" s="59">
        <v>1</v>
      </c>
      <c r="AN41" s="6">
        <f t="shared" si="24"/>
        <v>6</v>
      </c>
      <c r="AO41" s="29" t="s">
        <v>8</v>
      </c>
      <c r="AP41" s="14">
        <f t="shared" si="18"/>
        <v>1633</v>
      </c>
      <c r="AQ41" s="29">
        <v>1628</v>
      </c>
      <c r="AR41" s="29">
        <v>1638</v>
      </c>
      <c r="AS41" s="28" t="s">
        <v>299</v>
      </c>
      <c r="AT41" s="33" t="s">
        <v>300</v>
      </c>
      <c r="AU41" s="3" t="s">
        <v>604</v>
      </c>
      <c r="AV41" s="4">
        <v>2011</v>
      </c>
      <c r="AW41" s="164" t="s">
        <v>605</v>
      </c>
      <c r="AX41" s="4"/>
      <c r="AY41" s="12"/>
      <c r="AZ41" s="159"/>
      <c r="BA41" s="141"/>
      <c r="BB41" s="32" t="s">
        <v>606</v>
      </c>
      <c r="BC41" s="131"/>
      <c r="BD41" s="31" t="s">
        <v>610</v>
      </c>
    </row>
    <row r="42" spans="1:56" s="87" customFormat="1" ht="42" x14ac:dyDescent="0.15">
      <c r="A42" s="47" t="s">
        <v>73</v>
      </c>
      <c r="B42" s="109" t="s">
        <v>89</v>
      </c>
      <c r="C42" s="38">
        <v>2669</v>
      </c>
      <c r="D42" s="39"/>
      <c r="E42" s="111" t="s">
        <v>90</v>
      </c>
      <c r="F42" s="38">
        <v>0</v>
      </c>
      <c r="G42" s="40">
        <v>66.400002000000001</v>
      </c>
      <c r="H42" s="40">
        <v>242.199997</v>
      </c>
      <c r="I42" s="38">
        <v>35</v>
      </c>
      <c r="J42" s="38">
        <v>130</v>
      </c>
      <c r="K42" s="5">
        <v>356</v>
      </c>
      <c r="L42" s="40">
        <v>-50</v>
      </c>
      <c r="M42" s="40">
        <f t="shared" si="16"/>
        <v>50</v>
      </c>
      <c r="N42" s="40">
        <v>35</v>
      </c>
      <c r="O42" s="40">
        <v>6</v>
      </c>
      <c r="P42" s="110">
        <v>9</v>
      </c>
      <c r="Q42" s="30">
        <v>245</v>
      </c>
      <c r="R42" s="40">
        <v>5.0999999999999996</v>
      </c>
      <c r="S42" s="40">
        <v>8.6</v>
      </c>
      <c r="T42" s="40">
        <f t="shared" si="17"/>
        <v>6.622688275919379</v>
      </c>
      <c r="U42" s="101">
        <v>1</v>
      </c>
      <c r="V42" s="40">
        <v>-50</v>
      </c>
      <c r="W42" s="110">
        <v>9</v>
      </c>
      <c r="X42" s="30">
        <v>245</v>
      </c>
      <c r="Y42" s="40">
        <v>5.0999999999999996</v>
      </c>
      <c r="Z42" s="40">
        <v>8.6</v>
      </c>
      <c r="AA42" s="40">
        <f t="shared" si="25"/>
        <v>6.622688275919379</v>
      </c>
      <c r="AB42" s="38">
        <v>100</v>
      </c>
      <c r="AC42" s="38">
        <v>2</v>
      </c>
      <c r="AD42" s="6">
        <f t="shared" si="20"/>
        <v>1</v>
      </c>
      <c r="AE42" s="7">
        <f t="shared" si="21"/>
        <v>1</v>
      </c>
      <c r="AF42" s="7">
        <f t="shared" si="22"/>
        <v>1</v>
      </c>
      <c r="AG42" s="7">
        <f t="shared" si="23"/>
        <v>1</v>
      </c>
      <c r="AH42" s="8">
        <f t="shared" si="15"/>
        <v>1</v>
      </c>
      <c r="AI42" s="8">
        <v>0</v>
      </c>
      <c r="AJ42" s="8">
        <v>1</v>
      </c>
      <c r="AK42" s="96">
        <v>1</v>
      </c>
      <c r="AL42" s="8">
        <f t="shared" ref="AL42:AL52" si="26">IF(OR(AB42="0or100",AB42=0,AB42=100),0,1)</f>
        <v>0</v>
      </c>
      <c r="AM42" s="2">
        <v>1</v>
      </c>
      <c r="AN42" s="6">
        <f t="shared" si="24"/>
        <v>5</v>
      </c>
      <c r="AO42" s="8" t="s">
        <v>66</v>
      </c>
      <c r="AP42" s="14">
        <f t="shared" si="18"/>
        <v>1590</v>
      </c>
      <c r="AQ42" s="8">
        <v>1587</v>
      </c>
      <c r="AR42" s="8">
        <v>1593</v>
      </c>
      <c r="AS42" s="41" t="s">
        <v>91</v>
      </c>
      <c r="AT42" s="47" t="s">
        <v>89</v>
      </c>
      <c r="AU42" s="25" t="s">
        <v>92</v>
      </c>
      <c r="AV42" s="8">
        <v>1972</v>
      </c>
      <c r="AW42" s="25" t="s">
        <v>93</v>
      </c>
      <c r="AX42" s="8" t="s">
        <v>94</v>
      </c>
      <c r="AY42" s="42" t="s">
        <v>95</v>
      </c>
      <c r="AZ42" s="157" t="s">
        <v>96</v>
      </c>
      <c r="BA42" s="126"/>
      <c r="BB42" s="31" t="s">
        <v>666</v>
      </c>
      <c r="BC42" s="90"/>
      <c r="BD42" s="90"/>
    </row>
    <row r="43" spans="1:56" s="87" customFormat="1" ht="154" x14ac:dyDescent="0.15">
      <c r="A43" s="47" t="s">
        <v>73</v>
      </c>
      <c r="B43" s="109" t="s">
        <v>97</v>
      </c>
      <c r="C43" s="38">
        <v>8932</v>
      </c>
      <c r="D43" s="39"/>
      <c r="E43" s="39" t="s">
        <v>98</v>
      </c>
      <c r="F43" s="38">
        <v>100</v>
      </c>
      <c r="G43" s="40">
        <v>37.5</v>
      </c>
      <c r="H43" s="40">
        <v>269.5</v>
      </c>
      <c r="I43" s="38">
        <v>18</v>
      </c>
      <c r="J43" s="38">
        <v>103</v>
      </c>
      <c r="K43" s="5">
        <v>233.39999399999999</v>
      </c>
      <c r="L43" s="40">
        <v>36.900002000000001</v>
      </c>
      <c r="M43" s="40">
        <f t="shared" si="16"/>
        <v>36.900002000000001</v>
      </c>
      <c r="N43" s="40">
        <v>27</v>
      </c>
      <c r="O43" s="40">
        <v>6.8</v>
      </c>
      <c r="P43" s="110">
        <v>-13.2</v>
      </c>
      <c r="Q43" s="30">
        <v>219</v>
      </c>
      <c r="R43" s="40">
        <v>4.7</v>
      </c>
      <c r="S43" s="40">
        <v>8</v>
      </c>
      <c r="T43" s="40">
        <f t="shared" si="17"/>
        <v>6.1318838867023571</v>
      </c>
      <c r="U43" s="101">
        <v>1</v>
      </c>
      <c r="V43" s="40">
        <v>36.900002000000001</v>
      </c>
      <c r="W43" s="110">
        <v>-13.2</v>
      </c>
      <c r="X43" s="30">
        <v>219</v>
      </c>
      <c r="Y43" s="40">
        <v>4.7</v>
      </c>
      <c r="Z43" s="40">
        <v>8</v>
      </c>
      <c r="AA43" s="40">
        <f t="shared" si="25"/>
        <v>6.1318838867023571</v>
      </c>
      <c r="AB43" s="38" t="s">
        <v>33</v>
      </c>
      <c r="AC43" s="38">
        <v>4</v>
      </c>
      <c r="AD43" s="6">
        <f t="shared" si="20"/>
        <v>1</v>
      </c>
      <c r="AE43" s="7">
        <f t="shared" si="21"/>
        <v>1</v>
      </c>
      <c r="AF43" s="7">
        <f t="shared" si="22"/>
        <v>1</v>
      </c>
      <c r="AG43" s="7">
        <f t="shared" si="23"/>
        <v>1</v>
      </c>
      <c r="AH43" s="8">
        <f t="shared" si="15"/>
        <v>1</v>
      </c>
      <c r="AI43" s="8">
        <v>1</v>
      </c>
      <c r="AJ43" s="8">
        <v>1</v>
      </c>
      <c r="AK43" s="96">
        <v>1</v>
      </c>
      <c r="AL43" s="8">
        <f t="shared" si="26"/>
        <v>0</v>
      </c>
      <c r="AM43" s="2">
        <v>1</v>
      </c>
      <c r="AN43" s="6">
        <f t="shared" si="24"/>
        <v>6</v>
      </c>
      <c r="AO43" s="8" t="s">
        <v>66</v>
      </c>
      <c r="AP43" s="14">
        <f t="shared" si="18"/>
        <v>1476</v>
      </c>
      <c r="AQ43" s="8">
        <v>1460</v>
      </c>
      <c r="AR43" s="8">
        <v>1492</v>
      </c>
      <c r="AS43" s="41" t="s">
        <v>84</v>
      </c>
      <c r="AT43" s="47" t="s">
        <v>97</v>
      </c>
      <c r="AU43" s="25" t="s">
        <v>99</v>
      </c>
      <c r="AV43" s="8">
        <v>2002</v>
      </c>
      <c r="AW43" s="25" t="s">
        <v>100</v>
      </c>
      <c r="AX43" s="8" t="s">
        <v>101</v>
      </c>
      <c r="AY43" s="42" t="s">
        <v>102</v>
      </c>
      <c r="AZ43" s="157" t="s">
        <v>103</v>
      </c>
      <c r="BA43" s="143"/>
      <c r="BB43" s="33" t="s">
        <v>579</v>
      </c>
      <c r="BC43" s="142" t="s">
        <v>580</v>
      </c>
      <c r="BD43" s="90"/>
    </row>
    <row r="44" spans="1:56" s="93" customFormat="1" ht="28" x14ac:dyDescent="0.15">
      <c r="A44" s="47" t="s">
        <v>73</v>
      </c>
      <c r="B44" s="109" t="s">
        <v>652</v>
      </c>
      <c r="C44" s="38">
        <v>2274</v>
      </c>
      <c r="D44" s="39" t="s">
        <v>58</v>
      </c>
      <c r="E44" s="39" t="s">
        <v>105</v>
      </c>
      <c r="F44" s="38">
        <v>0</v>
      </c>
      <c r="G44" s="40">
        <v>54.5</v>
      </c>
      <c r="H44" s="40">
        <v>296</v>
      </c>
      <c r="I44" s="38">
        <v>12</v>
      </c>
      <c r="J44" s="38">
        <v>54</v>
      </c>
      <c r="K44" s="5">
        <v>259.5</v>
      </c>
      <c r="L44" s="40">
        <v>11</v>
      </c>
      <c r="M44" s="40">
        <f t="shared" si="16"/>
        <v>11</v>
      </c>
      <c r="N44" s="40">
        <v>43</v>
      </c>
      <c r="O44" s="40">
        <v>6.5</v>
      </c>
      <c r="P44" s="110">
        <v>-1.5</v>
      </c>
      <c r="Q44" s="30">
        <v>217.5</v>
      </c>
      <c r="R44" s="40">
        <v>3.3</v>
      </c>
      <c r="S44" s="40">
        <v>6.6</v>
      </c>
      <c r="T44" s="40">
        <f t="shared" si="17"/>
        <v>4.6669047558312133</v>
      </c>
      <c r="U44" s="101">
        <v>1</v>
      </c>
      <c r="V44" s="40">
        <v>11</v>
      </c>
      <c r="W44" s="110">
        <v>-1.5</v>
      </c>
      <c r="X44" s="30">
        <v>217.5</v>
      </c>
      <c r="Y44" s="40">
        <v>3.3</v>
      </c>
      <c r="Z44" s="40">
        <v>6.6</v>
      </c>
      <c r="AA44" s="40">
        <f t="shared" si="25"/>
        <v>4.6669047558312133</v>
      </c>
      <c r="AB44" s="38">
        <v>8</v>
      </c>
      <c r="AC44" s="38">
        <v>3</v>
      </c>
      <c r="AD44" s="6">
        <f t="shared" si="20"/>
        <v>1</v>
      </c>
      <c r="AE44" s="7">
        <f t="shared" si="21"/>
        <v>1</v>
      </c>
      <c r="AF44" s="7">
        <f t="shared" si="22"/>
        <v>1</v>
      </c>
      <c r="AG44" s="7">
        <f t="shared" si="23"/>
        <v>1</v>
      </c>
      <c r="AH44" s="8">
        <f t="shared" si="15"/>
        <v>1</v>
      </c>
      <c r="AI44" s="8">
        <v>1</v>
      </c>
      <c r="AJ44" s="8">
        <v>1</v>
      </c>
      <c r="AK44" s="96">
        <v>0</v>
      </c>
      <c r="AL44" s="8">
        <f t="shared" si="26"/>
        <v>1</v>
      </c>
      <c r="AM44" s="2">
        <v>1</v>
      </c>
      <c r="AN44" s="6">
        <f t="shared" si="24"/>
        <v>6</v>
      </c>
      <c r="AO44" s="8" t="s">
        <v>66</v>
      </c>
      <c r="AP44" s="14">
        <f t="shared" si="18"/>
        <v>1460</v>
      </c>
      <c r="AQ44" s="8">
        <v>1455</v>
      </c>
      <c r="AR44" s="8">
        <v>1465</v>
      </c>
      <c r="AS44" s="41" t="s">
        <v>84</v>
      </c>
      <c r="AT44" s="47" t="s">
        <v>104</v>
      </c>
      <c r="AU44" s="25" t="s">
        <v>106</v>
      </c>
      <c r="AV44" s="8">
        <v>1976</v>
      </c>
      <c r="AW44" s="25" t="s">
        <v>93</v>
      </c>
      <c r="AX44" s="8" t="s">
        <v>107</v>
      </c>
      <c r="AY44" s="42" t="s">
        <v>108</v>
      </c>
      <c r="AZ44" s="157" t="s">
        <v>109</v>
      </c>
      <c r="BA44" s="126"/>
      <c r="BB44" s="31" t="s">
        <v>582</v>
      </c>
      <c r="BC44" s="87"/>
      <c r="BD44" s="87"/>
    </row>
    <row r="45" spans="1:56" s="28" customFormat="1" ht="84" x14ac:dyDescent="0.15">
      <c r="A45" s="47" t="s">
        <v>73</v>
      </c>
      <c r="B45" s="109" t="s">
        <v>110</v>
      </c>
      <c r="C45" s="38">
        <v>9039</v>
      </c>
      <c r="D45" s="39" t="s">
        <v>111</v>
      </c>
      <c r="E45" s="39" t="s">
        <v>11</v>
      </c>
      <c r="F45" s="38">
        <v>100</v>
      </c>
      <c r="G45" s="40">
        <v>48.200001</v>
      </c>
      <c r="H45" s="40">
        <v>246.800003</v>
      </c>
      <c r="I45" s="38">
        <v>8</v>
      </c>
      <c r="J45" s="38">
        <v>231</v>
      </c>
      <c r="K45" s="5">
        <v>206.300003</v>
      </c>
      <c r="L45" s="40">
        <v>23.700001</v>
      </c>
      <c r="M45" s="40">
        <f t="shared" si="16"/>
        <v>23.700001</v>
      </c>
      <c r="N45" s="40">
        <v>86.400002000000001</v>
      </c>
      <c r="O45" s="40">
        <v>6</v>
      </c>
      <c r="P45" s="110">
        <v>-24.799999</v>
      </c>
      <c r="Q45" s="30">
        <v>215.5</v>
      </c>
      <c r="R45" s="40">
        <v>4.7</v>
      </c>
      <c r="S45" s="40">
        <v>4.7</v>
      </c>
      <c r="T45" s="40">
        <f t="shared" si="17"/>
        <v>4.7</v>
      </c>
      <c r="U45" s="101">
        <v>0.6</v>
      </c>
      <c r="V45" s="101">
        <v>36.200000000000003</v>
      </c>
      <c r="W45" s="101">
        <v>-17.8</v>
      </c>
      <c r="X45" s="101">
        <v>220.9</v>
      </c>
      <c r="Y45" s="101">
        <v>4.0999999999999996</v>
      </c>
      <c r="Z45" s="101">
        <v>7</v>
      </c>
      <c r="AA45" s="101">
        <v>5.3</v>
      </c>
      <c r="AB45" s="38">
        <v>0</v>
      </c>
      <c r="AC45" s="38">
        <v>4</v>
      </c>
      <c r="AD45" s="6">
        <f t="shared" si="20"/>
        <v>1</v>
      </c>
      <c r="AE45" s="7">
        <f t="shared" si="21"/>
        <v>1</v>
      </c>
      <c r="AF45" s="7">
        <f t="shared" si="22"/>
        <v>1</v>
      </c>
      <c r="AG45" s="7">
        <f t="shared" si="23"/>
        <v>1</v>
      </c>
      <c r="AH45" s="8">
        <f t="shared" si="15"/>
        <v>1</v>
      </c>
      <c r="AI45" s="8">
        <v>1</v>
      </c>
      <c r="AJ45" s="8">
        <v>1</v>
      </c>
      <c r="AK45" s="96">
        <v>1</v>
      </c>
      <c r="AL45" s="8">
        <f t="shared" si="26"/>
        <v>0</v>
      </c>
      <c r="AM45" s="2">
        <v>1</v>
      </c>
      <c r="AN45" s="6">
        <f t="shared" si="24"/>
        <v>6</v>
      </c>
      <c r="AO45" s="8" t="s">
        <v>66</v>
      </c>
      <c r="AP45" s="14">
        <f t="shared" si="18"/>
        <v>1457.5</v>
      </c>
      <c r="AQ45" s="8">
        <v>1445</v>
      </c>
      <c r="AR45" s="8">
        <v>1470</v>
      </c>
      <c r="AS45" s="41" t="s">
        <v>112</v>
      </c>
      <c r="AT45" s="47" t="s">
        <v>110</v>
      </c>
      <c r="AU45" s="25" t="s">
        <v>113</v>
      </c>
      <c r="AV45" s="8">
        <v>2002</v>
      </c>
      <c r="AW45" s="25" t="s">
        <v>23</v>
      </c>
      <c r="AX45" s="8" t="s">
        <v>114</v>
      </c>
      <c r="AY45" s="42" t="s">
        <v>115</v>
      </c>
      <c r="AZ45" s="157" t="s">
        <v>116</v>
      </c>
      <c r="BA45" s="143"/>
      <c r="BB45" s="33" t="s">
        <v>664</v>
      </c>
      <c r="BC45" s="87"/>
      <c r="BD45" s="87"/>
    </row>
    <row r="46" spans="1:56" s="28" customFormat="1" ht="84" x14ac:dyDescent="0.15">
      <c r="A46" s="47" t="s">
        <v>73</v>
      </c>
      <c r="B46" s="109" t="s">
        <v>117</v>
      </c>
      <c r="C46" s="38">
        <v>9038</v>
      </c>
      <c r="D46" s="39" t="s">
        <v>111</v>
      </c>
      <c r="E46" s="39" t="s">
        <v>56</v>
      </c>
      <c r="F46" s="38">
        <v>100</v>
      </c>
      <c r="G46" s="40">
        <v>47.900002000000001</v>
      </c>
      <c r="H46" s="40">
        <v>245.900002</v>
      </c>
      <c r="I46" s="38">
        <v>9</v>
      </c>
      <c r="J46" s="38">
        <v>295</v>
      </c>
      <c r="K46" s="5">
        <v>30.9</v>
      </c>
      <c r="L46" s="40">
        <v>-20.6</v>
      </c>
      <c r="M46" s="40">
        <f t="shared" si="16"/>
        <v>20.6</v>
      </c>
      <c r="N46" s="40">
        <v>128.800003</v>
      </c>
      <c r="O46" s="40">
        <v>4.5999999999999996</v>
      </c>
      <c r="P46" s="110">
        <v>-24.9</v>
      </c>
      <c r="Q46" s="30">
        <v>210.199997</v>
      </c>
      <c r="R46" s="40">
        <v>3.5</v>
      </c>
      <c r="S46" s="40">
        <v>3.5</v>
      </c>
      <c r="T46" s="40">
        <f t="shared" si="17"/>
        <v>3.5</v>
      </c>
      <c r="U46" s="101">
        <v>0.6</v>
      </c>
      <c r="V46" s="101">
        <v>-32.1</v>
      </c>
      <c r="W46" s="101">
        <v>-19.100000000000001</v>
      </c>
      <c r="X46" s="101">
        <f>34.7+180</f>
        <v>214.7</v>
      </c>
      <c r="Y46" s="101">
        <v>2.9</v>
      </c>
      <c r="Z46" s="101">
        <v>5.2</v>
      </c>
      <c r="AA46" s="101">
        <v>3.9</v>
      </c>
      <c r="AB46" s="38" t="s">
        <v>13</v>
      </c>
      <c r="AC46" s="38">
        <v>4</v>
      </c>
      <c r="AD46" s="6">
        <f t="shared" si="20"/>
        <v>1</v>
      </c>
      <c r="AE46" s="7">
        <f t="shared" si="21"/>
        <v>1</v>
      </c>
      <c r="AF46" s="7">
        <f t="shared" si="22"/>
        <v>1</v>
      </c>
      <c r="AG46" s="7">
        <f t="shared" si="23"/>
        <v>1</v>
      </c>
      <c r="AH46" s="8">
        <f t="shared" si="15"/>
        <v>1</v>
      </c>
      <c r="AI46" s="8">
        <v>1</v>
      </c>
      <c r="AJ46" s="8">
        <v>1</v>
      </c>
      <c r="AK46" s="96">
        <v>1</v>
      </c>
      <c r="AL46" s="8">
        <f t="shared" si="26"/>
        <v>1</v>
      </c>
      <c r="AM46" s="2">
        <v>1</v>
      </c>
      <c r="AN46" s="6">
        <f t="shared" si="24"/>
        <v>7</v>
      </c>
      <c r="AO46" s="8" t="s">
        <v>66</v>
      </c>
      <c r="AP46" s="14">
        <f t="shared" si="18"/>
        <v>1449.5</v>
      </c>
      <c r="AQ46" s="8">
        <v>1436</v>
      </c>
      <c r="AR46" s="8">
        <v>1463</v>
      </c>
      <c r="AS46" s="41" t="s">
        <v>118</v>
      </c>
      <c r="AT46" s="47" t="s">
        <v>117</v>
      </c>
      <c r="AU46" s="25" t="s">
        <v>113</v>
      </c>
      <c r="AV46" s="8">
        <v>2002</v>
      </c>
      <c r="AW46" s="25" t="s">
        <v>23</v>
      </c>
      <c r="AX46" s="8" t="s">
        <v>114</v>
      </c>
      <c r="AY46" s="42" t="s">
        <v>115</v>
      </c>
      <c r="AZ46" s="157" t="s">
        <v>116</v>
      </c>
      <c r="BA46" s="143"/>
      <c r="BB46" s="33" t="s">
        <v>664</v>
      </c>
      <c r="BC46" s="93"/>
      <c r="BD46" s="93"/>
    </row>
    <row r="47" spans="1:56" ht="42" x14ac:dyDescent="0.15">
      <c r="A47" s="47" t="s">
        <v>73</v>
      </c>
      <c r="B47" s="112" t="s">
        <v>653</v>
      </c>
      <c r="C47" s="23" t="s">
        <v>120</v>
      </c>
      <c r="D47" s="41"/>
      <c r="E47" s="41"/>
      <c r="F47" s="23">
        <v>0</v>
      </c>
      <c r="G47" s="5">
        <v>47.4</v>
      </c>
      <c r="H47" s="5">
        <v>247.6</v>
      </c>
      <c r="I47" s="23">
        <v>14</v>
      </c>
      <c r="J47" s="23">
        <v>157</v>
      </c>
      <c r="K47" s="5">
        <v>225</v>
      </c>
      <c r="L47" s="5">
        <v>61.8</v>
      </c>
      <c r="M47" s="5">
        <f t="shared" si="16"/>
        <v>61.8</v>
      </c>
      <c r="N47" s="5">
        <v>27.9</v>
      </c>
      <c r="O47" s="5">
        <v>7.7</v>
      </c>
      <c r="P47" s="30">
        <v>8.6999999999999993</v>
      </c>
      <c r="Q47" s="30">
        <v>216.1</v>
      </c>
      <c r="R47" s="5">
        <f>2*O47/(1+3*(COS(RADIANS(L47)))^2)</f>
        <v>9.2220391042502463</v>
      </c>
      <c r="S47" s="5">
        <f>O47*SIN(RADIANS(DEGREES(ATAN(2/TAN(RADIANS(ABS(L47)))))))/COS(RADIANS(L47))</f>
        <v>11.917189358462581</v>
      </c>
      <c r="T47" s="5">
        <f t="shared" si="17"/>
        <v>10.483357586026379</v>
      </c>
      <c r="U47" s="63">
        <v>1</v>
      </c>
      <c r="V47" s="5">
        <v>61.8</v>
      </c>
      <c r="W47" s="30">
        <v>8.6999999999999993</v>
      </c>
      <c r="X47" s="30">
        <v>216.1</v>
      </c>
      <c r="Y47" s="5">
        <v>9.1999999999999993</v>
      </c>
      <c r="Z47" s="5">
        <v>11.9</v>
      </c>
      <c r="AA47" s="5">
        <v>10.5</v>
      </c>
      <c r="AB47" s="23" t="s">
        <v>121</v>
      </c>
      <c r="AC47" s="23">
        <v>4</v>
      </c>
      <c r="AD47" s="6">
        <f t="shared" si="20"/>
        <v>0</v>
      </c>
      <c r="AE47" s="7">
        <f t="shared" si="21"/>
        <v>1</v>
      </c>
      <c r="AF47" s="7">
        <f t="shared" si="22"/>
        <v>1</v>
      </c>
      <c r="AG47" s="7">
        <f t="shared" si="23"/>
        <v>1</v>
      </c>
      <c r="AH47" s="8">
        <f t="shared" si="15"/>
        <v>1</v>
      </c>
      <c r="AI47" s="8">
        <v>1</v>
      </c>
      <c r="AJ47" s="8">
        <v>0</v>
      </c>
      <c r="AK47" s="8">
        <v>1</v>
      </c>
      <c r="AL47" s="8">
        <f t="shared" si="26"/>
        <v>1</v>
      </c>
      <c r="AM47" s="2">
        <v>0</v>
      </c>
      <c r="AN47" s="6">
        <f t="shared" si="24"/>
        <v>4</v>
      </c>
      <c r="AO47" s="8" t="s">
        <v>70</v>
      </c>
      <c r="AP47" s="14">
        <f t="shared" si="18"/>
        <v>1448</v>
      </c>
      <c r="AQ47" s="23">
        <f>1448-49</f>
        <v>1399</v>
      </c>
      <c r="AR47" s="23">
        <f>1448+49</f>
        <v>1497</v>
      </c>
      <c r="AS47" s="41" t="s">
        <v>122</v>
      </c>
      <c r="AT47" s="41" t="s">
        <v>119</v>
      </c>
      <c r="AU47" s="31" t="s">
        <v>123</v>
      </c>
      <c r="AV47" s="8">
        <v>2008</v>
      </c>
      <c r="AW47" s="31" t="s">
        <v>1</v>
      </c>
      <c r="AX47" s="23">
        <v>163</v>
      </c>
      <c r="AY47" s="98" t="s">
        <v>124</v>
      </c>
      <c r="AZ47" s="146" t="s">
        <v>125</v>
      </c>
      <c r="BA47" s="143" t="s">
        <v>126</v>
      </c>
      <c r="BB47" s="33" t="s">
        <v>583</v>
      </c>
      <c r="BC47" s="28"/>
      <c r="BD47" s="28"/>
    </row>
    <row r="48" spans="1:56" s="28" customFormat="1" ht="84" x14ac:dyDescent="0.15">
      <c r="A48" s="47" t="s">
        <v>73</v>
      </c>
      <c r="B48" s="109" t="s">
        <v>127</v>
      </c>
      <c r="C48" s="38">
        <v>9037</v>
      </c>
      <c r="D48" s="39" t="s">
        <v>111</v>
      </c>
      <c r="E48" s="39" t="s">
        <v>11</v>
      </c>
      <c r="F48" s="38">
        <v>100</v>
      </c>
      <c r="G48" s="40">
        <v>49.400002000000001</v>
      </c>
      <c r="H48" s="40">
        <v>245.099998</v>
      </c>
      <c r="I48" s="38">
        <v>10</v>
      </c>
      <c r="J48" s="38">
        <v>166</v>
      </c>
      <c r="K48" s="5">
        <v>26.6</v>
      </c>
      <c r="L48" s="40">
        <v>-25.700001</v>
      </c>
      <c r="M48" s="40">
        <f t="shared" si="16"/>
        <v>25.700001</v>
      </c>
      <c r="N48" s="40">
        <v>64</v>
      </c>
      <c r="O48" s="40">
        <v>6.1</v>
      </c>
      <c r="P48" s="110">
        <v>-23.6</v>
      </c>
      <c r="Q48" s="30">
        <v>215.60000600000001</v>
      </c>
      <c r="R48" s="40">
        <v>4.8</v>
      </c>
      <c r="S48" s="40">
        <v>4.8</v>
      </c>
      <c r="T48" s="40">
        <f t="shared" si="17"/>
        <v>4.8</v>
      </c>
      <c r="U48" s="101">
        <v>1</v>
      </c>
      <c r="V48" s="40">
        <v>-25.700001</v>
      </c>
      <c r="W48" s="110">
        <v>-23.6</v>
      </c>
      <c r="X48" s="30">
        <v>215.60000600000001</v>
      </c>
      <c r="Y48" s="40">
        <v>4.8</v>
      </c>
      <c r="Z48" s="40">
        <v>4.8</v>
      </c>
      <c r="AA48" s="40">
        <f>SQRT(Y48*Z48)</f>
        <v>4.8</v>
      </c>
      <c r="AB48" s="38">
        <v>100</v>
      </c>
      <c r="AC48" s="38">
        <v>4</v>
      </c>
      <c r="AD48" s="6">
        <f t="shared" si="20"/>
        <v>1</v>
      </c>
      <c r="AE48" s="7">
        <f t="shared" si="21"/>
        <v>1</v>
      </c>
      <c r="AF48" s="7">
        <f t="shared" si="22"/>
        <v>1</v>
      </c>
      <c r="AG48" s="7">
        <f t="shared" si="23"/>
        <v>1</v>
      </c>
      <c r="AH48" s="8">
        <f t="shared" si="15"/>
        <v>1</v>
      </c>
      <c r="AI48" s="8">
        <v>1</v>
      </c>
      <c r="AJ48" s="8">
        <v>1</v>
      </c>
      <c r="AK48" s="96">
        <v>1</v>
      </c>
      <c r="AL48" s="8">
        <f t="shared" si="26"/>
        <v>0</v>
      </c>
      <c r="AM48" s="2">
        <v>0</v>
      </c>
      <c r="AN48" s="6">
        <f t="shared" si="24"/>
        <v>5</v>
      </c>
      <c r="AO48" s="8" t="s">
        <v>66</v>
      </c>
      <c r="AP48" s="14">
        <f t="shared" si="18"/>
        <v>1443</v>
      </c>
      <c r="AQ48" s="8">
        <v>1436</v>
      </c>
      <c r="AR48" s="8">
        <v>1450</v>
      </c>
      <c r="AS48" s="41" t="s">
        <v>84</v>
      </c>
      <c r="AT48" s="47" t="s">
        <v>127</v>
      </c>
      <c r="AU48" s="25" t="s">
        <v>113</v>
      </c>
      <c r="AV48" s="8">
        <v>2002</v>
      </c>
      <c r="AW48" s="25" t="s">
        <v>23</v>
      </c>
      <c r="AX48" s="8" t="s">
        <v>114</v>
      </c>
      <c r="AY48" s="42" t="s">
        <v>115</v>
      </c>
      <c r="AZ48" s="157" t="s">
        <v>116</v>
      </c>
      <c r="BA48" s="143"/>
      <c r="BB48" s="33" t="s">
        <v>664</v>
      </c>
    </row>
    <row r="49" spans="1:56" s="28" customFormat="1" ht="13" customHeight="1" x14ac:dyDescent="0.15">
      <c r="A49" s="47" t="s">
        <v>73</v>
      </c>
      <c r="B49" s="113" t="s">
        <v>654</v>
      </c>
      <c r="C49" s="38" t="s">
        <v>65</v>
      </c>
      <c r="D49" s="39" t="s">
        <v>584</v>
      </c>
      <c r="E49" s="39" t="s">
        <v>60</v>
      </c>
      <c r="F49" s="38">
        <v>0</v>
      </c>
      <c r="G49" s="40">
        <v>40.299999999999997</v>
      </c>
      <c r="H49" s="40">
        <v>253.8</v>
      </c>
      <c r="I49" s="38">
        <v>58</v>
      </c>
      <c r="J49" s="38">
        <v>434</v>
      </c>
      <c r="K49" s="5">
        <v>41.1</v>
      </c>
      <c r="L49" s="40">
        <v>-46.6</v>
      </c>
      <c r="M49" s="40">
        <f t="shared" si="16"/>
        <v>46.6</v>
      </c>
      <c r="N49" s="114">
        <v>1000</v>
      </c>
      <c r="O49" s="114">
        <v>0.1</v>
      </c>
      <c r="P49" s="110">
        <v>-11.9</v>
      </c>
      <c r="Q49" s="30">
        <v>217.4</v>
      </c>
      <c r="R49" s="40">
        <v>9.6999999999999993</v>
      </c>
      <c r="S49" s="40">
        <v>9.6999999999999993</v>
      </c>
      <c r="T49" s="40">
        <f t="shared" si="17"/>
        <v>9.6999999999999993</v>
      </c>
      <c r="U49" s="101">
        <v>1</v>
      </c>
      <c r="V49" s="40">
        <v>-46.6</v>
      </c>
      <c r="W49" s="110">
        <v>-11.9</v>
      </c>
      <c r="X49" s="30">
        <v>217.4</v>
      </c>
      <c r="Y49" s="40">
        <v>9.6999999999999993</v>
      </c>
      <c r="Z49" s="40">
        <v>9.6999999999999993</v>
      </c>
      <c r="AA49" s="40">
        <f>SQRT(Y49*Z49)</f>
        <v>9.6999999999999993</v>
      </c>
      <c r="AB49" s="38" t="s">
        <v>69</v>
      </c>
      <c r="AC49" s="38">
        <v>4</v>
      </c>
      <c r="AD49" s="6">
        <f t="shared" si="20"/>
        <v>1</v>
      </c>
      <c r="AE49" s="7">
        <f t="shared" si="21"/>
        <v>1</v>
      </c>
      <c r="AF49" s="7">
        <f t="shared" si="22"/>
        <v>1</v>
      </c>
      <c r="AG49" s="7">
        <f t="shared" si="23"/>
        <v>1</v>
      </c>
      <c r="AH49" s="8">
        <f t="shared" si="15"/>
        <v>1</v>
      </c>
      <c r="AI49" s="8">
        <v>1</v>
      </c>
      <c r="AJ49" s="8">
        <v>0</v>
      </c>
      <c r="AK49" s="96">
        <v>0</v>
      </c>
      <c r="AL49" s="8">
        <f t="shared" si="26"/>
        <v>1</v>
      </c>
      <c r="AM49" s="2">
        <v>1</v>
      </c>
      <c r="AN49" s="6">
        <f t="shared" si="24"/>
        <v>5</v>
      </c>
      <c r="AO49" s="8" t="s">
        <v>70</v>
      </c>
      <c r="AP49" s="14">
        <f t="shared" si="18"/>
        <v>1430</v>
      </c>
      <c r="AQ49" s="8">
        <v>1415</v>
      </c>
      <c r="AR49" s="8">
        <v>1445</v>
      </c>
      <c r="AS49" s="41" t="s">
        <v>129</v>
      </c>
      <c r="AT49" s="115" t="s">
        <v>128</v>
      </c>
      <c r="AU49" s="16" t="s">
        <v>49</v>
      </c>
      <c r="AV49" s="37">
        <v>2009</v>
      </c>
      <c r="AW49" s="16"/>
      <c r="AX49" s="37"/>
      <c r="AY49" s="16"/>
      <c r="AZ49" s="158"/>
      <c r="BA49" s="126"/>
      <c r="BB49" s="31" t="s">
        <v>620</v>
      </c>
      <c r="BC49" s="31"/>
      <c r="BD49" s="31"/>
    </row>
    <row r="50" spans="1:56" s="43" customFormat="1" ht="28" x14ac:dyDescent="0.15">
      <c r="A50" s="47" t="s">
        <v>73</v>
      </c>
      <c r="B50" s="109" t="s">
        <v>130</v>
      </c>
      <c r="C50" s="38">
        <v>2271</v>
      </c>
      <c r="D50" s="39"/>
      <c r="E50" s="39" t="s">
        <v>60</v>
      </c>
      <c r="F50" s="38">
        <v>0</v>
      </c>
      <c r="G50" s="40">
        <v>55.599997999999999</v>
      </c>
      <c r="H50" s="40">
        <v>296.29999900000001</v>
      </c>
      <c r="I50" s="38">
        <v>7</v>
      </c>
      <c r="J50" s="38">
        <v>35</v>
      </c>
      <c r="K50" s="5">
        <v>93.5</v>
      </c>
      <c r="L50" s="40">
        <v>7</v>
      </c>
      <c r="M50" s="40">
        <f t="shared" si="16"/>
        <v>7</v>
      </c>
      <c r="N50" s="40">
        <v>48.5</v>
      </c>
      <c r="O50" s="40">
        <v>8.8000000000000007</v>
      </c>
      <c r="P50" s="110">
        <v>-1</v>
      </c>
      <c r="Q50" s="30">
        <v>201.5</v>
      </c>
      <c r="R50" s="40">
        <v>7.6</v>
      </c>
      <c r="S50" s="40">
        <v>7.6</v>
      </c>
      <c r="T50" s="40">
        <f t="shared" si="17"/>
        <v>7.6</v>
      </c>
      <c r="U50" s="101">
        <v>1</v>
      </c>
      <c r="V50" s="40">
        <v>7</v>
      </c>
      <c r="W50" s="110">
        <v>-1</v>
      </c>
      <c r="X50" s="30">
        <v>201.5</v>
      </c>
      <c r="Y50" s="40">
        <v>7.6</v>
      </c>
      <c r="Z50" s="40">
        <v>7.6</v>
      </c>
      <c r="AA50" s="40">
        <f>SQRT(Y50*Z50)</f>
        <v>7.6</v>
      </c>
      <c r="AB50" s="38">
        <v>87</v>
      </c>
      <c r="AC50" s="38">
        <v>2</v>
      </c>
      <c r="AD50" s="6">
        <f t="shared" si="20"/>
        <v>1</v>
      </c>
      <c r="AE50" s="7">
        <f t="shared" si="21"/>
        <v>1</v>
      </c>
      <c r="AF50" s="7">
        <f t="shared" si="22"/>
        <v>1</v>
      </c>
      <c r="AG50" s="7">
        <f t="shared" si="23"/>
        <v>1</v>
      </c>
      <c r="AH50" s="8">
        <f t="shared" si="15"/>
        <v>1</v>
      </c>
      <c r="AI50" s="8">
        <v>0</v>
      </c>
      <c r="AJ50" s="8">
        <v>0</v>
      </c>
      <c r="AK50" s="96">
        <v>0</v>
      </c>
      <c r="AL50" s="8">
        <f t="shared" si="26"/>
        <v>1</v>
      </c>
      <c r="AM50" s="2">
        <v>1</v>
      </c>
      <c r="AN50" s="6">
        <f t="shared" si="24"/>
        <v>4</v>
      </c>
      <c r="AO50" s="8" t="s">
        <v>70</v>
      </c>
      <c r="AP50" s="14">
        <f t="shared" si="18"/>
        <v>1425</v>
      </c>
      <c r="AQ50" s="8">
        <v>1400</v>
      </c>
      <c r="AR50" s="8">
        <v>1450</v>
      </c>
      <c r="AS50" s="41" t="s">
        <v>131</v>
      </c>
      <c r="AT50" s="25" t="s">
        <v>130</v>
      </c>
      <c r="AU50" s="25" t="s">
        <v>132</v>
      </c>
      <c r="AV50" s="8">
        <v>1976</v>
      </c>
      <c r="AW50" s="25" t="s">
        <v>93</v>
      </c>
      <c r="AX50" s="8" t="s">
        <v>107</v>
      </c>
      <c r="AY50" s="42" t="s">
        <v>133</v>
      </c>
      <c r="AZ50" s="157" t="s">
        <v>134</v>
      </c>
      <c r="BA50" s="126"/>
      <c r="BB50" s="31" t="s">
        <v>585</v>
      </c>
      <c r="BC50" s="28"/>
      <c r="BD50" s="28"/>
    </row>
    <row r="51" spans="1:56" s="32" customFormat="1" ht="84" x14ac:dyDescent="0.15">
      <c r="A51" s="47" t="s">
        <v>73</v>
      </c>
      <c r="B51" s="109" t="s">
        <v>135</v>
      </c>
      <c r="C51" s="38">
        <v>9031</v>
      </c>
      <c r="D51" s="39"/>
      <c r="E51" s="39" t="s">
        <v>47</v>
      </c>
      <c r="F51" s="38">
        <v>100</v>
      </c>
      <c r="G51" s="110">
        <v>46.900002000000001</v>
      </c>
      <c r="H51" s="110">
        <v>246.400002</v>
      </c>
      <c r="I51" s="138">
        <v>10</v>
      </c>
      <c r="J51" s="138">
        <v>195</v>
      </c>
      <c r="K51" s="5">
        <v>37.200001</v>
      </c>
      <c r="L51" s="40">
        <v>-36.599997999999999</v>
      </c>
      <c r="M51" s="40">
        <f t="shared" si="16"/>
        <v>36.599997999999999</v>
      </c>
      <c r="N51" s="40">
        <v>42.799999</v>
      </c>
      <c r="O51" s="40">
        <v>7.5</v>
      </c>
      <c r="P51" s="110">
        <v>-13.5</v>
      </c>
      <c r="Q51" s="30">
        <v>208.300003</v>
      </c>
      <c r="R51" s="40">
        <v>6.7</v>
      </c>
      <c r="S51" s="40">
        <v>6.7</v>
      </c>
      <c r="T51" s="40">
        <f t="shared" si="17"/>
        <v>6.7</v>
      </c>
      <c r="U51" s="101">
        <v>0.6</v>
      </c>
      <c r="V51" s="101">
        <v>-51.1</v>
      </c>
      <c r="W51" s="101">
        <v>-4.5</v>
      </c>
      <c r="X51" s="101">
        <f>35.4+180</f>
        <v>215.4</v>
      </c>
      <c r="Y51" s="101">
        <v>6.9</v>
      </c>
      <c r="Z51" s="101">
        <v>10.1</v>
      </c>
      <c r="AA51" s="101">
        <v>8.4</v>
      </c>
      <c r="AB51" s="38">
        <v>70</v>
      </c>
      <c r="AC51" s="38">
        <v>4</v>
      </c>
      <c r="AD51" s="6">
        <f t="shared" si="20"/>
        <v>1</v>
      </c>
      <c r="AE51" s="7">
        <f t="shared" si="21"/>
        <v>1</v>
      </c>
      <c r="AF51" s="7">
        <f t="shared" si="22"/>
        <v>1</v>
      </c>
      <c r="AG51" s="7">
        <f t="shared" si="23"/>
        <v>1</v>
      </c>
      <c r="AH51" s="8">
        <f t="shared" si="15"/>
        <v>1</v>
      </c>
      <c r="AI51" s="8">
        <v>1</v>
      </c>
      <c r="AJ51" s="8">
        <v>1</v>
      </c>
      <c r="AK51" s="96">
        <v>1</v>
      </c>
      <c r="AL51" s="8">
        <f t="shared" si="26"/>
        <v>1</v>
      </c>
      <c r="AM51" s="2">
        <v>1</v>
      </c>
      <c r="AN51" s="6">
        <f t="shared" si="24"/>
        <v>7</v>
      </c>
      <c r="AO51" s="8" t="s">
        <v>66</v>
      </c>
      <c r="AP51" s="14">
        <f t="shared" si="18"/>
        <v>1401</v>
      </c>
      <c r="AQ51" s="8">
        <v>1395</v>
      </c>
      <c r="AR51" s="8">
        <v>1407</v>
      </c>
      <c r="AS51" s="28" t="s">
        <v>136</v>
      </c>
      <c r="AT51" s="25" t="s">
        <v>135</v>
      </c>
      <c r="AU51" s="25" t="s">
        <v>113</v>
      </c>
      <c r="AV51" s="8">
        <v>2002</v>
      </c>
      <c r="AW51" s="25" t="s">
        <v>23</v>
      </c>
      <c r="AX51" s="8" t="s">
        <v>114</v>
      </c>
      <c r="AY51" s="42" t="s">
        <v>115</v>
      </c>
      <c r="AZ51" s="157" t="s">
        <v>116</v>
      </c>
      <c r="BA51" s="126"/>
      <c r="BB51" s="33" t="s">
        <v>664</v>
      </c>
      <c r="BC51" s="28"/>
      <c r="BD51" s="28"/>
    </row>
    <row r="52" spans="1:56" s="32" customFormat="1" ht="84" x14ac:dyDescent="0.15">
      <c r="A52" s="47" t="s">
        <v>73</v>
      </c>
      <c r="B52" s="109" t="s">
        <v>137</v>
      </c>
      <c r="C52" s="38">
        <v>9030</v>
      </c>
      <c r="D52" s="39"/>
      <c r="E52" s="39" t="s">
        <v>11</v>
      </c>
      <c r="F52" s="38">
        <v>100</v>
      </c>
      <c r="G52" s="40">
        <v>46.700001</v>
      </c>
      <c r="H52" s="40">
        <v>246.400002</v>
      </c>
      <c r="I52" s="38">
        <v>4</v>
      </c>
      <c r="J52" s="38">
        <v>76</v>
      </c>
      <c r="K52" s="5">
        <v>28.4</v>
      </c>
      <c r="L52" s="40">
        <v>-32.5</v>
      </c>
      <c r="M52" s="40">
        <f t="shared" si="16"/>
        <v>32.5</v>
      </c>
      <c r="N52" s="40">
        <v>102.199997</v>
      </c>
      <c r="O52" s="40">
        <v>9.1</v>
      </c>
      <c r="P52" s="110">
        <v>-19.200001</v>
      </c>
      <c r="Q52" s="30">
        <v>215.300003</v>
      </c>
      <c r="R52" s="40">
        <v>7.7</v>
      </c>
      <c r="S52" s="40">
        <v>7.7</v>
      </c>
      <c r="T52" s="40">
        <f t="shared" si="17"/>
        <v>7.7</v>
      </c>
      <c r="U52" s="101">
        <v>0.6</v>
      </c>
      <c r="V52" s="101">
        <v>-46.7</v>
      </c>
      <c r="W52" s="101">
        <v>11</v>
      </c>
      <c r="X52" s="101">
        <v>41.1</v>
      </c>
      <c r="Y52" s="101">
        <v>7.6</v>
      </c>
      <c r="Z52" s="101">
        <v>11.7</v>
      </c>
      <c r="AA52" s="101">
        <v>9.4</v>
      </c>
      <c r="AB52" s="38">
        <v>100</v>
      </c>
      <c r="AC52" s="38">
        <v>4</v>
      </c>
      <c r="AD52" s="6">
        <f t="shared" si="20"/>
        <v>1</v>
      </c>
      <c r="AE52" s="7">
        <f t="shared" si="21"/>
        <v>1</v>
      </c>
      <c r="AF52" s="7">
        <f t="shared" si="22"/>
        <v>1</v>
      </c>
      <c r="AG52" s="7">
        <f t="shared" si="23"/>
        <v>1</v>
      </c>
      <c r="AH52" s="8">
        <f t="shared" si="15"/>
        <v>1</v>
      </c>
      <c r="AI52" s="8">
        <v>1</v>
      </c>
      <c r="AJ52" s="8">
        <v>1</v>
      </c>
      <c r="AK52" s="96">
        <v>1</v>
      </c>
      <c r="AL52" s="8">
        <f t="shared" si="26"/>
        <v>0</v>
      </c>
      <c r="AM52" s="2">
        <v>1</v>
      </c>
      <c r="AN52" s="6">
        <f t="shared" si="24"/>
        <v>6</v>
      </c>
      <c r="AO52" s="8" t="s">
        <v>66</v>
      </c>
      <c r="AP52" s="14">
        <f t="shared" si="18"/>
        <v>1384.5</v>
      </c>
      <c r="AQ52" s="8">
        <v>1362</v>
      </c>
      <c r="AR52" s="8">
        <v>1407</v>
      </c>
      <c r="AS52" s="41" t="s">
        <v>84</v>
      </c>
      <c r="AT52" s="25" t="s">
        <v>137</v>
      </c>
      <c r="AU52" s="25" t="s">
        <v>113</v>
      </c>
      <c r="AV52" s="8">
        <v>2002</v>
      </c>
      <c r="AW52" s="25" t="s">
        <v>23</v>
      </c>
      <c r="AX52" s="8" t="s">
        <v>114</v>
      </c>
      <c r="AY52" s="42" t="s">
        <v>115</v>
      </c>
      <c r="AZ52" s="157" t="s">
        <v>116</v>
      </c>
      <c r="BA52" s="126"/>
      <c r="BB52" s="33" t="s">
        <v>664</v>
      </c>
      <c r="BC52" s="43"/>
      <c r="BD52" s="43"/>
    </row>
    <row r="53" spans="1:56" s="32" customFormat="1" ht="42" x14ac:dyDescent="0.2">
      <c r="A53" s="28" t="s">
        <v>296</v>
      </c>
      <c r="B53" s="123" t="s">
        <v>302</v>
      </c>
      <c r="C53" s="38">
        <v>489</v>
      </c>
      <c r="D53" s="39"/>
      <c r="E53" s="39" t="s">
        <v>28</v>
      </c>
      <c r="F53" s="38">
        <v>0</v>
      </c>
      <c r="G53" s="40">
        <v>81.5</v>
      </c>
      <c r="H53" s="40">
        <v>315.29999900000001</v>
      </c>
      <c r="I53" s="38">
        <v>12</v>
      </c>
      <c r="J53" s="38">
        <v>92</v>
      </c>
      <c r="K53" s="40">
        <v>265.20001200000002</v>
      </c>
      <c r="L53" s="40">
        <v>21.5</v>
      </c>
      <c r="M53" s="5">
        <f t="shared" si="16"/>
        <v>21.5</v>
      </c>
      <c r="N53" s="40">
        <v>60</v>
      </c>
      <c r="O53" s="40">
        <v>5.6</v>
      </c>
      <c r="P53" s="110">
        <v>10.3</v>
      </c>
      <c r="Q53" s="110">
        <v>231.699997</v>
      </c>
      <c r="R53" s="40">
        <v>3.1</v>
      </c>
      <c r="S53" s="40">
        <v>5.9</v>
      </c>
      <c r="T53" s="40">
        <f t="shared" si="17"/>
        <v>4.2766809560686196</v>
      </c>
      <c r="U53" s="101">
        <v>1</v>
      </c>
      <c r="V53" s="40">
        <v>21.5</v>
      </c>
      <c r="W53" s="110">
        <v>10.3</v>
      </c>
      <c r="X53" s="110">
        <v>231.699997</v>
      </c>
      <c r="Y53" s="40">
        <v>3.1</v>
      </c>
      <c r="Z53" s="40">
        <v>5.9</v>
      </c>
      <c r="AA53" s="40">
        <f t="shared" ref="AA53:AA62" si="27">SQRT(Y53*Z53)</f>
        <v>4.2766809560686196</v>
      </c>
      <c r="AB53" s="34" t="s">
        <v>33</v>
      </c>
      <c r="AC53" s="38"/>
      <c r="AD53" s="6">
        <f t="shared" si="20"/>
        <v>1</v>
      </c>
      <c r="AE53" s="7">
        <f t="shared" si="21"/>
        <v>1</v>
      </c>
      <c r="AF53" s="7">
        <f t="shared" si="22"/>
        <v>1</v>
      </c>
      <c r="AG53" s="7">
        <f t="shared" si="23"/>
        <v>1</v>
      </c>
      <c r="AH53" s="8">
        <f t="shared" si="15"/>
        <v>1</v>
      </c>
      <c r="AI53" s="8">
        <v>1</v>
      </c>
      <c r="AJ53" s="8">
        <v>1</v>
      </c>
      <c r="AK53" s="8">
        <v>1</v>
      </c>
      <c r="AL53" s="23">
        <v>0</v>
      </c>
      <c r="AM53" s="32">
        <v>1</v>
      </c>
      <c r="AN53" s="6">
        <f t="shared" si="24"/>
        <v>6</v>
      </c>
      <c r="AO53" s="8" t="s">
        <v>70</v>
      </c>
      <c r="AP53" s="14">
        <f t="shared" si="18"/>
        <v>1382</v>
      </c>
      <c r="AQ53" s="38">
        <v>1380</v>
      </c>
      <c r="AR53" s="38">
        <v>1384</v>
      </c>
      <c r="AS53" s="39" t="s">
        <v>303</v>
      </c>
      <c r="AT53" s="39" t="s">
        <v>304</v>
      </c>
      <c r="AU53" s="16" t="s">
        <v>305</v>
      </c>
      <c r="AV53" s="37">
        <v>1987</v>
      </c>
      <c r="AW53" s="16" t="s">
        <v>306</v>
      </c>
      <c r="AX53" s="37">
        <v>91</v>
      </c>
      <c r="AY53" s="16" t="s">
        <v>307</v>
      </c>
      <c r="AZ53" s="158" t="s">
        <v>308</v>
      </c>
      <c r="BA53" s="141"/>
      <c r="BB53" s="32" t="s">
        <v>635</v>
      </c>
      <c r="BC53" s="131"/>
      <c r="BD53" s="31"/>
    </row>
    <row r="54" spans="1:56" s="32" customFormat="1" ht="42" x14ac:dyDescent="0.2">
      <c r="A54" s="28" t="s">
        <v>296</v>
      </c>
      <c r="B54" s="123" t="s">
        <v>309</v>
      </c>
      <c r="C54" s="38">
        <v>99</v>
      </c>
      <c r="D54" s="39"/>
      <c r="E54" s="39"/>
      <c r="F54" s="38">
        <v>0</v>
      </c>
      <c r="G54" s="101">
        <v>81.599999999999994</v>
      </c>
      <c r="H54" s="101">
        <f>360-26.6</f>
        <v>333.4</v>
      </c>
      <c r="I54" s="38">
        <v>10</v>
      </c>
      <c r="J54" s="38">
        <v>100</v>
      </c>
      <c r="K54" s="40">
        <v>85.599997999999999</v>
      </c>
      <c r="L54" s="40">
        <v>-14.5</v>
      </c>
      <c r="M54" s="5">
        <f t="shared" si="16"/>
        <v>14.5</v>
      </c>
      <c r="N54" s="40">
        <v>39</v>
      </c>
      <c r="O54" s="40">
        <v>7.8</v>
      </c>
      <c r="P54" s="110">
        <v>6.9</v>
      </c>
      <c r="Q54" s="110">
        <v>242</v>
      </c>
      <c r="R54" s="40">
        <v>5.0999999999999996</v>
      </c>
      <c r="S54" s="40">
        <v>5.0999999999999996</v>
      </c>
      <c r="T54" s="40">
        <f t="shared" si="17"/>
        <v>5.0999999999999996</v>
      </c>
      <c r="U54" s="101">
        <v>1</v>
      </c>
      <c r="V54" s="40">
        <v>-14.5</v>
      </c>
      <c r="W54" s="110">
        <v>6.9</v>
      </c>
      <c r="X54" s="110">
        <v>242</v>
      </c>
      <c r="Y54" s="40">
        <v>5.0999999999999996</v>
      </c>
      <c r="Z54" s="40">
        <v>5.0999999999999996</v>
      </c>
      <c r="AA54" s="40">
        <f t="shared" si="27"/>
        <v>5.0999999999999996</v>
      </c>
      <c r="AB54" s="34" t="s">
        <v>33</v>
      </c>
      <c r="AC54" s="38"/>
      <c r="AD54" s="6">
        <f t="shared" si="20"/>
        <v>1</v>
      </c>
      <c r="AE54" s="7">
        <f t="shared" si="21"/>
        <v>1</v>
      </c>
      <c r="AF54" s="7">
        <f t="shared" si="22"/>
        <v>1</v>
      </c>
      <c r="AG54" s="7">
        <f t="shared" si="23"/>
        <v>1</v>
      </c>
      <c r="AH54" s="8">
        <f t="shared" si="15"/>
        <v>1</v>
      </c>
      <c r="AI54" s="8">
        <v>1</v>
      </c>
      <c r="AJ54" s="8">
        <v>0</v>
      </c>
      <c r="AK54" s="8">
        <v>1</v>
      </c>
      <c r="AL54" s="23">
        <v>0</v>
      </c>
      <c r="AM54" s="59">
        <v>1</v>
      </c>
      <c r="AN54" s="6">
        <f t="shared" si="24"/>
        <v>5</v>
      </c>
      <c r="AO54" s="8" t="s">
        <v>70</v>
      </c>
      <c r="AP54" s="14">
        <f t="shared" si="18"/>
        <v>1382</v>
      </c>
      <c r="AQ54" s="38">
        <v>1380</v>
      </c>
      <c r="AR54" s="38">
        <v>1384</v>
      </c>
      <c r="AS54" s="39" t="s">
        <v>310</v>
      </c>
      <c r="AT54" s="39" t="s">
        <v>309</v>
      </c>
      <c r="AU54" s="16" t="s">
        <v>311</v>
      </c>
      <c r="AV54" s="37">
        <v>1983</v>
      </c>
      <c r="AW54" s="16" t="s">
        <v>306</v>
      </c>
      <c r="AX54" s="37">
        <v>73</v>
      </c>
      <c r="AY54" s="16" t="s">
        <v>312</v>
      </c>
      <c r="AZ54" s="158" t="s">
        <v>313</v>
      </c>
      <c r="BA54" s="141"/>
      <c r="BB54" s="32" t="s">
        <v>634</v>
      </c>
      <c r="BC54" s="131"/>
      <c r="BD54" s="31"/>
    </row>
    <row r="55" spans="1:56" s="32" customFormat="1" ht="42" x14ac:dyDescent="0.2">
      <c r="A55" s="28" t="s">
        <v>296</v>
      </c>
      <c r="B55" s="123" t="s">
        <v>314</v>
      </c>
      <c r="C55" s="38">
        <v>98</v>
      </c>
      <c r="D55" s="39"/>
      <c r="E55" s="39"/>
      <c r="F55" s="38">
        <v>0</v>
      </c>
      <c r="G55" s="40">
        <v>81.199996999999996</v>
      </c>
      <c r="H55" s="40">
        <v>334.79999900000001</v>
      </c>
      <c r="I55" s="38">
        <v>19</v>
      </c>
      <c r="J55" s="38">
        <v>135</v>
      </c>
      <c r="K55" s="40">
        <v>93.599997999999999</v>
      </c>
      <c r="L55" s="40">
        <v>-22</v>
      </c>
      <c r="M55" s="5">
        <f t="shared" si="16"/>
        <v>22</v>
      </c>
      <c r="N55" s="40">
        <v>37</v>
      </c>
      <c r="O55" s="40">
        <v>5.5</v>
      </c>
      <c r="P55" s="110">
        <v>12</v>
      </c>
      <c r="Q55" s="110">
        <v>242.800003</v>
      </c>
      <c r="R55" s="40">
        <v>3.8</v>
      </c>
      <c r="S55" s="40">
        <v>3.8</v>
      </c>
      <c r="T55" s="40">
        <f t="shared" si="17"/>
        <v>3.8</v>
      </c>
      <c r="U55" s="101">
        <v>1</v>
      </c>
      <c r="V55" s="40">
        <v>-22</v>
      </c>
      <c r="W55" s="110">
        <v>12</v>
      </c>
      <c r="X55" s="110">
        <v>242.800003</v>
      </c>
      <c r="Y55" s="40">
        <v>3.8</v>
      </c>
      <c r="Z55" s="40">
        <v>3.8</v>
      </c>
      <c r="AA55" s="40">
        <f t="shared" si="27"/>
        <v>3.8</v>
      </c>
      <c r="AB55" s="34" t="s">
        <v>33</v>
      </c>
      <c r="AC55" s="38"/>
      <c r="AD55" s="6">
        <f t="shared" si="20"/>
        <v>1</v>
      </c>
      <c r="AE55" s="7">
        <f t="shared" si="21"/>
        <v>1</v>
      </c>
      <c r="AF55" s="7">
        <f t="shared" si="22"/>
        <v>1</v>
      </c>
      <c r="AG55" s="7">
        <f t="shared" si="23"/>
        <v>1</v>
      </c>
      <c r="AH55" s="8">
        <f t="shared" si="15"/>
        <v>1</v>
      </c>
      <c r="AI55" s="8">
        <v>1</v>
      </c>
      <c r="AJ55" s="8">
        <v>0</v>
      </c>
      <c r="AK55" s="8">
        <v>1</v>
      </c>
      <c r="AL55" s="23">
        <v>0</v>
      </c>
      <c r="AM55" s="59">
        <v>1</v>
      </c>
      <c r="AN55" s="6">
        <f t="shared" si="24"/>
        <v>5</v>
      </c>
      <c r="AO55" s="8" t="s">
        <v>70</v>
      </c>
      <c r="AP55" s="14">
        <f t="shared" si="18"/>
        <v>1382</v>
      </c>
      <c r="AQ55" s="38">
        <v>1380</v>
      </c>
      <c r="AR55" s="38">
        <v>1384</v>
      </c>
      <c r="AS55" s="39" t="s">
        <v>303</v>
      </c>
      <c r="AT55" s="39" t="s">
        <v>314</v>
      </c>
      <c r="AU55" s="16" t="s">
        <v>311</v>
      </c>
      <c r="AV55" s="37">
        <v>1983</v>
      </c>
      <c r="AW55" s="16" t="s">
        <v>306</v>
      </c>
      <c r="AX55" s="37">
        <v>73</v>
      </c>
      <c r="AY55" s="16" t="s">
        <v>312</v>
      </c>
      <c r="AZ55" s="158" t="s">
        <v>313</v>
      </c>
      <c r="BA55" s="141"/>
      <c r="BB55" s="32" t="s">
        <v>634</v>
      </c>
      <c r="BC55" s="131"/>
      <c r="BD55" s="31"/>
    </row>
    <row r="56" spans="1:56" s="32" customFormat="1" ht="42" x14ac:dyDescent="0.15">
      <c r="A56" s="47" t="s">
        <v>73</v>
      </c>
      <c r="B56" s="109" t="s">
        <v>138</v>
      </c>
      <c r="C56" s="38">
        <v>2180</v>
      </c>
      <c r="D56" s="39"/>
      <c r="E56" s="39" t="s">
        <v>62</v>
      </c>
      <c r="F56" s="38">
        <v>0</v>
      </c>
      <c r="G56" s="40">
        <v>56.5</v>
      </c>
      <c r="H56" s="40">
        <v>298.20000099999999</v>
      </c>
      <c r="I56" s="38">
        <v>21</v>
      </c>
      <c r="J56" s="38">
        <v>101</v>
      </c>
      <c r="K56" s="5">
        <v>277.79998799999998</v>
      </c>
      <c r="L56" s="40">
        <v>17.399999999999999</v>
      </c>
      <c r="M56" s="40">
        <f t="shared" si="16"/>
        <v>17.399999999999999</v>
      </c>
      <c r="N56" s="40">
        <v>116</v>
      </c>
      <c r="O56" s="40">
        <v>3</v>
      </c>
      <c r="P56" s="110">
        <v>11.7</v>
      </c>
      <c r="Q56" s="30">
        <v>206.699997</v>
      </c>
      <c r="R56" s="40">
        <v>1.6</v>
      </c>
      <c r="S56" s="40">
        <v>3.1</v>
      </c>
      <c r="T56" s="40">
        <f t="shared" si="17"/>
        <v>2.2271057451320089</v>
      </c>
      <c r="U56" s="101">
        <v>1</v>
      </c>
      <c r="V56" s="40">
        <v>17.399999999999999</v>
      </c>
      <c r="W56" s="110">
        <v>11.7</v>
      </c>
      <c r="X56" s="30">
        <v>206.699997</v>
      </c>
      <c r="Y56" s="40">
        <v>1.6</v>
      </c>
      <c r="Z56" s="40">
        <v>3.1</v>
      </c>
      <c r="AA56" s="40">
        <f t="shared" si="27"/>
        <v>2.2271057451320089</v>
      </c>
      <c r="AB56" s="38">
        <v>24</v>
      </c>
      <c r="AC56" s="38">
        <v>3</v>
      </c>
      <c r="AD56" s="6">
        <f t="shared" si="20"/>
        <v>1</v>
      </c>
      <c r="AE56" s="7">
        <f t="shared" si="21"/>
        <v>1</v>
      </c>
      <c r="AF56" s="7">
        <f t="shared" si="22"/>
        <v>1</v>
      </c>
      <c r="AG56" s="7">
        <f t="shared" si="23"/>
        <v>1</v>
      </c>
      <c r="AH56" s="8">
        <f t="shared" si="15"/>
        <v>1</v>
      </c>
      <c r="AI56" s="8">
        <v>1</v>
      </c>
      <c r="AJ56" s="8">
        <v>0</v>
      </c>
      <c r="AK56" s="96">
        <v>0</v>
      </c>
      <c r="AL56" s="8">
        <f>IF(OR(AB56="0or100",AB56=0,AB56=100),0,1)</f>
        <v>1</v>
      </c>
      <c r="AM56" s="2">
        <v>1</v>
      </c>
      <c r="AN56" s="6">
        <f t="shared" si="24"/>
        <v>5</v>
      </c>
      <c r="AO56" s="8" t="s">
        <v>70</v>
      </c>
      <c r="AP56" s="14">
        <f t="shared" si="18"/>
        <v>1305</v>
      </c>
      <c r="AQ56" s="8">
        <v>1290</v>
      </c>
      <c r="AR56" s="8">
        <v>1320</v>
      </c>
      <c r="AS56" s="41" t="s">
        <v>139</v>
      </c>
      <c r="AT56" s="25" t="s">
        <v>138</v>
      </c>
      <c r="AU56" s="25" t="s">
        <v>140</v>
      </c>
      <c r="AV56" s="8">
        <v>1978</v>
      </c>
      <c r="AW56" s="25" t="s">
        <v>93</v>
      </c>
      <c r="AX56" s="8" t="s">
        <v>141</v>
      </c>
      <c r="AY56" s="42" t="s">
        <v>142</v>
      </c>
      <c r="AZ56" s="157" t="s">
        <v>143</v>
      </c>
      <c r="BA56" s="143"/>
      <c r="BB56" s="33" t="s">
        <v>662</v>
      </c>
    </row>
    <row r="57" spans="1:56" s="32" customFormat="1" ht="42" x14ac:dyDescent="0.2">
      <c r="A57" s="28" t="s">
        <v>296</v>
      </c>
      <c r="B57" s="123" t="s">
        <v>315</v>
      </c>
      <c r="C57" s="38">
        <v>2107</v>
      </c>
      <c r="D57" s="39"/>
      <c r="E57" s="39"/>
      <c r="F57" s="38">
        <v>0</v>
      </c>
      <c r="G57" s="40">
        <v>61.200001</v>
      </c>
      <c r="H57" s="40">
        <v>311.70000099999999</v>
      </c>
      <c r="I57" s="38">
        <v>4</v>
      </c>
      <c r="J57" s="38">
        <v>18</v>
      </c>
      <c r="K57" s="40">
        <v>292</v>
      </c>
      <c r="L57" s="40">
        <v>-15.4</v>
      </c>
      <c r="M57" s="5">
        <f t="shared" si="16"/>
        <v>15.4</v>
      </c>
      <c r="N57" s="40">
        <v>455</v>
      </c>
      <c r="O57" s="40">
        <v>4.3</v>
      </c>
      <c r="P57" s="110">
        <v>3.4</v>
      </c>
      <c r="Q57" s="110">
        <v>198.699997</v>
      </c>
      <c r="R57" s="40">
        <v>2.2999999999999998</v>
      </c>
      <c r="S57" s="40">
        <v>4.4000000000000004</v>
      </c>
      <c r="T57" s="40">
        <f t="shared" si="17"/>
        <v>3.1811947441173731</v>
      </c>
      <c r="U57" s="101">
        <v>1</v>
      </c>
      <c r="V57" s="40">
        <v>-15.4</v>
      </c>
      <c r="W57" s="110">
        <v>3.4</v>
      </c>
      <c r="X57" s="110">
        <v>198.699997</v>
      </c>
      <c r="Y57" s="40">
        <v>2.2999999999999998</v>
      </c>
      <c r="Z57" s="40">
        <v>4.4000000000000004</v>
      </c>
      <c r="AA57" s="40">
        <f t="shared" si="27"/>
        <v>3.1811947441173731</v>
      </c>
      <c r="AB57" s="34" t="s">
        <v>33</v>
      </c>
      <c r="AC57" s="38"/>
      <c r="AD57" s="6">
        <f t="shared" si="20"/>
        <v>1</v>
      </c>
      <c r="AE57" s="7">
        <f t="shared" si="21"/>
        <v>0</v>
      </c>
      <c r="AF57" s="7">
        <f t="shared" si="22"/>
        <v>1</v>
      </c>
      <c r="AG57" s="7">
        <f t="shared" si="23"/>
        <v>1</v>
      </c>
      <c r="AH57" s="8">
        <f t="shared" si="15"/>
        <v>0</v>
      </c>
      <c r="AI57" s="8">
        <v>1</v>
      </c>
      <c r="AJ57" s="8">
        <v>0</v>
      </c>
      <c r="AK57" s="8">
        <v>1</v>
      </c>
      <c r="AL57" s="23">
        <v>0</v>
      </c>
      <c r="AM57" s="59">
        <v>1</v>
      </c>
      <c r="AN57" s="6">
        <f t="shared" si="24"/>
        <v>4</v>
      </c>
      <c r="AO57" s="8" t="s">
        <v>70</v>
      </c>
      <c r="AP57" s="14">
        <f t="shared" si="18"/>
        <v>1275</v>
      </c>
      <c r="AQ57" s="38">
        <v>1273</v>
      </c>
      <c r="AR57" s="38">
        <v>1277</v>
      </c>
      <c r="AS57" s="16" t="s">
        <v>316</v>
      </c>
      <c r="AT57" s="39" t="s">
        <v>315</v>
      </c>
      <c r="AU57" s="16" t="s">
        <v>317</v>
      </c>
      <c r="AV57" s="37">
        <v>1977</v>
      </c>
      <c r="AW57" s="16" t="s">
        <v>318</v>
      </c>
      <c r="AX57" s="37">
        <v>14</v>
      </c>
      <c r="AY57" s="16" t="s">
        <v>319</v>
      </c>
      <c r="AZ57" s="158" t="s">
        <v>320</v>
      </c>
      <c r="BA57" s="126"/>
      <c r="BB57" s="31" t="s">
        <v>630</v>
      </c>
      <c r="BC57" s="131"/>
      <c r="BD57" s="31"/>
    </row>
    <row r="58" spans="1:56" s="32" customFormat="1" ht="56" x14ac:dyDescent="0.2">
      <c r="A58" s="28" t="s">
        <v>296</v>
      </c>
      <c r="B58" s="123" t="s">
        <v>657</v>
      </c>
      <c r="C58" s="38">
        <v>6607</v>
      </c>
      <c r="D58" s="39"/>
      <c r="E58" s="39"/>
      <c r="F58" s="38">
        <v>0</v>
      </c>
      <c r="G58" s="101">
        <v>61.15</v>
      </c>
      <c r="H58" s="101">
        <v>314.60000000000002</v>
      </c>
      <c r="I58" s="38">
        <v>12</v>
      </c>
      <c r="J58" s="38">
        <v>65</v>
      </c>
      <c r="K58" s="40">
        <v>295.70001200000002</v>
      </c>
      <c r="L58" s="40">
        <v>2.5</v>
      </c>
      <c r="M58" s="5">
        <f t="shared" si="16"/>
        <v>2.5</v>
      </c>
      <c r="N58" s="40">
        <v>15</v>
      </c>
      <c r="O58" s="40">
        <v>12</v>
      </c>
      <c r="P58" s="110">
        <v>13.2</v>
      </c>
      <c r="Q58" s="110">
        <v>202.60000600000001</v>
      </c>
      <c r="R58" s="40">
        <v>5.9</v>
      </c>
      <c r="S58" s="40">
        <v>11.7</v>
      </c>
      <c r="T58" s="40">
        <f t="shared" si="17"/>
        <v>8.3084294544757373</v>
      </c>
      <c r="U58" s="101">
        <v>1</v>
      </c>
      <c r="V58" s="40">
        <v>2.5</v>
      </c>
      <c r="W58" s="110">
        <v>13.2</v>
      </c>
      <c r="X58" s="110">
        <v>202.60000600000001</v>
      </c>
      <c r="Y58" s="40">
        <v>5.9</v>
      </c>
      <c r="Z58" s="40">
        <v>11.7</v>
      </c>
      <c r="AA58" s="40">
        <f t="shared" si="27"/>
        <v>8.3084294544757373</v>
      </c>
      <c r="AB58" s="38" t="s">
        <v>40</v>
      </c>
      <c r="AC58" s="38"/>
      <c r="AD58" s="6">
        <f t="shared" si="20"/>
        <v>1</v>
      </c>
      <c r="AE58" s="7">
        <f t="shared" si="21"/>
        <v>1</v>
      </c>
      <c r="AF58" s="7">
        <f t="shared" si="22"/>
        <v>1</v>
      </c>
      <c r="AG58" s="7">
        <f t="shared" si="23"/>
        <v>1</v>
      </c>
      <c r="AH58" s="8">
        <f t="shared" si="15"/>
        <v>1</v>
      </c>
      <c r="AI58" s="8">
        <v>1</v>
      </c>
      <c r="AJ58" s="8">
        <v>0</v>
      </c>
      <c r="AK58" s="8">
        <v>0</v>
      </c>
      <c r="AL58" s="23">
        <v>1</v>
      </c>
      <c r="AM58" s="59">
        <v>1</v>
      </c>
      <c r="AN58" s="6">
        <f t="shared" si="24"/>
        <v>5</v>
      </c>
      <c r="AO58" s="8" t="s">
        <v>70</v>
      </c>
      <c r="AP58" s="14">
        <f t="shared" si="18"/>
        <v>1275</v>
      </c>
      <c r="AQ58" s="38">
        <v>1274</v>
      </c>
      <c r="AR58" s="38">
        <v>1276</v>
      </c>
      <c r="AS58" s="16" t="s">
        <v>322</v>
      </c>
      <c r="AT58" s="39" t="s">
        <v>321</v>
      </c>
      <c r="AU58" s="16" t="s">
        <v>323</v>
      </c>
      <c r="AV58" s="37">
        <v>1992</v>
      </c>
      <c r="AW58" s="16" t="s">
        <v>1</v>
      </c>
      <c r="AX58" s="37">
        <v>54</v>
      </c>
      <c r="AY58" s="16" t="s">
        <v>324</v>
      </c>
      <c r="AZ58" s="158" t="s">
        <v>325</v>
      </c>
      <c r="BA58" s="145"/>
      <c r="BB58" s="32" t="s">
        <v>629</v>
      </c>
      <c r="BC58" s="131"/>
      <c r="BD58" s="31"/>
    </row>
    <row r="59" spans="1:56" s="32" customFormat="1" ht="56" x14ac:dyDescent="0.15">
      <c r="A59" s="47" t="s">
        <v>73</v>
      </c>
      <c r="B59" s="109" t="s">
        <v>144</v>
      </c>
      <c r="C59" s="38" t="s">
        <v>145</v>
      </c>
      <c r="D59" s="39" t="s">
        <v>146</v>
      </c>
      <c r="E59" s="39" t="s">
        <v>147</v>
      </c>
      <c r="F59" s="38">
        <v>0</v>
      </c>
      <c r="G59" s="40">
        <v>65</v>
      </c>
      <c r="H59" s="40">
        <v>250</v>
      </c>
      <c r="I59" s="38">
        <v>5</v>
      </c>
      <c r="J59" s="114">
        <v>1000</v>
      </c>
      <c r="K59" s="5">
        <v>243.9</v>
      </c>
      <c r="L59" s="40">
        <v>29.7</v>
      </c>
      <c r="M59" s="40">
        <f t="shared" ref="M59:M83" si="28">ABS(L59)</f>
        <v>29.7</v>
      </c>
      <c r="N59" s="114">
        <v>1000</v>
      </c>
      <c r="O59" s="114">
        <v>0.1</v>
      </c>
      <c r="P59" s="110">
        <v>4</v>
      </c>
      <c r="Q59" s="30">
        <v>190</v>
      </c>
      <c r="R59" s="40">
        <v>5</v>
      </c>
      <c r="S59" s="40">
        <v>5</v>
      </c>
      <c r="T59" s="40">
        <f t="shared" ref="T59:T77" si="29">SQRT(R59*S59)</f>
        <v>5</v>
      </c>
      <c r="U59" s="101">
        <v>1</v>
      </c>
      <c r="V59" s="40">
        <v>29.7</v>
      </c>
      <c r="W59" s="110">
        <v>4</v>
      </c>
      <c r="X59" s="30">
        <v>190</v>
      </c>
      <c r="Y59" s="40">
        <v>5</v>
      </c>
      <c r="Z59" s="40">
        <v>5</v>
      </c>
      <c r="AA59" s="40">
        <f t="shared" si="27"/>
        <v>5</v>
      </c>
      <c r="AB59" s="38" t="s">
        <v>148</v>
      </c>
      <c r="AC59" s="38">
        <v>3</v>
      </c>
      <c r="AD59" s="6">
        <f t="shared" si="20"/>
        <v>1</v>
      </c>
      <c r="AE59" s="7">
        <f t="shared" si="21"/>
        <v>1</v>
      </c>
      <c r="AF59" s="7">
        <f t="shared" si="22"/>
        <v>1</v>
      </c>
      <c r="AG59" s="7">
        <f t="shared" si="23"/>
        <v>1</v>
      </c>
      <c r="AH59" s="8">
        <f t="shared" si="15"/>
        <v>1</v>
      </c>
      <c r="AI59" s="8">
        <v>1</v>
      </c>
      <c r="AJ59" s="8">
        <v>1</v>
      </c>
      <c r="AK59" s="96">
        <v>1</v>
      </c>
      <c r="AL59" s="8">
        <f>IF(OR(AB59="0or100",AB59=0,AB59=100),0,1)</f>
        <v>0</v>
      </c>
      <c r="AM59" s="2">
        <v>1</v>
      </c>
      <c r="AN59" s="6">
        <f t="shared" si="24"/>
        <v>6</v>
      </c>
      <c r="AO59" s="8" t="s">
        <v>66</v>
      </c>
      <c r="AP59" s="14">
        <f t="shared" si="18"/>
        <v>1267</v>
      </c>
      <c r="AQ59" s="8">
        <v>1265</v>
      </c>
      <c r="AR59" s="8">
        <v>1269</v>
      </c>
      <c r="AS59" s="41" t="s">
        <v>149</v>
      </c>
      <c r="AT59" s="47" t="s">
        <v>144</v>
      </c>
      <c r="AU59" s="25" t="s">
        <v>150</v>
      </c>
      <c r="AV59" s="8">
        <v>2000</v>
      </c>
      <c r="AW59" s="25" t="s">
        <v>35</v>
      </c>
      <c r="AX59" s="8">
        <v>319</v>
      </c>
      <c r="AY59" s="42" t="s">
        <v>151</v>
      </c>
      <c r="AZ59" s="153" t="s">
        <v>152</v>
      </c>
      <c r="BA59" s="143"/>
      <c r="BB59" s="33" t="s">
        <v>559</v>
      </c>
    </row>
    <row r="60" spans="1:56" ht="42" x14ac:dyDescent="0.2">
      <c r="A60" s="28" t="s">
        <v>296</v>
      </c>
      <c r="B60" s="123" t="s">
        <v>326</v>
      </c>
      <c r="C60" s="38">
        <v>2106</v>
      </c>
      <c r="D60" s="39"/>
      <c r="E60" s="39"/>
      <c r="F60" s="38">
        <v>0</v>
      </c>
      <c r="G60" s="40">
        <v>61.200001</v>
      </c>
      <c r="H60" s="40">
        <v>311.70000099999999</v>
      </c>
      <c r="I60" s="38">
        <v>24</v>
      </c>
      <c r="J60" s="38">
        <v>138</v>
      </c>
      <c r="K60" s="40">
        <v>291.5</v>
      </c>
      <c r="L60" s="40">
        <v>-3.3</v>
      </c>
      <c r="M60" s="5">
        <f t="shared" si="28"/>
        <v>3.3</v>
      </c>
      <c r="N60" s="40">
        <v>11</v>
      </c>
      <c r="O60" s="40">
        <v>9.4</v>
      </c>
      <c r="P60" s="110">
        <v>8.7000000000000011</v>
      </c>
      <c r="Q60" s="110">
        <v>201.699997</v>
      </c>
      <c r="R60" s="40">
        <v>4.7</v>
      </c>
      <c r="S60" s="40">
        <v>9.4</v>
      </c>
      <c r="T60" s="40">
        <f t="shared" si="29"/>
        <v>6.6468037431535469</v>
      </c>
      <c r="U60" s="101">
        <v>1</v>
      </c>
      <c r="V60" s="40">
        <v>-3.3</v>
      </c>
      <c r="W60" s="110">
        <v>8.7000000000000011</v>
      </c>
      <c r="X60" s="110">
        <v>201.699997</v>
      </c>
      <c r="Y60" s="40">
        <v>4.7</v>
      </c>
      <c r="Z60" s="40">
        <v>9.4</v>
      </c>
      <c r="AA60" s="40">
        <f t="shared" si="27"/>
        <v>6.6468037431535469</v>
      </c>
      <c r="AB60" s="34" t="s">
        <v>33</v>
      </c>
      <c r="AC60" s="38"/>
      <c r="AD60" s="6">
        <f t="shared" si="20"/>
        <v>1</v>
      </c>
      <c r="AE60" s="7">
        <f t="shared" si="21"/>
        <v>1</v>
      </c>
      <c r="AF60" s="7">
        <f t="shared" si="22"/>
        <v>1</v>
      </c>
      <c r="AG60" s="7">
        <f t="shared" si="23"/>
        <v>1</v>
      </c>
      <c r="AH60" s="8">
        <f t="shared" si="15"/>
        <v>1</v>
      </c>
      <c r="AI60" s="8">
        <v>1</v>
      </c>
      <c r="AJ60" s="8">
        <v>0</v>
      </c>
      <c r="AK60" s="8">
        <v>1</v>
      </c>
      <c r="AL60" s="23">
        <v>0</v>
      </c>
      <c r="AM60" s="59">
        <v>1</v>
      </c>
      <c r="AN60" s="6">
        <f t="shared" si="24"/>
        <v>5</v>
      </c>
      <c r="AO60" s="8" t="s">
        <v>70</v>
      </c>
      <c r="AP60" s="14">
        <f t="shared" si="18"/>
        <v>1243.5</v>
      </c>
      <c r="AQ60" s="38">
        <v>1236</v>
      </c>
      <c r="AR60" s="38">
        <v>1251</v>
      </c>
      <c r="AS60" s="39" t="s">
        <v>327</v>
      </c>
      <c r="AT60" s="39" t="s">
        <v>326</v>
      </c>
      <c r="AU60" s="16" t="s">
        <v>317</v>
      </c>
      <c r="AV60" s="37">
        <v>1977</v>
      </c>
      <c r="AW60" s="16" t="s">
        <v>318</v>
      </c>
      <c r="AX60" s="37">
        <v>14</v>
      </c>
      <c r="AY60" s="16" t="s">
        <v>319</v>
      </c>
      <c r="AZ60" s="158" t="s">
        <v>320</v>
      </c>
      <c r="BA60" s="141"/>
      <c r="BB60" s="31" t="s">
        <v>630</v>
      </c>
      <c r="BC60" s="131"/>
    </row>
    <row r="61" spans="1:56" s="46" customFormat="1" ht="42" x14ac:dyDescent="0.2">
      <c r="A61" s="28" t="s">
        <v>296</v>
      </c>
      <c r="B61" s="123" t="s">
        <v>328</v>
      </c>
      <c r="C61" s="38">
        <v>2108</v>
      </c>
      <c r="D61" s="39"/>
      <c r="E61" s="39"/>
      <c r="F61" s="38">
        <v>0</v>
      </c>
      <c r="G61" s="40">
        <v>61.200001</v>
      </c>
      <c r="H61" s="40">
        <v>311.70000099999999</v>
      </c>
      <c r="I61" s="38">
        <v>9</v>
      </c>
      <c r="J61" s="38">
        <v>51</v>
      </c>
      <c r="K61" s="40">
        <v>284.79998799999998</v>
      </c>
      <c r="L61" s="40">
        <v>-8.6000000000000014</v>
      </c>
      <c r="M61" s="5">
        <f t="shared" si="28"/>
        <v>8.6000000000000014</v>
      </c>
      <c r="N61" s="40">
        <v>28</v>
      </c>
      <c r="O61" s="40">
        <v>10</v>
      </c>
      <c r="P61" s="110">
        <v>3.2</v>
      </c>
      <c r="Q61" s="110">
        <v>206.39999399999999</v>
      </c>
      <c r="R61" s="40">
        <v>5.0999999999999996</v>
      </c>
      <c r="S61" s="40">
        <v>10.1</v>
      </c>
      <c r="T61" s="40">
        <f t="shared" si="29"/>
        <v>7.1770467463992453</v>
      </c>
      <c r="U61" s="101">
        <v>1</v>
      </c>
      <c r="V61" s="40">
        <v>-8.6000000000000014</v>
      </c>
      <c r="W61" s="110">
        <v>3.2</v>
      </c>
      <c r="X61" s="110">
        <v>206.39999399999999</v>
      </c>
      <c r="Y61" s="40">
        <v>5.0999999999999996</v>
      </c>
      <c r="Z61" s="40">
        <v>10.1</v>
      </c>
      <c r="AA61" s="40">
        <f t="shared" si="27"/>
        <v>7.1770467463992453</v>
      </c>
      <c r="AB61" s="34" t="s">
        <v>33</v>
      </c>
      <c r="AC61" s="38"/>
      <c r="AD61" s="6">
        <f t="shared" si="20"/>
        <v>1</v>
      </c>
      <c r="AE61" s="7">
        <f t="shared" si="21"/>
        <v>1</v>
      </c>
      <c r="AF61" s="7">
        <f t="shared" si="22"/>
        <v>1</v>
      </c>
      <c r="AG61" s="7">
        <f t="shared" si="23"/>
        <v>1</v>
      </c>
      <c r="AH61" s="8">
        <f t="shared" si="15"/>
        <v>1</v>
      </c>
      <c r="AI61" s="8">
        <v>1</v>
      </c>
      <c r="AJ61" s="8">
        <v>0</v>
      </c>
      <c r="AK61" s="8">
        <v>1</v>
      </c>
      <c r="AL61" s="23">
        <v>0</v>
      </c>
      <c r="AM61" s="59">
        <v>1</v>
      </c>
      <c r="AN61" s="6">
        <f t="shared" si="24"/>
        <v>5</v>
      </c>
      <c r="AO61" s="8" t="s">
        <v>70</v>
      </c>
      <c r="AP61" s="14">
        <f t="shared" si="18"/>
        <v>1238</v>
      </c>
      <c r="AQ61" s="38">
        <v>1227</v>
      </c>
      <c r="AR61" s="38">
        <v>1249</v>
      </c>
      <c r="AS61" s="39" t="s">
        <v>329</v>
      </c>
      <c r="AT61" s="39" t="s">
        <v>328</v>
      </c>
      <c r="AU61" s="16" t="s">
        <v>317</v>
      </c>
      <c r="AV61" s="37">
        <v>1977</v>
      </c>
      <c r="AW61" s="16" t="s">
        <v>318</v>
      </c>
      <c r="AX61" s="37">
        <v>14</v>
      </c>
      <c r="AY61" s="16" t="s">
        <v>319</v>
      </c>
      <c r="AZ61" s="158" t="s">
        <v>320</v>
      </c>
      <c r="BA61" s="126"/>
      <c r="BB61" s="31" t="s">
        <v>630</v>
      </c>
      <c r="BC61" s="131"/>
      <c r="BD61" s="31"/>
    </row>
    <row r="62" spans="1:56" s="32" customFormat="1" ht="42" x14ac:dyDescent="0.15">
      <c r="A62" s="47" t="s">
        <v>73</v>
      </c>
      <c r="B62" s="109" t="s">
        <v>153</v>
      </c>
      <c r="C62" s="38">
        <v>2175</v>
      </c>
      <c r="D62" s="39" t="s">
        <v>58</v>
      </c>
      <c r="E62" s="39" t="s">
        <v>28</v>
      </c>
      <c r="F62" s="38">
        <v>0</v>
      </c>
      <c r="G62" s="40">
        <v>46.299999</v>
      </c>
      <c r="H62" s="40">
        <v>278.59999800000003</v>
      </c>
      <c r="I62" s="38">
        <v>52</v>
      </c>
      <c r="J62" s="38">
        <v>205</v>
      </c>
      <c r="K62" s="5">
        <v>265.20001200000002</v>
      </c>
      <c r="L62" s="40">
        <v>2.2999999999999998</v>
      </c>
      <c r="M62" s="40">
        <f t="shared" si="28"/>
        <v>2.2999999999999998</v>
      </c>
      <c r="N62" s="114">
        <v>1000</v>
      </c>
      <c r="O62" s="114">
        <v>3.5</v>
      </c>
      <c r="P62" s="110">
        <v>-2.5</v>
      </c>
      <c r="Q62" s="30">
        <v>192.800003</v>
      </c>
      <c r="R62" s="40">
        <v>2.5</v>
      </c>
      <c r="S62" s="40">
        <v>2.5</v>
      </c>
      <c r="T62" s="40">
        <f t="shared" si="29"/>
        <v>2.5</v>
      </c>
      <c r="U62" s="101">
        <v>1</v>
      </c>
      <c r="V62" s="40">
        <v>2.2999999999999998</v>
      </c>
      <c r="W62" s="110">
        <v>-2.5</v>
      </c>
      <c r="X62" s="30">
        <v>192.800003</v>
      </c>
      <c r="Y62" s="40">
        <v>2.5</v>
      </c>
      <c r="Z62" s="40">
        <v>2.5</v>
      </c>
      <c r="AA62" s="40">
        <f t="shared" si="27"/>
        <v>2.5</v>
      </c>
      <c r="AB62" s="38">
        <v>0</v>
      </c>
      <c r="AC62" s="38">
        <v>3</v>
      </c>
      <c r="AD62" s="6">
        <f t="shared" si="20"/>
        <v>1</v>
      </c>
      <c r="AE62" s="7">
        <f t="shared" si="21"/>
        <v>1</v>
      </c>
      <c r="AF62" s="7">
        <f t="shared" si="22"/>
        <v>1</v>
      </c>
      <c r="AG62" s="7">
        <f t="shared" si="23"/>
        <v>1</v>
      </c>
      <c r="AH62" s="8">
        <f t="shared" si="15"/>
        <v>1</v>
      </c>
      <c r="AI62" s="8">
        <v>1</v>
      </c>
      <c r="AJ62" s="8">
        <v>1</v>
      </c>
      <c r="AK62" s="96">
        <v>1</v>
      </c>
      <c r="AL62" s="8">
        <f>IF(OR(AB62="0or100",AB62=0,AB62=100),0,1)</f>
        <v>0</v>
      </c>
      <c r="AM62" s="2">
        <v>1</v>
      </c>
      <c r="AN62" s="6">
        <f t="shared" si="24"/>
        <v>6</v>
      </c>
      <c r="AO62" s="8" t="s">
        <v>66</v>
      </c>
      <c r="AP62" s="14">
        <f t="shared" si="18"/>
        <v>1237</v>
      </c>
      <c r="AQ62" s="8">
        <v>1232</v>
      </c>
      <c r="AR62" s="8">
        <v>1242</v>
      </c>
      <c r="AS62" s="41" t="s">
        <v>154</v>
      </c>
      <c r="AT62" s="25" t="s">
        <v>153</v>
      </c>
      <c r="AU62" s="25" t="s">
        <v>155</v>
      </c>
      <c r="AV62" s="8">
        <v>1977</v>
      </c>
      <c r="AW62" s="25" t="s">
        <v>93</v>
      </c>
      <c r="AX62" s="8" t="s">
        <v>61</v>
      </c>
      <c r="AY62" s="42" t="s">
        <v>156</v>
      </c>
      <c r="AZ62" s="157" t="s">
        <v>157</v>
      </c>
      <c r="BA62" s="126"/>
      <c r="BB62" s="31" t="s">
        <v>597</v>
      </c>
    </row>
    <row r="63" spans="1:56" ht="28" x14ac:dyDescent="0.15">
      <c r="A63" s="28" t="s">
        <v>373</v>
      </c>
      <c r="B63" s="122" t="s">
        <v>615</v>
      </c>
      <c r="C63" s="27" t="s">
        <v>375</v>
      </c>
      <c r="D63" s="26" t="s">
        <v>376</v>
      </c>
      <c r="E63" s="26" t="s">
        <v>377</v>
      </c>
      <c r="F63" s="27">
        <v>100</v>
      </c>
      <c r="G63" s="30">
        <v>58</v>
      </c>
      <c r="H63" s="30">
        <v>354.5</v>
      </c>
      <c r="I63" s="133"/>
      <c r="J63" s="27">
        <v>610</v>
      </c>
      <c r="K63" s="30">
        <v>310.8</v>
      </c>
      <c r="L63" s="30">
        <v>34.700000000000003</v>
      </c>
      <c r="M63" s="5">
        <f t="shared" si="28"/>
        <v>34.700000000000003</v>
      </c>
      <c r="N63" s="132">
        <v>1000</v>
      </c>
      <c r="O63" s="132">
        <v>0.1</v>
      </c>
      <c r="P63" s="30">
        <v>37.200000000000003</v>
      </c>
      <c r="Q63" s="30">
        <v>238.4</v>
      </c>
      <c r="R63" s="30">
        <v>7.7</v>
      </c>
      <c r="S63" s="30">
        <v>7.7</v>
      </c>
      <c r="T63" s="30">
        <f t="shared" si="29"/>
        <v>7.7</v>
      </c>
      <c r="U63" s="103">
        <v>0.6</v>
      </c>
      <c r="V63" s="103">
        <v>49.1</v>
      </c>
      <c r="W63" s="103">
        <v>46.4</v>
      </c>
      <c r="X63" s="103">
        <v>246.3</v>
      </c>
      <c r="Y63" s="103">
        <v>7.7</v>
      </c>
      <c r="Z63" s="103">
        <v>7.7</v>
      </c>
      <c r="AA63" s="103">
        <v>7.7</v>
      </c>
      <c r="AB63" s="27" t="s">
        <v>69</v>
      </c>
      <c r="AC63" s="27">
        <v>4</v>
      </c>
      <c r="AD63" s="6">
        <f t="shared" si="20"/>
        <v>0</v>
      </c>
      <c r="AE63" s="7">
        <f t="shared" si="21"/>
        <v>1</v>
      </c>
      <c r="AF63" s="7">
        <f t="shared" si="22"/>
        <v>1</v>
      </c>
      <c r="AG63" s="7">
        <f t="shared" si="23"/>
        <v>1</v>
      </c>
      <c r="AH63" s="8">
        <f t="shared" si="15"/>
        <v>1</v>
      </c>
      <c r="AI63" s="27">
        <v>1</v>
      </c>
      <c r="AJ63" s="27">
        <v>1</v>
      </c>
      <c r="AK63" s="27">
        <v>1</v>
      </c>
      <c r="AL63" s="29">
        <v>1</v>
      </c>
      <c r="AM63" s="57">
        <v>0</v>
      </c>
      <c r="AN63" s="6">
        <f t="shared" si="24"/>
        <v>5</v>
      </c>
      <c r="AO63" s="27" t="s">
        <v>70</v>
      </c>
      <c r="AP63" s="14">
        <f t="shared" si="18"/>
        <v>1199</v>
      </c>
      <c r="AQ63" s="27">
        <v>1129</v>
      </c>
      <c r="AR63" s="27">
        <v>1269</v>
      </c>
      <c r="AS63" s="26" t="s">
        <v>378</v>
      </c>
      <c r="AT63" s="44" t="s">
        <v>374</v>
      </c>
      <c r="AU63" s="16" t="s">
        <v>49</v>
      </c>
      <c r="AV63" s="37">
        <v>2009</v>
      </c>
      <c r="AW63" s="16"/>
      <c r="AX63" s="37"/>
      <c r="AY63" s="16"/>
      <c r="AZ63" s="158"/>
      <c r="BA63" s="141" t="s">
        <v>379</v>
      </c>
      <c r="BB63" s="28" t="s">
        <v>633</v>
      </c>
    </row>
    <row r="64" spans="1:56" ht="42" x14ac:dyDescent="0.2">
      <c r="A64" s="28" t="s">
        <v>296</v>
      </c>
      <c r="B64" s="123" t="s">
        <v>330</v>
      </c>
      <c r="C64" s="38">
        <v>2132</v>
      </c>
      <c r="D64" s="39"/>
      <c r="E64" s="39"/>
      <c r="F64" s="38">
        <v>0</v>
      </c>
      <c r="G64" s="40">
        <v>60.900002000000001</v>
      </c>
      <c r="H64" s="40">
        <v>313.70000099999999</v>
      </c>
      <c r="I64" s="38">
        <v>7</v>
      </c>
      <c r="J64" s="38">
        <v>38</v>
      </c>
      <c r="K64" s="40">
        <v>294.29998799999998</v>
      </c>
      <c r="L64" s="40">
        <v>42.700001</v>
      </c>
      <c r="M64" s="5">
        <f t="shared" si="28"/>
        <v>42.700001</v>
      </c>
      <c r="N64" s="40">
        <v>38</v>
      </c>
      <c r="O64" s="40">
        <v>9.8000000000000007</v>
      </c>
      <c r="P64" s="110">
        <v>33.200001</v>
      </c>
      <c r="Q64" s="110">
        <v>215.300003</v>
      </c>
      <c r="R64" s="40">
        <v>7.6</v>
      </c>
      <c r="S64" s="40">
        <v>12.2</v>
      </c>
      <c r="T64" s="40">
        <f t="shared" si="29"/>
        <v>9.6291224937685769</v>
      </c>
      <c r="U64" s="101">
        <v>1</v>
      </c>
      <c r="V64" s="40">
        <v>42.700001</v>
      </c>
      <c r="W64" s="110">
        <v>33.200001</v>
      </c>
      <c r="X64" s="110">
        <v>215.300003</v>
      </c>
      <c r="Y64" s="40">
        <v>7.6</v>
      </c>
      <c r="Z64" s="40">
        <v>12.2</v>
      </c>
      <c r="AA64" s="40">
        <f>SQRT(Y64*Z64)</f>
        <v>9.6291224937685769</v>
      </c>
      <c r="AB64" s="34" t="s">
        <v>33</v>
      </c>
      <c r="AC64" s="38"/>
      <c r="AD64" s="6">
        <f t="shared" si="20"/>
        <v>1</v>
      </c>
      <c r="AE64" s="7">
        <f t="shared" si="21"/>
        <v>1</v>
      </c>
      <c r="AF64" s="7">
        <f t="shared" si="22"/>
        <v>1</v>
      </c>
      <c r="AG64" s="7">
        <f t="shared" si="23"/>
        <v>1</v>
      </c>
      <c r="AH64" s="8">
        <f t="shared" si="15"/>
        <v>1</v>
      </c>
      <c r="AI64" s="8">
        <v>1</v>
      </c>
      <c r="AJ64" s="8">
        <v>0</v>
      </c>
      <c r="AK64" s="8">
        <v>1</v>
      </c>
      <c r="AL64" s="23">
        <v>0</v>
      </c>
      <c r="AM64" s="59">
        <v>1</v>
      </c>
      <c r="AN64" s="6">
        <f t="shared" si="24"/>
        <v>5</v>
      </c>
      <c r="AO64" s="8" t="s">
        <v>70</v>
      </c>
      <c r="AP64" s="14">
        <f t="shared" si="18"/>
        <v>1184</v>
      </c>
      <c r="AQ64" s="38">
        <v>1179</v>
      </c>
      <c r="AR64" s="38">
        <v>1189</v>
      </c>
      <c r="AS64" s="16" t="s">
        <v>331</v>
      </c>
      <c r="AT64" s="39" t="s">
        <v>330</v>
      </c>
      <c r="AU64" s="16" t="s">
        <v>323</v>
      </c>
      <c r="AV64" s="37">
        <v>1977</v>
      </c>
      <c r="AW64" s="16" t="s">
        <v>332</v>
      </c>
      <c r="AX64" s="37">
        <v>26</v>
      </c>
      <c r="AY64" s="16" t="s">
        <v>333</v>
      </c>
      <c r="AZ64" s="158" t="s">
        <v>334</v>
      </c>
      <c r="BA64" s="126"/>
      <c r="BB64" s="31" t="s">
        <v>631</v>
      </c>
      <c r="BC64" s="131"/>
    </row>
    <row r="65" spans="1:56" s="32" customFormat="1" ht="42" x14ac:dyDescent="0.15">
      <c r="A65" s="28" t="s">
        <v>296</v>
      </c>
      <c r="B65" s="123" t="s">
        <v>335</v>
      </c>
      <c r="C65" s="38">
        <v>2133</v>
      </c>
      <c r="D65" s="39"/>
      <c r="E65" s="39"/>
      <c r="F65" s="38">
        <v>0</v>
      </c>
      <c r="G65" s="40">
        <v>60.900002000000001</v>
      </c>
      <c r="H65" s="40">
        <v>313.79999900000001</v>
      </c>
      <c r="I65" s="38">
        <v>4</v>
      </c>
      <c r="J65" s="38">
        <v>22</v>
      </c>
      <c r="K65" s="40">
        <v>285.29998799999998</v>
      </c>
      <c r="L65" s="40">
        <v>46.799999000000007</v>
      </c>
      <c r="M65" s="5">
        <f t="shared" si="28"/>
        <v>46.799999000000007</v>
      </c>
      <c r="N65" s="40">
        <v>97</v>
      </c>
      <c r="O65" s="40">
        <v>9.4</v>
      </c>
      <c r="P65" s="110">
        <v>31.6</v>
      </c>
      <c r="Q65" s="110">
        <v>225.39999399999999</v>
      </c>
      <c r="R65" s="40">
        <v>7.8</v>
      </c>
      <c r="S65" s="40">
        <v>12.1</v>
      </c>
      <c r="T65" s="40">
        <f t="shared" si="29"/>
        <v>9.7149369529606311</v>
      </c>
      <c r="U65" s="101">
        <v>1</v>
      </c>
      <c r="V65" s="40">
        <v>46.799999000000007</v>
      </c>
      <c r="W65" s="110">
        <v>31.6</v>
      </c>
      <c r="X65" s="110">
        <v>225.39999399999999</v>
      </c>
      <c r="Y65" s="40">
        <v>7.8</v>
      </c>
      <c r="Z65" s="40">
        <v>12.1</v>
      </c>
      <c r="AA65" s="40">
        <f>SQRT(Y65*Z65)</f>
        <v>9.7149369529606311</v>
      </c>
      <c r="AB65" s="34" t="s">
        <v>33</v>
      </c>
      <c r="AC65" s="38"/>
      <c r="AD65" s="6">
        <f t="shared" si="20"/>
        <v>1</v>
      </c>
      <c r="AE65" s="7">
        <f t="shared" si="21"/>
        <v>0</v>
      </c>
      <c r="AF65" s="7">
        <f t="shared" si="22"/>
        <v>1</v>
      </c>
      <c r="AG65" s="7">
        <f t="shared" si="23"/>
        <v>1</v>
      </c>
      <c r="AH65" s="8">
        <f t="shared" si="15"/>
        <v>0</v>
      </c>
      <c r="AI65" s="8">
        <v>1</v>
      </c>
      <c r="AJ65" s="8">
        <v>0</v>
      </c>
      <c r="AK65" s="8">
        <v>1</v>
      </c>
      <c r="AL65" s="23">
        <v>0</v>
      </c>
      <c r="AM65" s="59">
        <v>1</v>
      </c>
      <c r="AN65" s="6">
        <f t="shared" si="24"/>
        <v>4</v>
      </c>
      <c r="AO65" s="8" t="s">
        <v>70</v>
      </c>
      <c r="AP65" s="14">
        <f t="shared" si="18"/>
        <v>1184</v>
      </c>
      <c r="AQ65" s="38">
        <v>1179</v>
      </c>
      <c r="AR65" s="38">
        <v>1189</v>
      </c>
      <c r="AS65" s="16" t="s">
        <v>336</v>
      </c>
      <c r="AT65" s="39" t="s">
        <v>335</v>
      </c>
      <c r="AU65" s="16" t="s">
        <v>323</v>
      </c>
      <c r="AV65" s="37">
        <v>1977</v>
      </c>
      <c r="AW65" s="16" t="s">
        <v>332</v>
      </c>
      <c r="AX65" s="37">
        <v>26</v>
      </c>
      <c r="AY65" s="16" t="s">
        <v>333</v>
      </c>
      <c r="AZ65" s="158" t="s">
        <v>334</v>
      </c>
      <c r="BA65" s="141"/>
      <c r="BB65" s="31" t="s">
        <v>631</v>
      </c>
      <c r="BC65" s="31"/>
      <c r="BD65" s="31"/>
    </row>
    <row r="66" spans="1:56" s="32" customFormat="1" ht="56" x14ac:dyDescent="0.15">
      <c r="A66" s="28" t="s">
        <v>296</v>
      </c>
      <c r="B66" s="123" t="s">
        <v>337</v>
      </c>
      <c r="C66" s="38">
        <v>6610</v>
      </c>
      <c r="D66" s="39"/>
      <c r="E66" s="39"/>
      <c r="F66" s="38">
        <v>0</v>
      </c>
      <c r="G66" s="101">
        <v>61.15</v>
      </c>
      <c r="H66" s="101">
        <v>314.60000000000002</v>
      </c>
      <c r="I66" s="38">
        <v>9</v>
      </c>
      <c r="J66" s="38">
        <v>67</v>
      </c>
      <c r="K66" s="40">
        <v>299.89999399999999</v>
      </c>
      <c r="L66" s="40">
        <v>51.200001</v>
      </c>
      <c r="M66" s="5">
        <f t="shared" si="28"/>
        <v>51.200001</v>
      </c>
      <c r="N66" s="40">
        <v>20</v>
      </c>
      <c r="O66" s="40">
        <v>12</v>
      </c>
      <c r="P66" s="110">
        <v>41.799999000000007</v>
      </c>
      <c r="Q66" s="110">
        <v>215.89999399999999</v>
      </c>
      <c r="R66" s="40">
        <v>10.8</v>
      </c>
      <c r="S66" s="40">
        <v>15.9</v>
      </c>
      <c r="T66" s="40">
        <f t="shared" si="29"/>
        <v>13.104197800704934</v>
      </c>
      <c r="U66" s="101">
        <v>1</v>
      </c>
      <c r="V66" s="40">
        <v>51.200001</v>
      </c>
      <c r="W66" s="110">
        <v>41.799999000000007</v>
      </c>
      <c r="X66" s="110">
        <v>215.89999399999999</v>
      </c>
      <c r="Y66" s="40">
        <v>10.8</v>
      </c>
      <c r="Z66" s="40">
        <v>15.9</v>
      </c>
      <c r="AA66" s="40">
        <f>SQRT(Y66*Z66)</f>
        <v>13.104197800704934</v>
      </c>
      <c r="AB66" s="34" t="s">
        <v>33</v>
      </c>
      <c r="AC66" s="38"/>
      <c r="AD66" s="6">
        <f t="shared" ref="AD66:AD98" si="30">IF(((AR66-AQ66)/2)&gt;MIN($AD$1,((AR66+AQ66)/2)*$AD$1/1000),0,1)</f>
        <v>1</v>
      </c>
      <c r="AE66" s="7">
        <f t="shared" ref="AE66:AE98" si="31">IF(J66&gt;$AE$1,1,0)</f>
        <v>1</v>
      </c>
      <c r="AF66" s="7">
        <f t="shared" ref="AF66:AF74" si="32">IF(N66&gt;($AF$1-0.001),1,0)</f>
        <v>1</v>
      </c>
      <c r="AG66" s="7">
        <f t="shared" ref="AG66:AG98" si="33">IF(O66&lt;($AG$1+0.001),1,0)</f>
        <v>1</v>
      </c>
      <c r="AH66" s="8">
        <f t="shared" si="15"/>
        <v>1</v>
      </c>
      <c r="AI66" s="8">
        <v>1</v>
      </c>
      <c r="AJ66" s="8">
        <v>1</v>
      </c>
      <c r="AK66" s="8">
        <v>0</v>
      </c>
      <c r="AL66" s="23">
        <v>0</v>
      </c>
      <c r="AM66" s="59">
        <v>1</v>
      </c>
      <c r="AN66" s="6">
        <f t="shared" ref="AN66:AN98" si="34">AD66+SUM(AH66:AM66)</f>
        <v>5</v>
      </c>
      <c r="AO66" s="8" t="s">
        <v>66</v>
      </c>
      <c r="AP66" s="14">
        <f t="shared" si="18"/>
        <v>1163</v>
      </c>
      <c r="AQ66" s="38">
        <v>1161</v>
      </c>
      <c r="AR66" s="38">
        <v>1165</v>
      </c>
      <c r="AS66" s="16" t="s">
        <v>338</v>
      </c>
      <c r="AT66" s="39" t="s">
        <v>337</v>
      </c>
      <c r="AU66" s="16" t="s">
        <v>323</v>
      </c>
      <c r="AV66" s="37">
        <v>1992</v>
      </c>
      <c r="AW66" s="16" t="s">
        <v>1</v>
      </c>
      <c r="AX66" s="37">
        <v>54</v>
      </c>
      <c r="AY66" s="16" t="s">
        <v>324</v>
      </c>
      <c r="AZ66" s="158" t="s">
        <v>325</v>
      </c>
      <c r="BA66" s="141"/>
      <c r="BB66" s="32" t="s">
        <v>629</v>
      </c>
      <c r="BC66" s="31"/>
      <c r="BD66" s="31"/>
    </row>
    <row r="67" spans="1:56" ht="42" x14ac:dyDescent="0.15">
      <c r="A67" s="28" t="s">
        <v>296</v>
      </c>
      <c r="B67" s="123" t="s">
        <v>339</v>
      </c>
      <c r="C67" s="38">
        <v>2131</v>
      </c>
      <c r="D67" s="39"/>
      <c r="E67" s="39"/>
      <c r="F67" s="38">
        <v>0</v>
      </c>
      <c r="G67" s="40">
        <v>60.900002000000001</v>
      </c>
      <c r="H67" s="40">
        <v>313.70000099999999</v>
      </c>
      <c r="I67" s="38">
        <v>13</v>
      </c>
      <c r="J67" s="38">
        <v>73</v>
      </c>
      <c r="K67" s="40">
        <v>292.20001200000002</v>
      </c>
      <c r="L67" s="40">
        <v>56.5</v>
      </c>
      <c r="M67" s="5">
        <f t="shared" si="28"/>
        <v>56.5</v>
      </c>
      <c r="N67" s="40">
        <v>30</v>
      </c>
      <c r="O67" s="40">
        <v>7.6</v>
      </c>
      <c r="P67" s="110">
        <v>42.299999000000007</v>
      </c>
      <c r="Q67" s="110">
        <v>226.10000600000001</v>
      </c>
      <c r="R67" s="40">
        <v>8</v>
      </c>
      <c r="S67" s="40">
        <v>11.1</v>
      </c>
      <c r="T67" s="40">
        <f t="shared" si="29"/>
        <v>9.4233751915117967</v>
      </c>
      <c r="U67" s="101">
        <v>1</v>
      </c>
      <c r="V67" s="40">
        <v>56.5</v>
      </c>
      <c r="W67" s="110">
        <v>42.299999000000007</v>
      </c>
      <c r="X67" s="110">
        <v>226.10000600000001</v>
      </c>
      <c r="Y67" s="40">
        <v>8</v>
      </c>
      <c r="Z67" s="40">
        <v>11.1</v>
      </c>
      <c r="AA67" s="40">
        <f>SQRT(Y67*Z67)</f>
        <v>9.4233751915117967</v>
      </c>
      <c r="AB67" s="34" t="s">
        <v>33</v>
      </c>
      <c r="AC67" s="38"/>
      <c r="AD67" s="6">
        <f t="shared" si="30"/>
        <v>1</v>
      </c>
      <c r="AE67" s="7">
        <f t="shared" si="31"/>
        <v>1</v>
      </c>
      <c r="AF67" s="7">
        <f t="shared" si="32"/>
        <v>1</v>
      </c>
      <c r="AG67" s="7">
        <f t="shared" si="33"/>
        <v>1</v>
      </c>
      <c r="AH67" s="8">
        <f t="shared" si="15"/>
        <v>1</v>
      </c>
      <c r="AI67" s="8">
        <v>1</v>
      </c>
      <c r="AJ67" s="8">
        <v>0</v>
      </c>
      <c r="AK67" s="8">
        <v>1</v>
      </c>
      <c r="AL67" s="23">
        <v>0</v>
      </c>
      <c r="AM67" s="59">
        <v>1</v>
      </c>
      <c r="AN67" s="6">
        <f t="shared" si="34"/>
        <v>5</v>
      </c>
      <c r="AO67" s="8" t="s">
        <v>70</v>
      </c>
      <c r="AP67" s="14">
        <f t="shared" si="18"/>
        <v>1163</v>
      </c>
      <c r="AQ67" s="38">
        <v>1161</v>
      </c>
      <c r="AR67" s="38">
        <v>1165</v>
      </c>
      <c r="AS67" s="16" t="s">
        <v>340</v>
      </c>
      <c r="AT67" s="39" t="s">
        <v>339</v>
      </c>
      <c r="AU67" s="16" t="s">
        <v>323</v>
      </c>
      <c r="AV67" s="37">
        <v>1977</v>
      </c>
      <c r="AW67" s="16" t="s">
        <v>332</v>
      </c>
      <c r="AX67" s="37">
        <v>26</v>
      </c>
      <c r="AY67" s="16" t="s">
        <v>333</v>
      </c>
      <c r="AZ67" s="158" t="s">
        <v>334</v>
      </c>
      <c r="BA67" s="126"/>
      <c r="BB67" s="31" t="s">
        <v>631</v>
      </c>
    </row>
    <row r="68" spans="1:56" ht="56" x14ac:dyDescent="0.15">
      <c r="A68" s="28" t="s">
        <v>296</v>
      </c>
      <c r="B68" s="123" t="s">
        <v>658</v>
      </c>
      <c r="C68" s="38">
        <v>6609</v>
      </c>
      <c r="D68" s="39"/>
      <c r="E68" s="39"/>
      <c r="F68" s="38">
        <v>0</v>
      </c>
      <c r="G68" s="101">
        <v>61.15</v>
      </c>
      <c r="H68" s="101">
        <v>314.60000000000002</v>
      </c>
      <c r="I68" s="38">
        <v>18</v>
      </c>
      <c r="J68" s="38">
        <v>102</v>
      </c>
      <c r="K68" s="40">
        <v>282.89999399999999</v>
      </c>
      <c r="L68" s="40">
        <v>50.900002000000001</v>
      </c>
      <c r="M68" s="5">
        <f t="shared" si="28"/>
        <v>50.900002000000001</v>
      </c>
      <c r="N68" s="40">
        <v>46</v>
      </c>
      <c r="O68" s="40">
        <v>5</v>
      </c>
      <c r="P68" s="110">
        <v>33.400002000000001</v>
      </c>
      <c r="Q68" s="110">
        <v>230.800003</v>
      </c>
      <c r="R68" s="40">
        <v>4.7</v>
      </c>
      <c r="S68" s="40">
        <v>6.9</v>
      </c>
      <c r="T68" s="40">
        <f t="shared" si="29"/>
        <v>5.6947344099615389</v>
      </c>
      <c r="U68" s="101">
        <v>1</v>
      </c>
      <c r="V68" s="40">
        <v>50.900002000000001</v>
      </c>
      <c r="W68" s="110">
        <v>33.400002000000001</v>
      </c>
      <c r="X68" s="110">
        <v>230.800003</v>
      </c>
      <c r="Y68" s="40">
        <v>4.7</v>
      </c>
      <c r="Z68" s="40">
        <v>6.9</v>
      </c>
      <c r="AA68" s="40">
        <f>SQRT(Y68*Z68)</f>
        <v>5.6947344099615389</v>
      </c>
      <c r="AB68" s="34" t="s">
        <v>33</v>
      </c>
      <c r="AC68" s="38"/>
      <c r="AD68" s="6">
        <f t="shared" si="30"/>
        <v>1</v>
      </c>
      <c r="AE68" s="7">
        <f t="shared" si="31"/>
        <v>1</v>
      </c>
      <c r="AF68" s="7">
        <f t="shared" si="32"/>
        <v>1</v>
      </c>
      <c r="AG68" s="7">
        <f t="shared" si="33"/>
        <v>1</v>
      </c>
      <c r="AH68" s="8">
        <f t="shared" si="15"/>
        <v>1</v>
      </c>
      <c r="AI68" s="8">
        <v>1</v>
      </c>
      <c r="AJ68" s="8">
        <v>0</v>
      </c>
      <c r="AK68" s="8">
        <v>1</v>
      </c>
      <c r="AL68" s="23">
        <v>0</v>
      </c>
      <c r="AM68" s="59">
        <v>1</v>
      </c>
      <c r="AN68" s="6">
        <f t="shared" si="34"/>
        <v>5</v>
      </c>
      <c r="AO68" s="8" t="s">
        <v>70</v>
      </c>
      <c r="AP68" s="14">
        <f t="shared" si="18"/>
        <v>1160</v>
      </c>
      <c r="AQ68" s="38">
        <v>1155</v>
      </c>
      <c r="AR68" s="38">
        <v>1165</v>
      </c>
      <c r="AS68" s="39" t="s">
        <v>342</v>
      </c>
      <c r="AT68" s="39" t="s">
        <v>341</v>
      </c>
      <c r="AU68" s="16" t="s">
        <v>323</v>
      </c>
      <c r="AV68" s="37">
        <v>1992</v>
      </c>
      <c r="AW68" s="16" t="s">
        <v>48</v>
      </c>
      <c r="AX68" s="37">
        <v>54</v>
      </c>
      <c r="AY68" s="16" t="s">
        <v>324</v>
      </c>
      <c r="AZ68" s="158" t="s">
        <v>325</v>
      </c>
      <c r="BA68" s="126"/>
      <c r="BB68" s="32" t="s">
        <v>629</v>
      </c>
    </row>
    <row r="69" spans="1:56" s="46" customFormat="1" x14ac:dyDescent="0.15">
      <c r="A69" s="47" t="s">
        <v>73</v>
      </c>
      <c r="B69" s="109" t="s">
        <v>623</v>
      </c>
      <c r="C69" s="38" t="s">
        <v>34</v>
      </c>
      <c r="D69" s="39"/>
      <c r="E69" s="39" t="s">
        <v>624</v>
      </c>
      <c r="F69" s="38">
        <v>0</v>
      </c>
      <c r="G69" s="40">
        <v>48.8</v>
      </c>
      <c r="H69" s="40">
        <v>273.3</v>
      </c>
      <c r="I69" s="38">
        <v>19</v>
      </c>
      <c r="J69" s="38">
        <v>121</v>
      </c>
      <c r="K69" s="5">
        <v>306.39999999999998</v>
      </c>
      <c r="L69" s="40">
        <v>72.099999999999994</v>
      </c>
      <c r="M69" s="40">
        <f t="shared" si="28"/>
        <v>72.099999999999994</v>
      </c>
      <c r="N69" s="114">
        <v>30.5</v>
      </c>
      <c r="O69" s="114">
        <v>8.4</v>
      </c>
      <c r="P69" s="110">
        <v>58</v>
      </c>
      <c r="Q69" s="30">
        <v>223.3</v>
      </c>
      <c r="R69" s="40">
        <v>9.1999999999999993</v>
      </c>
      <c r="S69" s="40">
        <v>9.1999999999999993</v>
      </c>
      <c r="T69" s="40">
        <f t="shared" si="29"/>
        <v>9.1999999999999993</v>
      </c>
      <c r="AB69" s="38">
        <v>74</v>
      </c>
      <c r="AC69" s="38">
        <v>4</v>
      </c>
      <c r="AD69" s="6">
        <f t="shared" si="30"/>
        <v>1</v>
      </c>
      <c r="AE69" s="7">
        <f t="shared" si="31"/>
        <v>1</v>
      </c>
      <c r="AF69" s="7">
        <f t="shared" si="32"/>
        <v>1</v>
      </c>
      <c r="AG69" s="7">
        <f t="shared" si="33"/>
        <v>1</v>
      </c>
      <c r="AH69" s="8">
        <v>1</v>
      </c>
      <c r="AI69" s="8">
        <v>1</v>
      </c>
      <c r="AJ69" s="8">
        <v>1</v>
      </c>
      <c r="AK69" s="96">
        <v>1</v>
      </c>
      <c r="AL69" s="8">
        <f>IF(OR(AB69="0or100",AB69=0,AB69=100),0,1)</f>
        <v>1</v>
      </c>
      <c r="AM69" s="2">
        <v>1</v>
      </c>
      <c r="AN69" s="6">
        <f t="shared" si="34"/>
        <v>7</v>
      </c>
      <c r="AO69" s="8" t="s">
        <v>679</v>
      </c>
      <c r="AP69" s="14">
        <v>1143</v>
      </c>
      <c r="AQ69" s="8">
        <v>1133</v>
      </c>
      <c r="AR69" s="8">
        <v>1153</v>
      </c>
      <c r="AS69" s="41" t="s">
        <v>625</v>
      </c>
      <c r="AT69" s="109" t="s">
        <v>623</v>
      </c>
      <c r="AU69" s="25" t="s">
        <v>626</v>
      </c>
      <c r="AV69" s="8">
        <v>2018</v>
      </c>
      <c r="AW69" s="25"/>
      <c r="AX69" s="8"/>
      <c r="AY69" s="42"/>
      <c r="AZ69" s="157"/>
      <c r="BA69" s="126"/>
      <c r="BB69" s="31" t="s">
        <v>627</v>
      </c>
      <c r="BC69" s="32"/>
      <c r="BD69" s="32" t="s">
        <v>628</v>
      </c>
    </row>
    <row r="70" spans="1:56" s="32" customFormat="1" ht="42" x14ac:dyDescent="0.15">
      <c r="A70" s="47" t="s">
        <v>73</v>
      </c>
      <c r="B70" s="109" t="s">
        <v>158</v>
      </c>
      <c r="C70" s="2">
        <v>7193</v>
      </c>
      <c r="D70" s="39"/>
      <c r="E70" s="39" t="s">
        <v>159</v>
      </c>
      <c r="F70" s="38">
        <v>0</v>
      </c>
      <c r="G70" s="40">
        <v>48</v>
      </c>
      <c r="H70" s="40">
        <v>279</v>
      </c>
      <c r="I70" s="38">
        <v>7</v>
      </c>
      <c r="J70" s="38">
        <v>197</v>
      </c>
      <c r="K70" s="5">
        <v>295</v>
      </c>
      <c r="L70" s="40">
        <v>65.5</v>
      </c>
      <c r="M70" s="40">
        <f t="shared" si="28"/>
        <v>65.5</v>
      </c>
      <c r="N70" s="40">
        <v>41</v>
      </c>
      <c r="O70" s="40">
        <v>9.5</v>
      </c>
      <c r="P70" s="110">
        <v>48.8</v>
      </c>
      <c r="Q70" s="30">
        <v>215.5</v>
      </c>
      <c r="R70" s="40">
        <v>14.1</v>
      </c>
      <c r="S70" s="40">
        <v>14.1</v>
      </c>
      <c r="T70" s="40">
        <f t="shared" si="29"/>
        <v>14.1</v>
      </c>
      <c r="U70" s="101">
        <v>1</v>
      </c>
      <c r="V70" s="40">
        <v>65.5</v>
      </c>
      <c r="W70" s="110">
        <v>48.8</v>
      </c>
      <c r="X70" s="30">
        <v>215.5</v>
      </c>
      <c r="Y70" s="40">
        <v>14.1</v>
      </c>
      <c r="Z70" s="40">
        <v>14.1</v>
      </c>
      <c r="AA70" s="40">
        <f t="shared" ref="AA70:AA77" si="35">SQRT(Y70*Z70)</f>
        <v>14.1</v>
      </c>
      <c r="AB70" s="38" t="s">
        <v>160</v>
      </c>
      <c r="AC70" s="38">
        <v>4</v>
      </c>
      <c r="AD70" s="6">
        <f t="shared" si="30"/>
        <v>1</v>
      </c>
      <c r="AE70" s="7">
        <f t="shared" si="31"/>
        <v>1</v>
      </c>
      <c r="AF70" s="7">
        <f t="shared" si="32"/>
        <v>1</v>
      </c>
      <c r="AG70" s="7">
        <f t="shared" si="33"/>
        <v>1</v>
      </c>
      <c r="AH70" s="8">
        <f t="shared" ref="AH70:AH98" si="36">AE70*AF70*AG70</f>
        <v>1</v>
      </c>
      <c r="AI70" s="8">
        <v>1</v>
      </c>
      <c r="AJ70" s="8">
        <v>1</v>
      </c>
      <c r="AK70" s="96">
        <v>1</v>
      </c>
      <c r="AL70" s="8">
        <f>IF(OR(AB70="0or100",AB70=0,AB70=100),0,1)</f>
        <v>1</v>
      </c>
      <c r="AM70" s="2">
        <v>1</v>
      </c>
      <c r="AN70" s="6">
        <f t="shared" si="34"/>
        <v>7</v>
      </c>
      <c r="AO70" s="8" t="s">
        <v>66</v>
      </c>
      <c r="AP70" s="14">
        <f>AVERAGE(AQ70:AR70)</f>
        <v>1141</v>
      </c>
      <c r="AQ70" s="8">
        <v>1139</v>
      </c>
      <c r="AR70" s="8">
        <v>1143</v>
      </c>
      <c r="AS70" s="41" t="s">
        <v>161</v>
      </c>
      <c r="AT70" s="25" t="s">
        <v>158</v>
      </c>
      <c r="AU70" s="25" t="s">
        <v>162</v>
      </c>
      <c r="AV70" s="8">
        <v>1993</v>
      </c>
      <c r="AW70" s="25" t="s">
        <v>93</v>
      </c>
      <c r="AX70" s="8" t="s">
        <v>163</v>
      </c>
      <c r="AY70" s="42" t="s">
        <v>164</v>
      </c>
      <c r="AZ70" s="157" t="s">
        <v>165</v>
      </c>
      <c r="BA70" s="142"/>
      <c r="BB70" s="28" t="s">
        <v>596</v>
      </c>
    </row>
    <row r="71" spans="1:56" s="32" customFormat="1" x14ac:dyDescent="0.15">
      <c r="A71" s="47" t="s">
        <v>73</v>
      </c>
      <c r="B71" s="113" t="s">
        <v>655</v>
      </c>
      <c r="C71" s="38" t="s">
        <v>65</v>
      </c>
      <c r="D71" s="39" t="s">
        <v>618</v>
      </c>
      <c r="E71" s="39" t="s">
        <v>167</v>
      </c>
      <c r="F71" s="38">
        <v>0</v>
      </c>
      <c r="G71" s="40">
        <v>49.1</v>
      </c>
      <c r="H71" s="40">
        <v>270.89999999999998</v>
      </c>
      <c r="I71" s="38">
        <v>86</v>
      </c>
      <c r="J71" s="114">
        <v>1000</v>
      </c>
      <c r="K71" s="5">
        <v>107.6</v>
      </c>
      <c r="L71" s="40">
        <v>-70.900000000000006</v>
      </c>
      <c r="M71" s="40">
        <f t="shared" si="28"/>
        <v>70.900000000000006</v>
      </c>
      <c r="N71" s="114">
        <v>1000</v>
      </c>
      <c r="O71" s="114">
        <v>0.1</v>
      </c>
      <c r="P71" s="110">
        <v>47.2</v>
      </c>
      <c r="Q71" s="30">
        <v>217.8</v>
      </c>
      <c r="R71" s="40">
        <v>4</v>
      </c>
      <c r="S71" s="40">
        <v>4</v>
      </c>
      <c r="T71" s="40">
        <f t="shared" si="29"/>
        <v>4</v>
      </c>
      <c r="U71" s="101">
        <v>1</v>
      </c>
      <c r="V71" s="40">
        <v>-70.900000000000006</v>
      </c>
      <c r="W71" s="110">
        <v>47.2</v>
      </c>
      <c r="X71" s="30">
        <v>217.8</v>
      </c>
      <c r="Y71" s="40">
        <v>4</v>
      </c>
      <c r="Z71" s="40">
        <v>4</v>
      </c>
      <c r="AA71" s="40">
        <f t="shared" si="35"/>
        <v>4</v>
      </c>
      <c r="AB71" s="38">
        <v>100</v>
      </c>
      <c r="AC71" s="38">
        <v>3</v>
      </c>
      <c r="AD71" s="6">
        <f t="shared" si="30"/>
        <v>1</v>
      </c>
      <c r="AE71" s="7">
        <f t="shared" si="31"/>
        <v>1</v>
      </c>
      <c r="AF71" s="7">
        <f t="shared" si="32"/>
        <v>1</v>
      </c>
      <c r="AG71" s="7">
        <f t="shared" si="33"/>
        <v>1</v>
      </c>
      <c r="AH71" s="8">
        <f t="shared" si="36"/>
        <v>1</v>
      </c>
      <c r="AI71" s="8">
        <v>1</v>
      </c>
      <c r="AJ71" s="8">
        <v>1</v>
      </c>
      <c r="AK71" s="96">
        <v>1</v>
      </c>
      <c r="AL71" s="8">
        <f>IF(OR(AB71="0or100",AB71=0,AB71=100),0,1)</f>
        <v>0</v>
      </c>
      <c r="AM71" s="2">
        <v>1</v>
      </c>
      <c r="AN71" s="6">
        <f t="shared" si="34"/>
        <v>6</v>
      </c>
      <c r="AO71" s="8" t="s">
        <v>66</v>
      </c>
      <c r="AP71" s="14">
        <v>1109</v>
      </c>
      <c r="AQ71" s="8">
        <v>1107</v>
      </c>
      <c r="AR71" s="8">
        <v>1111</v>
      </c>
      <c r="AS71" s="41" t="s">
        <v>168</v>
      </c>
      <c r="AT71" s="115" t="s">
        <v>166</v>
      </c>
      <c r="AU71" s="16" t="s">
        <v>49</v>
      </c>
      <c r="AV71" s="37">
        <v>2009</v>
      </c>
      <c r="AW71" s="16"/>
      <c r="AX71" s="37"/>
      <c r="AY71" s="16"/>
      <c r="AZ71" s="158"/>
      <c r="BA71" s="142"/>
      <c r="BB71" s="28" t="s">
        <v>619</v>
      </c>
    </row>
    <row r="72" spans="1:56" s="108" customFormat="1" ht="14" customHeight="1" x14ac:dyDescent="0.15">
      <c r="A72" s="47" t="s">
        <v>73</v>
      </c>
      <c r="B72" s="116" t="s">
        <v>175</v>
      </c>
      <c r="C72" s="38" t="s">
        <v>34</v>
      </c>
      <c r="D72" s="39"/>
      <c r="E72" s="39" t="s">
        <v>37</v>
      </c>
      <c r="F72" s="38">
        <v>100</v>
      </c>
      <c r="G72" s="34">
        <v>47.1</v>
      </c>
      <c r="H72" s="34">
        <v>275.3</v>
      </c>
      <c r="I72" s="34">
        <v>24</v>
      </c>
      <c r="J72" s="34">
        <v>117</v>
      </c>
      <c r="K72" s="34">
        <v>112.5</v>
      </c>
      <c r="L72" s="34">
        <v>-72.900000000000006</v>
      </c>
      <c r="M72" s="40">
        <f t="shared" si="28"/>
        <v>72.900000000000006</v>
      </c>
      <c r="N72" s="34">
        <v>29</v>
      </c>
      <c r="O72" s="114">
        <v>0.1</v>
      </c>
      <c r="P72" s="34">
        <v>49.5</v>
      </c>
      <c r="Q72" s="34">
        <v>227</v>
      </c>
      <c r="R72" s="34">
        <v>5.3</v>
      </c>
      <c r="S72" s="34">
        <v>5.3</v>
      </c>
      <c r="T72" s="34">
        <f t="shared" si="29"/>
        <v>5.3</v>
      </c>
      <c r="U72" s="165">
        <v>1</v>
      </c>
      <c r="V72" s="34">
        <v>-72.900000000000006</v>
      </c>
      <c r="W72" s="34">
        <v>49.5</v>
      </c>
      <c r="X72" s="34">
        <v>227</v>
      </c>
      <c r="Y72" s="34">
        <v>5.3</v>
      </c>
      <c r="Z72" s="34">
        <v>5.3</v>
      </c>
      <c r="AA72" s="34">
        <f t="shared" si="35"/>
        <v>5.3</v>
      </c>
      <c r="AB72" s="38">
        <v>100</v>
      </c>
      <c r="AC72" s="38">
        <v>4</v>
      </c>
      <c r="AD72" s="6">
        <f t="shared" si="30"/>
        <v>1</v>
      </c>
      <c r="AE72" s="7">
        <f t="shared" si="31"/>
        <v>1</v>
      </c>
      <c r="AF72" s="7">
        <f t="shared" si="32"/>
        <v>1</v>
      </c>
      <c r="AG72" s="7">
        <f t="shared" si="33"/>
        <v>1</v>
      </c>
      <c r="AH72" s="8">
        <f t="shared" si="36"/>
        <v>1</v>
      </c>
      <c r="AI72" s="8">
        <v>1</v>
      </c>
      <c r="AJ72" s="8">
        <v>1</v>
      </c>
      <c r="AK72" s="96">
        <v>1</v>
      </c>
      <c r="AL72" s="8">
        <v>1</v>
      </c>
      <c r="AM72" s="2">
        <v>1</v>
      </c>
      <c r="AN72" s="6">
        <f t="shared" si="34"/>
        <v>7</v>
      </c>
      <c r="AO72" s="8" t="s">
        <v>27</v>
      </c>
      <c r="AP72" s="14">
        <v>1109</v>
      </c>
      <c r="AQ72" s="8">
        <v>1106</v>
      </c>
      <c r="AR72" s="8">
        <v>1111</v>
      </c>
      <c r="AS72" s="32" t="s">
        <v>176</v>
      </c>
      <c r="AT72" s="33" t="s">
        <v>175</v>
      </c>
      <c r="AU72" s="33" t="s">
        <v>177</v>
      </c>
      <c r="AV72" s="34">
        <v>2014</v>
      </c>
      <c r="AW72" s="33" t="s">
        <v>178</v>
      </c>
      <c r="AX72" s="34">
        <v>42</v>
      </c>
      <c r="AY72" s="35" t="s">
        <v>179</v>
      </c>
      <c r="AZ72" s="157"/>
      <c r="BA72" s="142"/>
      <c r="BB72" s="28" t="s">
        <v>586</v>
      </c>
      <c r="BC72" s="32"/>
      <c r="BD72" s="32"/>
    </row>
    <row r="73" spans="1:56" s="93" customFormat="1" ht="13" customHeight="1" x14ac:dyDescent="0.15">
      <c r="A73" s="47" t="s">
        <v>73</v>
      </c>
      <c r="B73" s="116" t="s">
        <v>169</v>
      </c>
      <c r="C73" s="64">
        <v>9515</v>
      </c>
      <c r="D73" s="39"/>
      <c r="E73" s="39" t="s">
        <v>60</v>
      </c>
      <c r="F73" s="38">
        <v>100</v>
      </c>
      <c r="G73" s="34">
        <v>48.8</v>
      </c>
      <c r="H73" s="34">
        <v>272.3</v>
      </c>
      <c r="I73" s="34">
        <v>30</v>
      </c>
      <c r="J73" s="34">
        <v>179</v>
      </c>
      <c r="K73" s="34">
        <v>99.3</v>
      </c>
      <c r="L73" s="91">
        <v>-68</v>
      </c>
      <c r="M73" s="40">
        <f t="shared" si="28"/>
        <v>68</v>
      </c>
      <c r="N73" s="34">
        <v>62.2</v>
      </c>
      <c r="O73" s="34">
        <v>3.4</v>
      </c>
      <c r="P73" s="34">
        <v>40.9</v>
      </c>
      <c r="Q73" s="34">
        <v>218.6</v>
      </c>
      <c r="R73" s="34">
        <v>4.8</v>
      </c>
      <c r="S73" s="34">
        <v>4.8</v>
      </c>
      <c r="T73" s="34">
        <f t="shared" si="29"/>
        <v>4.8</v>
      </c>
      <c r="U73" s="165">
        <v>1</v>
      </c>
      <c r="V73" s="91">
        <v>-68</v>
      </c>
      <c r="W73" s="34">
        <v>40.9</v>
      </c>
      <c r="X73" s="34">
        <v>218.6</v>
      </c>
      <c r="Y73" s="34">
        <v>4.8</v>
      </c>
      <c r="Z73" s="34">
        <v>4.8</v>
      </c>
      <c r="AA73" s="34">
        <f t="shared" si="35"/>
        <v>4.8</v>
      </c>
      <c r="AB73" s="38">
        <v>100</v>
      </c>
      <c r="AC73" s="38">
        <v>4</v>
      </c>
      <c r="AD73" s="6">
        <f t="shared" si="30"/>
        <v>1</v>
      </c>
      <c r="AE73" s="7">
        <f t="shared" si="31"/>
        <v>1</v>
      </c>
      <c r="AF73" s="7">
        <f t="shared" si="32"/>
        <v>1</v>
      </c>
      <c r="AG73" s="7">
        <f t="shared" si="33"/>
        <v>1</v>
      </c>
      <c r="AH73" s="8">
        <f t="shared" si="36"/>
        <v>1</v>
      </c>
      <c r="AI73" s="8">
        <v>1</v>
      </c>
      <c r="AJ73" s="8">
        <v>0</v>
      </c>
      <c r="AK73" s="96">
        <v>1</v>
      </c>
      <c r="AL73" s="8">
        <v>1</v>
      </c>
      <c r="AM73" s="2">
        <v>1</v>
      </c>
      <c r="AN73" s="6">
        <f t="shared" si="34"/>
        <v>6</v>
      </c>
      <c r="AO73" s="8" t="s">
        <v>27</v>
      </c>
      <c r="AP73" s="14">
        <f>AVERAGE(AQ73:AR73)</f>
        <v>1108</v>
      </c>
      <c r="AQ73" s="135">
        <v>1105</v>
      </c>
      <c r="AR73" s="8">
        <v>1111</v>
      </c>
      <c r="AS73" s="32" t="s">
        <v>170</v>
      </c>
      <c r="AT73" s="33" t="s">
        <v>171</v>
      </c>
      <c r="AU73" s="33" t="s">
        <v>172</v>
      </c>
      <c r="AV73" s="34">
        <v>2014</v>
      </c>
      <c r="AW73" s="33" t="s">
        <v>173</v>
      </c>
      <c r="AX73" s="34">
        <v>15</v>
      </c>
      <c r="AY73" s="35" t="s">
        <v>174</v>
      </c>
      <c r="AZ73" s="157"/>
      <c r="BA73" s="142"/>
      <c r="BB73" s="28" t="s">
        <v>587</v>
      </c>
      <c r="BC73" s="32"/>
      <c r="BD73" s="32"/>
    </row>
    <row r="74" spans="1:56" s="108" customFormat="1" x14ac:dyDescent="0.15">
      <c r="A74" s="47" t="s">
        <v>73</v>
      </c>
      <c r="B74" s="116" t="s">
        <v>180</v>
      </c>
      <c r="C74" s="38" t="s">
        <v>34</v>
      </c>
      <c r="D74" s="39"/>
      <c r="E74" s="39" t="s">
        <v>60</v>
      </c>
      <c r="F74" s="38">
        <v>100</v>
      </c>
      <c r="G74" s="34">
        <v>48.8</v>
      </c>
      <c r="H74" s="34">
        <v>272.39999999999998</v>
      </c>
      <c r="I74" s="34">
        <v>20</v>
      </c>
      <c r="J74" s="34">
        <v>139</v>
      </c>
      <c r="K74" s="34">
        <v>105.9</v>
      </c>
      <c r="L74" s="91">
        <v>-64.900000000000006</v>
      </c>
      <c r="M74" s="40">
        <f t="shared" si="28"/>
        <v>64.900000000000006</v>
      </c>
      <c r="N74" s="34">
        <v>36.5</v>
      </c>
      <c r="O74" s="34">
        <v>5.5</v>
      </c>
      <c r="P74" s="34">
        <v>42.7</v>
      </c>
      <c r="Q74" s="34">
        <v>211.3</v>
      </c>
      <c r="R74" s="34">
        <v>8.1999999999999993</v>
      </c>
      <c r="S74" s="34">
        <v>8.1999999999999993</v>
      </c>
      <c r="T74" s="34">
        <f t="shared" si="29"/>
        <v>8.1999999999999993</v>
      </c>
      <c r="U74" s="165">
        <v>1</v>
      </c>
      <c r="V74" s="91">
        <v>-64.900000000000006</v>
      </c>
      <c r="W74" s="34">
        <v>42.7</v>
      </c>
      <c r="X74" s="34">
        <v>211.3</v>
      </c>
      <c r="Y74" s="34">
        <v>8.1999999999999993</v>
      </c>
      <c r="Z74" s="34">
        <v>8.1999999999999993</v>
      </c>
      <c r="AA74" s="34">
        <f t="shared" si="35"/>
        <v>8.1999999999999993</v>
      </c>
      <c r="AB74" s="38">
        <v>100</v>
      </c>
      <c r="AC74" s="38">
        <v>4</v>
      </c>
      <c r="AD74" s="6">
        <f t="shared" si="30"/>
        <v>1</v>
      </c>
      <c r="AE74" s="7">
        <f t="shared" si="31"/>
        <v>1</v>
      </c>
      <c r="AF74" s="7">
        <f t="shared" si="32"/>
        <v>1</v>
      </c>
      <c r="AG74" s="7">
        <f t="shared" si="33"/>
        <v>1</v>
      </c>
      <c r="AH74" s="8">
        <f t="shared" si="36"/>
        <v>1</v>
      </c>
      <c r="AI74" s="8">
        <v>1</v>
      </c>
      <c r="AJ74" s="8">
        <v>0</v>
      </c>
      <c r="AK74" s="96">
        <v>1</v>
      </c>
      <c r="AL74" s="8">
        <v>1</v>
      </c>
      <c r="AM74" s="2">
        <v>1</v>
      </c>
      <c r="AN74" s="6">
        <f t="shared" si="34"/>
        <v>6</v>
      </c>
      <c r="AO74" s="8" t="s">
        <v>27</v>
      </c>
      <c r="AP74" s="14">
        <f>AVERAGE(AQ74:AR74)</f>
        <v>1106.5</v>
      </c>
      <c r="AQ74" s="8">
        <v>1103</v>
      </c>
      <c r="AR74" s="8">
        <v>1110</v>
      </c>
      <c r="AS74" s="32" t="s">
        <v>181</v>
      </c>
      <c r="AT74" s="33" t="s">
        <v>182</v>
      </c>
      <c r="AU74" s="33" t="s">
        <v>172</v>
      </c>
      <c r="AV74" s="34">
        <v>2014</v>
      </c>
      <c r="AW74" s="33" t="s">
        <v>173</v>
      </c>
      <c r="AX74" s="34">
        <v>15</v>
      </c>
      <c r="AY74" s="35" t="s">
        <v>174</v>
      </c>
      <c r="AZ74" s="157"/>
      <c r="BA74" s="126"/>
      <c r="BB74" s="28" t="s">
        <v>587</v>
      </c>
      <c r="BC74" s="32"/>
      <c r="BD74" s="32"/>
    </row>
    <row r="75" spans="1:56" ht="14" customHeight="1" x14ac:dyDescent="0.15">
      <c r="A75" s="47" t="s">
        <v>73</v>
      </c>
      <c r="B75" s="116" t="s">
        <v>183</v>
      </c>
      <c r="C75" s="64">
        <v>9514</v>
      </c>
      <c r="D75" s="39" t="s">
        <v>184</v>
      </c>
      <c r="E75" s="39" t="s">
        <v>185</v>
      </c>
      <c r="F75" s="38">
        <v>100</v>
      </c>
      <c r="G75" s="34">
        <v>48.7</v>
      </c>
      <c r="H75" s="34">
        <v>272.39999999999998</v>
      </c>
      <c r="I75" s="34">
        <v>59</v>
      </c>
      <c r="J75" s="34">
        <v>346</v>
      </c>
      <c r="K75" s="34">
        <v>110.7</v>
      </c>
      <c r="L75" s="40">
        <v>-60.9</v>
      </c>
      <c r="M75" s="40">
        <f t="shared" si="28"/>
        <v>60.9</v>
      </c>
      <c r="N75" s="114">
        <v>1000</v>
      </c>
      <c r="O75" s="114">
        <v>0.1</v>
      </c>
      <c r="P75" s="4">
        <v>42.3</v>
      </c>
      <c r="Q75" s="4">
        <v>203.4</v>
      </c>
      <c r="R75" s="34">
        <v>3.7</v>
      </c>
      <c r="S75" s="34">
        <v>3.7</v>
      </c>
      <c r="T75" s="34">
        <f t="shared" si="29"/>
        <v>3.7</v>
      </c>
      <c r="U75" s="165">
        <v>1</v>
      </c>
      <c r="V75" s="40">
        <v>-60.9</v>
      </c>
      <c r="W75" s="4">
        <v>42.3</v>
      </c>
      <c r="X75" s="4">
        <v>203.4</v>
      </c>
      <c r="Y75" s="34">
        <v>3.7</v>
      </c>
      <c r="Z75" s="34">
        <v>3.7</v>
      </c>
      <c r="AA75" s="34">
        <f t="shared" si="35"/>
        <v>3.7</v>
      </c>
      <c r="AB75" s="38">
        <v>100</v>
      </c>
      <c r="AC75" s="38">
        <v>4</v>
      </c>
      <c r="AD75" s="6">
        <f t="shared" si="30"/>
        <v>1</v>
      </c>
      <c r="AE75" s="7">
        <f t="shared" si="31"/>
        <v>1</v>
      </c>
      <c r="AF75" s="7">
        <v>1</v>
      </c>
      <c r="AG75" s="7">
        <f t="shared" si="33"/>
        <v>1</v>
      </c>
      <c r="AH75" s="8">
        <f t="shared" si="36"/>
        <v>1</v>
      </c>
      <c r="AI75" s="8">
        <v>1</v>
      </c>
      <c r="AJ75" s="8">
        <v>1</v>
      </c>
      <c r="AK75" s="96">
        <v>1</v>
      </c>
      <c r="AL75" s="8">
        <v>1</v>
      </c>
      <c r="AM75" s="2">
        <v>1</v>
      </c>
      <c r="AN75" s="6">
        <f t="shared" si="34"/>
        <v>7</v>
      </c>
      <c r="AO75" s="8" t="s">
        <v>27</v>
      </c>
      <c r="AP75" s="14">
        <f>AVERAGE(AQ75:AR75)</f>
        <v>1105</v>
      </c>
      <c r="AQ75" s="8">
        <v>1104</v>
      </c>
      <c r="AR75" s="8">
        <v>1106</v>
      </c>
      <c r="AS75" s="32" t="s">
        <v>588</v>
      </c>
      <c r="AT75" s="33" t="s">
        <v>186</v>
      </c>
      <c r="AU75" s="3" t="s">
        <v>590</v>
      </c>
      <c r="AV75" s="4">
        <v>2019</v>
      </c>
      <c r="AW75" s="3" t="s">
        <v>589</v>
      </c>
      <c r="AX75" s="34"/>
      <c r="AY75" s="35"/>
      <c r="BA75" s="142"/>
      <c r="BB75" s="28" t="s">
        <v>622</v>
      </c>
      <c r="BD75" s="31" t="s">
        <v>608</v>
      </c>
    </row>
    <row r="76" spans="1:56" ht="14" customHeight="1" x14ac:dyDescent="0.15">
      <c r="A76" s="47" t="s">
        <v>73</v>
      </c>
      <c r="B76" s="116" t="s">
        <v>187</v>
      </c>
      <c r="C76" s="38" t="s">
        <v>34</v>
      </c>
      <c r="D76" s="39"/>
      <c r="E76" s="39" t="s">
        <v>188</v>
      </c>
      <c r="F76" s="38">
        <v>100</v>
      </c>
      <c r="G76" s="34">
        <v>47.1</v>
      </c>
      <c r="H76" s="34">
        <v>275.3</v>
      </c>
      <c r="I76" s="34">
        <v>14</v>
      </c>
      <c r="J76" s="34">
        <v>57</v>
      </c>
      <c r="K76" s="34">
        <v>106.2</v>
      </c>
      <c r="L76" s="34">
        <v>-58.3</v>
      </c>
      <c r="M76" s="40">
        <f t="shared" si="28"/>
        <v>58.3</v>
      </c>
      <c r="N76" s="34">
        <v>69</v>
      </c>
      <c r="O76" s="114">
        <v>0.1</v>
      </c>
      <c r="P76" s="34">
        <v>37.5</v>
      </c>
      <c r="Q76" s="34">
        <v>205.2</v>
      </c>
      <c r="R76" s="34">
        <v>4.5</v>
      </c>
      <c r="S76" s="34">
        <v>4.5</v>
      </c>
      <c r="T76" s="34">
        <f t="shared" si="29"/>
        <v>4.5</v>
      </c>
      <c r="U76" s="165">
        <v>1</v>
      </c>
      <c r="V76" s="34">
        <v>-58.3</v>
      </c>
      <c r="W76" s="34">
        <v>37.5</v>
      </c>
      <c r="X76" s="34">
        <v>205.2</v>
      </c>
      <c r="Y76" s="34">
        <v>4.5</v>
      </c>
      <c r="Z76" s="34">
        <v>4.5</v>
      </c>
      <c r="AA76" s="34">
        <f t="shared" si="35"/>
        <v>4.5</v>
      </c>
      <c r="AB76" s="34">
        <v>100</v>
      </c>
      <c r="AC76" s="38">
        <v>4</v>
      </c>
      <c r="AD76" s="6">
        <f t="shared" si="30"/>
        <v>1</v>
      </c>
      <c r="AE76" s="7">
        <f t="shared" si="31"/>
        <v>1</v>
      </c>
      <c r="AF76" s="7">
        <f t="shared" ref="AF76:AF98" si="37">IF(N76&gt;($AF$1-0.001),1,0)</f>
        <v>1</v>
      </c>
      <c r="AG76" s="7">
        <f t="shared" si="33"/>
        <v>1</v>
      </c>
      <c r="AH76" s="8">
        <f t="shared" si="36"/>
        <v>1</v>
      </c>
      <c r="AI76" s="8">
        <v>1</v>
      </c>
      <c r="AJ76" s="8">
        <v>1</v>
      </c>
      <c r="AK76" s="96">
        <v>1</v>
      </c>
      <c r="AL76" s="8">
        <v>1</v>
      </c>
      <c r="AM76" s="2">
        <v>1</v>
      </c>
      <c r="AN76" s="6">
        <f t="shared" si="34"/>
        <v>7</v>
      </c>
      <c r="AO76" s="8" t="s">
        <v>27</v>
      </c>
      <c r="AP76" s="14">
        <v>1105</v>
      </c>
      <c r="AQ76" s="8">
        <v>1101</v>
      </c>
      <c r="AR76" s="8">
        <v>1108</v>
      </c>
      <c r="AS76" s="32" t="s">
        <v>189</v>
      </c>
      <c r="AT76" s="33" t="s">
        <v>187</v>
      </c>
      <c r="AU76" s="33" t="s">
        <v>177</v>
      </c>
      <c r="AV76" s="34">
        <v>2014</v>
      </c>
      <c r="AW76" s="33" t="s">
        <v>178</v>
      </c>
      <c r="AX76" s="34">
        <v>42</v>
      </c>
      <c r="AY76" s="35" t="s">
        <v>179</v>
      </c>
      <c r="BA76" s="142"/>
      <c r="BB76" s="28" t="s">
        <v>586</v>
      </c>
      <c r="BC76" s="46"/>
      <c r="BD76" s="46"/>
    </row>
    <row r="77" spans="1:56" ht="14" customHeight="1" x14ac:dyDescent="0.15">
      <c r="A77" s="47" t="s">
        <v>73</v>
      </c>
      <c r="B77" s="116" t="s">
        <v>190</v>
      </c>
      <c r="C77" s="38" t="s">
        <v>34</v>
      </c>
      <c r="D77" s="39"/>
      <c r="E77" s="39" t="s">
        <v>191</v>
      </c>
      <c r="F77" s="38">
        <v>100</v>
      </c>
      <c r="G77" s="34">
        <v>47.1</v>
      </c>
      <c r="H77" s="34">
        <v>275.3</v>
      </c>
      <c r="I77" s="34">
        <v>24</v>
      </c>
      <c r="J77" s="34">
        <v>96</v>
      </c>
      <c r="K77" s="34">
        <v>293.8</v>
      </c>
      <c r="L77" s="34">
        <v>47.1</v>
      </c>
      <c r="M77" s="40">
        <f t="shared" si="28"/>
        <v>47.1</v>
      </c>
      <c r="N77" s="34">
        <v>34</v>
      </c>
      <c r="O77" s="114">
        <v>0.1</v>
      </c>
      <c r="P77" s="34">
        <v>36.1</v>
      </c>
      <c r="Q77" s="34">
        <v>189.7</v>
      </c>
      <c r="R77" s="34">
        <v>4.9000000000000004</v>
      </c>
      <c r="S77" s="34">
        <v>4.9000000000000004</v>
      </c>
      <c r="T77" s="34">
        <f t="shared" si="29"/>
        <v>4.9000000000000004</v>
      </c>
      <c r="U77" s="165">
        <v>1</v>
      </c>
      <c r="V77" s="34">
        <v>47.1</v>
      </c>
      <c r="W77" s="34">
        <v>36.1</v>
      </c>
      <c r="X77" s="34">
        <v>189.7</v>
      </c>
      <c r="Y77" s="34">
        <v>4.9000000000000004</v>
      </c>
      <c r="Z77" s="34">
        <v>4.9000000000000004</v>
      </c>
      <c r="AA77" s="34">
        <f t="shared" si="35"/>
        <v>4.9000000000000004</v>
      </c>
      <c r="AB77" s="38">
        <v>42</v>
      </c>
      <c r="AC77" s="38">
        <v>4</v>
      </c>
      <c r="AD77" s="6">
        <f t="shared" si="30"/>
        <v>1</v>
      </c>
      <c r="AE77" s="7">
        <f t="shared" si="31"/>
        <v>1</v>
      </c>
      <c r="AF77" s="7">
        <f t="shared" si="37"/>
        <v>1</v>
      </c>
      <c r="AG77" s="7">
        <f t="shared" si="33"/>
        <v>1</v>
      </c>
      <c r="AH77" s="8">
        <f t="shared" si="36"/>
        <v>1</v>
      </c>
      <c r="AI77" s="8">
        <v>1</v>
      </c>
      <c r="AJ77" s="8">
        <v>1</v>
      </c>
      <c r="AK77" s="96">
        <v>1</v>
      </c>
      <c r="AL77" s="8">
        <f>IF(OR(AB77="0or100",AB77=0,AB77=100),0,1)</f>
        <v>1</v>
      </c>
      <c r="AM77" s="2">
        <v>1</v>
      </c>
      <c r="AN77" s="6">
        <f t="shared" si="34"/>
        <v>7</v>
      </c>
      <c r="AO77" s="8" t="s">
        <v>27</v>
      </c>
      <c r="AP77" s="14">
        <f>AVERAGE(AQ77:AR77)</f>
        <v>1101</v>
      </c>
      <c r="AQ77" s="8">
        <v>1100</v>
      </c>
      <c r="AR77" s="2">
        <v>1102</v>
      </c>
      <c r="AS77" s="32" t="s">
        <v>192</v>
      </c>
      <c r="AT77" s="33" t="s">
        <v>190</v>
      </c>
      <c r="AU77" s="33" t="s">
        <v>177</v>
      </c>
      <c r="AV77" s="34">
        <v>2014</v>
      </c>
      <c r="AW77" s="33" t="s">
        <v>178</v>
      </c>
      <c r="AX77" s="34">
        <v>42</v>
      </c>
      <c r="AY77" s="35" t="s">
        <v>179</v>
      </c>
      <c r="BA77" s="126"/>
      <c r="BB77" s="28" t="s">
        <v>586</v>
      </c>
      <c r="BC77" s="32"/>
      <c r="BD77" s="32"/>
    </row>
    <row r="78" spans="1:56" ht="14" customHeight="1" x14ac:dyDescent="0.15">
      <c r="A78" s="47" t="s">
        <v>73</v>
      </c>
      <c r="B78" s="116" t="s">
        <v>195</v>
      </c>
      <c r="C78" s="38" t="s">
        <v>34</v>
      </c>
      <c r="D78" s="39" t="s">
        <v>196</v>
      </c>
      <c r="E78" s="39" t="s">
        <v>60</v>
      </c>
      <c r="F78" s="38">
        <v>100</v>
      </c>
      <c r="G78" s="34">
        <v>46.3</v>
      </c>
      <c r="H78" s="34">
        <v>268.7</v>
      </c>
      <c r="I78" s="34">
        <v>61</v>
      </c>
      <c r="J78" s="34">
        <v>279</v>
      </c>
      <c r="K78" s="34">
        <v>293.89999999999998</v>
      </c>
      <c r="L78" s="34">
        <v>44</v>
      </c>
      <c r="M78" s="40">
        <f t="shared" si="28"/>
        <v>44</v>
      </c>
      <c r="N78" s="34">
        <v>41.9</v>
      </c>
      <c r="O78" s="114">
        <v>0.1</v>
      </c>
      <c r="P78" s="4">
        <v>31.1</v>
      </c>
      <c r="Q78" s="4">
        <v>181.7</v>
      </c>
      <c r="R78" s="4">
        <v>2.1</v>
      </c>
      <c r="S78" s="4">
        <v>2.1</v>
      </c>
      <c r="T78" s="4">
        <v>2.1</v>
      </c>
      <c r="U78" s="165">
        <v>1</v>
      </c>
      <c r="V78" s="34">
        <v>44</v>
      </c>
      <c r="W78" s="4">
        <v>31.1</v>
      </c>
      <c r="X78" s="4">
        <v>181.7</v>
      </c>
      <c r="Y78" s="4">
        <v>2.1</v>
      </c>
      <c r="Z78" s="4">
        <v>2.1</v>
      </c>
      <c r="AA78" s="4">
        <v>2.1</v>
      </c>
      <c r="AB78" s="34">
        <v>0</v>
      </c>
      <c r="AC78" s="38">
        <v>4</v>
      </c>
      <c r="AD78" s="6">
        <f t="shared" si="30"/>
        <v>1</v>
      </c>
      <c r="AE78" s="7">
        <f t="shared" si="31"/>
        <v>1</v>
      </c>
      <c r="AF78" s="7">
        <f t="shared" si="37"/>
        <v>1</v>
      </c>
      <c r="AG78" s="7">
        <f t="shared" si="33"/>
        <v>1</v>
      </c>
      <c r="AH78" s="8">
        <f t="shared" si="36"/>
        <v>1</v>
      </c>
      <c r="AI78" s="8">
        <v>1</v>
      </c>
      <c r="AJ78" s="8">
        <v>0</v>
      </c>
      <c r="AK78" s="96">
        <v>1</v>
      </c>
      <c r="AL78" s="8">
        <v>1</v>
      </c>
      <c r="AM78" s="2">
        <v>1</v>
      </c>
      <c r="AN78" s="6">
        <f t="shared" si="34"/>
        <v>6</v>
      </c>
      <c r="AO78" s="8" t="s">
        <v>27</v>
      </c>
      <c r="AP78" s="14">
        <f>AVERAGE(AQ78:AR78)</f>
        <v>1097</v>
      </c>
      <c r="AQ78" s="8">
        <v>1094</v>
      </c>
      <c r="AR78" s="8">
        <v>1100</v>
      </c>
      <c r="AS78" s="33" t="s">
        <v>197</v>
      </c>
      <c r="AT78" s="33" t="s">
        <v>195</v>
      </c>
      <c r="AU78" s="33" t="s">
        <v>198</v>
      </c>
      <c r="AV78" s="37">
        <v>2009</v>
      </c>
      <c r="AW78" s="33" t="s">
        <v>44</v>
      </c>
      <c r="AX78" s="34">
        <v>177</v>
      </c>
      <c r="AY78" s="35" t="s">
        <v>199</v>
      </c>
      <c r="BA78" s="126"/>
      <c r="BB78" s="31" t="s">
        <v>595</v>
      </c>
      <c r="BD78" s="31" t="s">
        <v>608</v>
      </c>
    </row>
    <row r="79" spans="1:56" ht="14" customHeight="1" x14ac:dyDescent="0.15">
      <c r="A79" s="47" t="s">
        <v>73</v>
      </c>
      <c r="B79" s="117" t="s">
        <v>200</v>
      </c>
      <c r="C79" s="38">
        <v>8163</v>
      </c>
      <c r="D79" s="39"/>
      <c r="E79" s="39" t="s">
        <v>60</v>
      </c>
      <c r="F79" s="38">
        <v>100</v>
      </c>
      <c r="G79" s="40">
        <v>45.400002000000001</v>
      </c>
      <c r="H79" s="40">
        <v>267.300003</v>
      </c>
      <c r="I79" s="118">
        <v>8</v>
      </c>
      <c r="J79" s="38">
        <v>60</v>
      </c>
      <c r="K79" s="5">
        <v>287.5</v>
      </c>
      <c r="L79" s="114">
        <v>45.8</v>
      </c>
      <c r="M79" s="40">
        <f t="shared" si="28"/>
        <v>45.8</v>
      </c>
      <c r="N79" s="40">
        <v>48.5</v>
      </c>
      <c r="O79" s="40">
        <v>8</v>
      </c>
      <c r="P79" s="45">
        <v>30.9</v>
      </c>
      <c r="Q79" s="30">
        <v>186.1</v>
      </c>
      <c r="R79" s="114">
        <v>6.5</v>
      </c>
      <c r="S79" s="114">
        <v>10.3</v>
      </c>
      <c r="T79" s="114">
        <f>SQRT(R79*S79)</f>
        <v>8.1822979657306547</v>
      </c>
      <c r="U79" s="165">
        <v>1</v>
      </c>
      <c r="V79" s="114">
        <v>45.8</v>
      </c>
      <c r="W79" s="45">
        <v>30.9</v>
      </c>
      <c r="X79" s="30">
        <v>186.1</v>
      </c>
      <c r="Y79" s="114">
        <v>6.5</v>
      </c>
      <c r="Z79" s="114">
        <v>10.3</v>
      </c>
      <c r="AA79" s="114">
        <f>SQRT(Y79*Z79)</f>
        <v>8.1822979657306547</v>
      </c>
      <c r="AB79" s="38">
        <v>25</v>
      </c>
      <c r="AC79" s="38">
        <v>4</v>
      </c>
      <c r="AD79" s="6">
        <f t="shared" si="30"/>
        <v>1</v>
      </c>
      <c r="AE79" s="7">
        <f t="shared" si="31"/>
        <v>1</v>
      </c>
      <c r="AF79" s="7">
        <f t="shared" si="37"/>
        <v>1</v>
      </c>
      <c r="AG79" s="7">
        <f t="shared" si="33"/>
        <v>1</v>
      </c>
      <c r="AH79" s="8">
        <f t="shared" si="36"/>
        <v>1</v>
      </c>
      <c r="AI79" s="8">
        <v>1</v>
      </c>
      <c r="AJ79" s="8">
        <v>0</v>
      </c>
      <c r="AK79" s="96">
        <v>1</v>
      </c>
      <c r="AL79" s="8">
        <f>IF(OR(AB79="0or100",AB79=0,AB79=100),0,1)</f>
        <v>1</v>
      </c>
      <c r="AM79" s="2">
        <v>1</v>
      </c>
      <c r="AN79" s="6">
        <f t="shared" si="34"/>
        <v>6</v>
      </c>
      <c r="AO79" s="8" t="s">
        <v>8</v>
      </c>
      <c r="AP79" s="14">
        <f>AVERAGE(AQ79:AR79)</f>
        <v>1095</v>
      </c>
      <c r="AQ79" s="8">
        <v>1093</v>
      </c>
      <c r="AR79" s="8">
        <v>1097</v>
      </c>
      <c r="AS79" s="41" t="s">
        <v>201</v>
      </c>
      <c r="AT79" s="25" t="s">
        <v>200</v>
      </c>
      <c r="AU79" s="25" t="s">
        <v>202</v>
      </c>
      <c r="AV79" s="8">
        <v>1997</v>
      </c>
      <c r="AW79" s="25" t="s">
        <v>203</v>
      </c>
      <c r="AX79" s="8" t="s">
        <v>204</v>
      </c>
      <c r="AY79" s="42" t="s">
        <v>205</v>
      </c>
      <c r="AZ79" s="157" t="s">
        <v>206</v>
      </c>
      <c r="BA79" s="142"/>
      <c r="BB79" s="28" t="s">
        <v>663</v>
      </c>
      <c r="BC79" s="32"/>
      <c r="BD79" s="32"/>
    </row>
    <row r="80" spans="1:56" ht="14" customHeight="1" x14ac:dyDescent="0.15">
      <c r="A80" s="47" t="s">
        <v>73</v>
      </c>
      <c r="B80" s="117" t="s">
        <v>207</v>
      </c>
      <c r="C80" s="38" t="s">
        <v>65</v>
      </c>
      <c r="D80" s="39" t="s">
        <v>208</v>
      </c>
      <c r="E80" s="39" t="s">
        <v>209</v>
      </c>
      <c r="F80" s="38">
        <v>100</v>
      </c>
      <c r="G80" s="40">
        <v>47</v>
      </c>
      <c r="H80" s="40">
        <v>271.2</v>
      </c>
      <c r="I80" s="38">
        <v>28</v>
      </c>
      <c r="J80" s="114">
        <v>1000</v>
      </c>
      <c r="K80" s="5">
        <v>291.2</v>
      </c>
      <c r="L80" s="40">
        <v>31.3</v>
      </c>
      <c r="M80" s="40">
        <f t="shared" si="28"/>
        <v>31.3</v>
      </c>
      <c r="N80" s="40">
        <v>24.5</v>
      </c>
      <c r="O80" s="40">
        <v>5.6</v>
      </c>
      <c r="P80" s="102">
        <v>27.5</v>
      </c>
      <c r="Q80" s="103">
        <v>182.5</v>
      </c>
      <c r="R80" s="101">
        <v>2.2999999999999998</v>
      </c>
      <c r="S80" s="101">
        <v>2.2999999999999998</v>
      </c>
      <c r="T80" s="101">
        <v>2.2999999999999998</v>
      </c>
      <c r="U80" s="167">
        <v>1</v>
      </c>
      <c r="V80" s="40">
        <v>31.3</v>
      </c>
      <c r="W80" s="102">
        <v>27.5</v>
      </c>
      <c r="X80" s="103">
        <v>182.5</v>
      </c>
      <c r="Y80" s="101">
        <v>2.2999999999999998</v>
      </c>
      <c r="Z80" s="101">
        <v>2.2999999999999998</v>
      </c>
      <c r="AA80" s="101">
        <v>2.2999999999999998</v>
      </c>
      <c r="AB80" s="38">
        <v>0</v>
      </c>
      <c r="AC80" s="38">
        <v>4</v>
      </c>
      <c r="AD80" s="6">
        <f t="shared" si="30"/>
        <v>1</v>
      </c>
      <c r="AE80" s="7">
        <f t="shared" si="31"/>
        <v>1</v>
      </c>
      <c r="AF80" s="7">
        <f t="shared" si="37"/>
        <v>1</v>
      </c>
      <c r="AG80" s="7">
        <f t="shared" si="33"/>
        <v>1</v>
      </c>
      <c r="AH80" s="8">
        <f t="shared" si="36"/>
        <v>1</v>
      </c>
      <c r="AI80" s="8">
        <v>1</v>
      </c>
      <c r="AJ80" s="8">
        <v>1</v>
      </c>
      <c r="AK80" s="8">
        <v>1</v>
      </c>
      <c r="AL80" s="8">
        <f>IF(OR(AB80="0or100",AB80=0,AB80=100),0,1)</f>
        <v>0</v>
      </c>
      <c r="AM80" s="2">
        <v>1</v>
      </c>
      <c r="AN80" s="6">
        <f t="shared" si="34"/>
        <v>6</v>
      </c>
      <c r="AO80" s="8" t="s">
        <v>66</v>
      </c>
      <c r="AP80" s="14">
        <f>AVERAGE(AQ80:AR80)</f>
        <v>1095</v>
      </c>
      <c r="AQ80" s="8">
        <v>1092</v>
      </c>
      <c r="AR80" s="8">
        <v>1098</v>
      </c>
      <c r="AS80" s="41" t="s">
        <v>210</v>
      </c>
      <c r="AT80" s="25" t="s">
        <v>207</v>
      </c>
      <c r="AU80" s="25" t="s">
        <v>211</v>
      </c>
      <c r="AV80" s="8">
        <v>2006</v>
      </c>
      <c r="AW80" s="25" t="s">
        <v>35</v>
      </c>
      <c r="AX80" s="8">
        <v>425</v>
      </c>
      <c r="BA80" s="142"/>
      <c r="BB80" s="28" t="s">
        <v>594</v>
      </c>
      <c r="BC80" s="32"/>
      <c r="BD80" s="32" t="s">
        <v>611</v>
      </c>
    </row>
    <row r="81" spans="1:56" ht="14" customHeight="1" x14ac:dyDescent="0.15">
      <c r="A81" s="47" t="s">
        <v>73</v>
      </c>
      <c r="B81" s="116" t="s">
        <v>193</v>
      </c>
      <c r="C81" s="38" t="s">
        <v>34</v>
      </c>
      <c r="D81" s="39"/>
      <c r="E81" s="39" t="s">
        <v>188</v>
      </c>
      <c r="F81" s="38">
        <v>100</v>
      </c>
      <c r="G81" s="34">
        <v>47.1</v>
      </c>
      <c r="H81" s="34">
        <v>275.3</v>
      </c>
      <c r="I81" s="34">
        <v>34</v>
      </c>
      <c r="J81" s="34">
        <v>198</v>
      </c>
      <c r="K81" s="34">
        <v>293.7</v>
      </c>
      <c r="L81" s="34">
        <v>37.5</v>
      </c>
      <c r="M81" s="40">
        <f t="shared" si="28"/>
        <v>37.5</v>
      </c>
      <c r="N81" s="34">
        <v>92</v>
      </c>
      <c r="O81" s="114">
        <v>0.1</v>
      </c>
      <c r="P81" s="34">
        <v>31.2</v>
      </c>
      <c r="Q81" s="34">
        <v>183.2</v>
      </c>
      <c r="R81" s="34">
        <v>2.5</v>
      </c>
      <c r="S81" s="34">
        <v>2.5</v>
      </c>
      <c r="T81" s="34">
        <f>SQRT(R81*S81)</f>
        <v>2.5</v>
      </c>
      <c r="U81" s="101">
        <v>1</v>
      </c>
      <c r="V81" s="34">
        <v>37.5</v>
      </c>
      <c r="W81" s="34">
        <v>31.2</v>
      </c>
      <c r="X81" s="34">
        <v>183.2</v>
      </c>
      <c r="Y81" s="34">
        <v>2.5</v>
      </c>
      <c r="Z81" s="34">
        <v>2.5</v>
      </c>
      <c r="AA81" s="34">
        <f>SQRT(Y81*Z81)</f>
        <v>2.5</v>
      </c>
      <c r="AB81" s="34">
        <v>0</v>
      </c>
      <c r="AC81" s="38">
        <v>4</v>
      </c>
      <c r="AD81" s="6">
        <f t="shared" si="30"/>
        <v>1</v>
      </c>
      <c r="AE81" s="7">
        <f t="shared" si="31"/>
        <v>1</v>
      </c>
      <c r="AF81" s="7">
        <f t="shared" si="37"/>
        <v>1</v>
      </c>
      <c r="AG81" s="7">
        <f t="shared" si="33"/>
        <v>1</v>
      </c>
      <c r="AH81" s="8">
        <f t="shared" si="36"/>
        <v>1</v>
      </c>
      <c r="AI81" s="8">
        <v>1</v>
      </c>
      <c r="AJ81" s="8">
        <v>1</v>
      </c>
      <c r="AK81" s="96">
        <v>1</v>
      </c>
      <c r="AL81" s="8">
        <v>1</v>
      </c>
      <c r="AM81" s="2">
        <v>1</v>
      </c>
      <c r="AN81" s="6">
        <f t="shared" si="34"/>
        <v>7</v>
      </c>
      <c r="AO81" s="8" t="s">
        <v>27</v>
      </c>
      <c r="AP81" s="84">
        <v>1094</v>
      </c>
      <c r="AQ81" s="2">
        <v>1090</v>
      </c>
      <c r="AR81" s="2">
        <v>1100</v>
      </c>
      <c r="AS81" s="32" t="s">
        <v>194</v>
      </c>
      <c r="AT81" s="33" t="s">
        <v>193</v>
      </c>
      <c r="AU81" s="33" t="s">
        <v>177</v>
      </c>
      <c r="AV81" s="34">
        <v>2014</v>
      </c>
      <c r="AW81" s="33" t="s">
        <v>178</v>
      </c>
      <c r="AX81" s="34">
        <v>42</v>
      </c>
      <c r="AY81" s="35" t="s">
        <v>179</v>
      </c>
      <c r="BA81" s="126"/>
      <c r="BB81" s="28" t="s">
        <v>586</v>
      </c>
      <c r="BD81" s="31" t="s">
        <v>609</v>
      </c>
    </row>
    <row r="82" spans="1:56" ht="14" customHeight="1" x14ac:dyDescent="0.15">
      <c r="A82" s="47" t="s">
        <v>73</v>
      </c>
      <c r="B82" s="109" t="s">
        <v>212</v>
      </c>
      <c r="C82" s="38">
        <v>9073</v>
      </c>
      <c r="D82" s="39"/>
      <c r="E82" s="39" t="s">
        <v>213</v>
      </c>
      <c r="F82" s="38">
        <v>100</v>
      </c>
      <c r="G82" s="40">
        <v>36.080002</v>
      </c>
      <c r="H82" s="40">
        <v>248.129997</v>
      </c>
      <c r="I82" s="38">
        <v>16</v>
      </c>
      <c r="J82" s="38">
        <v>114</v>
      </c>
      <c r="K82" s="5">
        <v>285.5</v>
      </c>
      <c r="L82" s="40">
        <v>57</v>
      </c>
      <c r="M82" s="40">
        <f t="shared" si="28"/>
        <v>57</v>
      </c>
      <c r="N82" s="40">
        <v>33.900002000000001</v>
      </c>
      <c r="O82" s="40">
        <v>6.4</v>
      </c>
      <c r="P82" s="110">
        <v>32</v>
      </c>
      <c r="Q82" s="30">
        <v>185</v>
      </c>
      <c r="R82" s="40">
        <v>6.8</v>
      </c>
      <c r="S82" s="40">
        <v>9.3000000000000007</v>
      </c>
      <c r="T82" s="40">
        <f>SQRT(R82*S82)</f>
        <v>7.9523581408284176</v>
      </c>
      <c r="U82" s="101">
        <v>1</v>
      </c>
      <c r="V82" s="40">
        <v>57</v>
      </c>
      <c r="W82" s="110">
        <v>32</v>
      </c>
      <c r="X82" s="30">
        <v>185</v>
      </c>
      <c r="Y82" s="40">
        <v>6.8</v>
      </c>
      <c r="Z82" s="40">
        <v>9.3000000000000007</v>
      </c>
      <c r="AA82" s="40">
        <f>SQRT(Y82*Z82)</f>
        <v>7.9523581408284176</v>
      </c>
      <c r="AB82" s="38">
        <v>0</v>
      </c>
      <c r="AC82" s="38">
        <v>4</v>
      </c>
      <c r="AD82" s="6">
        <f t="shared" si="30"/>
        <v>1</v>
      </c>
      <c r="AE82" s="7">
        <f t="shared" si="31"/>
        <v>1</v>
      </c>
      <c r="AF82" s="7">
        <f t="shared" si="37"/>
        <v>1</v>
      </c>
      <c r="AG82" s="7">
        <f t="shared" si="33"/>
        <v>1</v>
      </c>
      <c r="AH82" s="8">
        <f t="shared" si="36"/>
        <v>1</v>
      </c>
      <c r="AI82" s="8">
        <v>1</v>
      </c>
      <c r="AJ82" s="8">
        <v>0</v>
      </c>
      <c r="AK82" s="96">
        <v>1</v>
      </c>
      <c r="AL82" s="8">
        <f>IF(OR(AB82="0or100",AB82=0,AB82=100),0,1)</f>
        <v>0</v>
      </c>
      <c r="AM82" s="2">
        <v>1</v>
      </c>
      <c r="AN82" s="6">
        <f t="shared" si="34"/>
        <v>5</v>
      </c>
      <c r="AO82" s="8" t="s">
        <v>70</v>
      </c>
      <c r="AP82" s="14">
        <f>AVERAGE(AQ82:AR82)</f>
        <v>1091</v>
      </c>
      <c r="AQ82" s="8">
        <v>1086</v>
      </c>
      <c r="AR82" s="8">
        <v>1096</v>
      </c>
      <c r="AS82" s="41" t="s">
        <v>214</v>
      </c>
      <c r="AT82" s="25" t="s">
        <v>212</v>
      </c>
      <c r="AU82" s="25" t="s">
        <v>215</v>
      </c>
      <c r="AV82" s="8">
        <v>2003</v>
      </c>
      <c r="AW82" s="25" t="s">
        <v>35</v>
      </c>
      <c r="AX82" s="8" t="s">
        <v>12</v>
      </c>
      <c r="AY82" s="42" t="s">
        <v>216</v>
      </c>
      <c r="AZ82" s="157" t="s">
        <v>217</v>
      </c>
      <c r="BA82" s="126"/>
      <c r="BB82" s="31" t="s">
        <v>593</v>
      </c>
    </row>
    <row r="83" spans="1:56" ht="14" customHeight="1" x14ac:dyDescent="0.15">
      <c r="A83" s="100" t="s">
        <v>73</v>
      </c>
      <c r="B83" s="120" t="s">
        <v>228</v>
      </c>
      <c r="C83" s="64" t="s">
        <v>34</v>
      </c>
      <c r="D83" s="83"/>
      <c r="E83" s="61"/>
      <c r="F83" s="2">
        <v>100</v>
      </c>
      <c r="G83" s="101">
        <v>47.5</v>
      </c>
      <c r="H83" s="101">
        <v>269.10000000000002</v>
      </c>
      <c r="I83" s="64">
        <v>50</v>
      </c>
      <c r="J83" s="64">
        <v>378</v>
      </c>
      <c r="K83" s="63">
        <v>282.8</v>
      </c>
      <c r="L83" s="101">
        <v>42.4</v>
      </c>
      <c r="M83" s="101">
        <f t="shared" si="28"/>
        <v>42.4</v>
      </c>
      <c r="N83" s="63">
        <v>39.6</v>
      </c>
      <c r="O83" s="63">
        <v>3.2</v>
      </c>
      <c r="P83" s="102">
        <v>27.1</v>
      </c>
      <c r="Q83" s="103">
        <v>187.8</v>
      </c>
      <c r="R83" s="101">
        <v>3</v>
      </c>
      <c r="S83" s="101">
        <v>3</v>
      </c>
      <c r="T83" s="101">
        <v>3</v>
      </c>
      <c r="U83" s="101">
        <v>1</v>
      </c>
      <c r="V83" s="101">
        <v>42.4</v>
      </c>
      <c r="W83" s="102">
        <v>27.1</v>
      </c>
      <c r="X83" s="103">
        <v>187.8</v>
      </c>
      <c r="Y83" s="101">
        <v>3</v>
      </c>
      <c r="Z83" s="101">
        <v>3</v>
      </c>
      <c r="AA83" s="101">
        <v>3</v>
      </c>
      <c r="AB83" s="4">
        <v>0</v>
      </c>
      <c r="AC83" s="64">
        <v>4</v>
      </c>
      <c r="AD83" s="1">
        <f t="shared" si="30"/>
        <v>1</v>
      </c>
      <c r="AE83" s="10">
        <f t="shared" si="31"/>
        <v>1</v>
      </c>
      <c r="AF83" s="10">
        <f t="shared" si="37"/>
        <v>1</v>
      </c>
      <c r="AG83" s="10">
        <f t="shared" si="33"/>
        <v>1</v>
      </c>
      <c r="AH83" s="66">
        <f t="shared" si="36"/>
        <v>1</v>
      </c>
      <c r="AI83" s="2">
        <v>1</v>
      </c>
      <c r="AJ83" s="2">
        <v>0</v>
      </c>
      <c r="AK83" s="104">
        <v>1</v>
      </c>
      <c r="AL83" s="2">
        <v>0</v>
      </c>
      <c r="AM83" s="2">
        <v>1</v>
      </c>
      <c r="AN83" s="6">
        <f t="shared" si="34"/>
        <v>5</v>
      </c>
      <c r="AO83" s="121" t="s">
        <v>27</v>
      </c>
      <c r="AP83" s="84">
        <v>1090</v>
      </c>
      <c r="AQ83" s="2">
        <v>1083</v>
      </c>
      <c r="AR83" s="2">
        <v>1092</v>
      </c>
      <c r="AS83" s="62" t="s">
        <v>229</v>
      </c>
      <c r="AT83" s="100" t="s">
        <v>228</v>
      </c>
      <c r="AU83" s="3" t="s">
        <v>230</v>
      </c>
      <c r="AV83" s="2">
        <v>2017</v>
      </c>
      <c r="AW83" s="60" t="s">
        <v>231</v>
      </c>
      <c r="AX83" s="4">
        <v>9</v>
      </c>
      <c r="AY83" s="12" t="s">
        <v>232</v>
      </c>
      <c r="AZ83" s="129" t="s">
        <v>233</v>
      </c>
      <c r="BA83" s="142"/>
      <c r="BB83" s="90" t="s">
        <v>592</v>
      </c>
      <c r="BC83" s="32"/>
      <c r="BD83" s="32"/>
    </row>
    <row r="84" spans="1:56" ht="14" customHeight="1" x14ac:dyDescent="0.15">
      <c r="A84" s="47" t="s">
        <v>73</v>
      </c>
      <c r="B84" s="116" t="s">
        <v>218</v>
      </c>
      <c r="C84" s="38" t="s">
        <v>34</v>
      </c>
      <c r="D84" s="39" t="s">
        <v>219</v>
      </c>
      <c r="E84" s="119"/>
      <c r="F84" s="38">
        <v>0</v>
      </c>
      <c r="G84" s="34">
        <v>33.700000000000003</v>
      </c>
      <c r="H84" s="34">
        <v>249.2</v>
      </c>
      <c r="I84" s="38">
        <v>13</v>
      </c>
      <c r="J84" s="38">
        <v>139</v>
      </c>
      <c r="K84" s="5">
        <v>274.8</v>
      </c>
      <c r="L84" s="40">
        <v>38.700000000000003</v>
      </c>
      <c r="M84" s="40">
        <v>38.700000000000003</v>
      </c>
      <c r="N84" s="40">
        <v>30.4</v>
      </c>
      <c r="O84" s="40">
        <v>7.6</v>
      </c>
      <c r="P84" s="110">
        <v>15.7</v>
      </c>
      <c r="Q84" s="30">
        <v>175.3</v>
      </c>
      <c r="R84" s="40">
        <v>5.4</v>
      </c>
      <c r="S84" s="40">
        <v>9.1</v>
      </c>
      <c r="T84" s="40">
        <f>SQRT(R84*S84)</f>
        <v>7.0099928673287533</v>
      </c>
      <c r="U84" s="101">
        <v>1</v>
      </c>
      <c r="V84" s="40">
        <v>38.700000000000003</v>
      </c>
      <c r="W84" s="110">
        <v>15.7</v>
      </c>
      <c r="X84" s="30">
        <v>175.3</v>
      </c>
      <c r="Y84" s="40">
        <v>5.4</v>
      </c>
      <c r="Z84" s="40">
        <v>9.1</v>
      </c>
      <c r="AA84" s="40">
        <f>SQRT(Y84*Z84)</f>
        <v>7.0099928673287533</v>
      </c>
      <c r="AB84" s="34">
        <v>0</v>
      </c>
      <c r="AC84" s="38">
        <v>4</v>
      </c>
      <c r="AD84" s="6">
        <f t="shared" si="30"/>
        <v>1</v>
      </c>
      <c r="AE84" s="7">
        <f t="shared" si="31"/>
        <v>1</v>
      </c>
      <c r="AF84" s="7">
        <f t="shared" si="37"/>
        <v>1</v>
      </c>
      <c r="AG84" s="7">
        <f t="shared" si="33"/>
        <v>1</v>
      </c>
      <c r="AH84" s="8">
        <f t="shared" si="36"/>
        <v>1</v>
      </c>
      <c r="AI84" s="8">
        <v>1</v>
      </c>
      <c r="AJ84" s="8">
        <v>0</v>
      </c>
      <c r="AK84" s="96">
        <v>1</v>
      </c>
      <c r="AL84" s="8">
        <f>IF(OR(AB84="0or100",AB84=0,AB84=100),0,1)</f>
        <v>0</v>
      </c>
      <c r="AM84" s="2">
        <v>1</v>
      </c>
      <c r="AN84" s="6">
        <f t="shared" si="34"/>
        <v>5</v>
      </c>
      <c r="AO84" s="8" t="s">
        <v>27</v>
      </c>
      <c r="AP84" s="14">
        <f>AVERAGE(AQ84:AR84)</f>
        <v>1088</v>
      </c>
      <c r="AQ84" s="8">
        <v>1077</v>
      </c>
      <c r="AR84" s="8">
        <v>1099</v>
      </c>
      <c r="AS84" s="41" t="s">
        <v>220</v>
      </c>
      <c r="AT84" s="33" t="s">
        <v>218</v>
      </c>
      <c r="AU84" s="33" t="s">
        <v>221</v>
      </c>
      <c r="AV84" s="34">
        <v>2011</v>
      </c>
      <c r="AW84" s="33" t="s">
        <v>222</v>
      </c>
      <c r="AX84" s="34">
        <v>47</v>
      </c>
      <c r="AY84" s="35"/>
      <c r="BA84" s="142"/>
      <c r="BB84" s="28" t="s">
        <v>668</v>
      </c>
    </row>
    <row r="85" spans="1:56" ht="14" customHeight="1" x14ac:dyDescent="0.15">
      <c r="A85" s="47" t="s">
        <v>73</v>
      </c>
      <c r="B85" s="109" t="s">
        <v>223</v>
      </c>
      <c r="C85" s="38" t="s">
        <v>34</v>
      </c>
      <c r="D85" s="39" t="s">
        <v>224</v>
      </c>
      <c r="E85" s="111" t="s">
        <v>225</v>
      </c>
      <c r="F85" s="118">
        <v>100</v>
      </c>
      <c r="G85" s="40">
        <v>47.599997999999999</v>
      </c>
      <c r="H85" s="40">
        <v>271.90000199999997</v>
      </c>
      <c r="I85" s="38">
        <v>31</v>
      </c>
      <c r="J85" s="38">
        <v>374</v>
      </c>
      <c r="K85" s="5">
        <v>283</v>
      </c>
      <c r="L85" s="40">
        <v>35.700000000000003</v>
      </c>
      <c r="M85" s="40">
        <f t="shared" ref="M85:M98" si="38">ABS(L85)</f>
        <v>35.700000000000003</v>
      </c>
      <c r="N85" s="114">
        <v>1000</v>
      </c>
      <c r="O85" s="114">
        <v>0.1</v>
      </c>
      <c r="P85" s="110">
        <v>23.1</v>
      </c>
      <c r="Q85" s="30">
        <v>186.4</v>
      </c>
      <c r="R85" s="40">
        <v>4</v>
      </c>
      <c r="S85" s="40">
        <v>4</v>
      </c>
      <c r="T85" s="40">
        <f>SQRT(R85*S85)</f>
        <v>4</v>
      </c>
      <c r="U85" s="101">
        <v>1</v>
      </c>
      <c r="V85" s="40">
        <v>35.700000000000003</v>
      </c>
      <c r="W85" s="110">
        <v>23.1</v>
      </c>
      <c r="X85" s="30">
        <v>186.4</v>
      </c>
      <c r="Y85" s="40">
        <v>4</v>
      </c>
      <c r="Z85" s="40">
        <v>4</v>
      </c>
      <c r="AA85" s="40">
        <f>SQRT(Y85*Z85)</f>
        <v>4</v>
      </c>
      <c r="AB85" s="34">
        <v>0</v>
      </c>
      <c r="AC85" s="38">
        <v>4</v>
      </c>
      <c r="AD85" s="6">
        <f t="shared" si="30"/>
        <v>1</v>
      </c>
      <c r="AE85" s="7">
        <f t="shared" si="31"/>
        <v>1</v>
      </c>
      <c r="AF85" s="7">
        <f t="shared" si="37"/>
        <v>1</v>
      </c>
      <c r="AG85" s="7">
        <f t="shared" si="33"/>
        <v>1</v>
      </c>
      <c r="AH85" s="8">
        <f t="shared" si="36"/>
        <v>1</v>
      </c>
      <c r="AI85" s="8">
        <v>1</v>
      </c>
      <c r="AJ85" s="8">
        <v>1</v>
      </c>
      <c r="AK85" s="96">
        <v>1</v>
      </c>
      <c r="AL85" s="8">
        <f>IF(OR(AB85="0or100",AB85=0,AB85=100),0,1)</f>
        <v>0</v>
      </c>
      <c r="AM85" s="2">
        <v>1</v>
      </c>
      <c r="AN85" s="6">
        <f t="shared" si="34"/>
        <v>6</v>
      </c>
      <c r="AO85" s="8" t="s">
        <v>66</v>
      </c>
      <c r="AP85" s="14">
        <v>1086</v>
      </c>
      <c r="AQ85" s="8">
        <v>1085</v>
      </c>
      <c r="AR85" s="8">
        <v>1087</v>
      </c>
      <c r="AS85" s="41" t="s">
        <v>591</v>
      </c>
      <c r="AT85" s="25" t="s">
        <v>223</v>
      </c>
      <c r="AU85" s="33" t="s">
        <v>226</v>
      </c>
      <c r="AV85" s="8">
        <v>2013</v>
      </c>
      <c r="AW85" s="25" t="s">
        <v>93</v>
      </c>
      <c r="AX85" s="34">
        <v>50</v>
      </c>
      <c r="AY85" s="35" t="s">
        <v>227</v>
      </c>
      <c r="BA85" s="142"/>
      <c r="BB85" s="28" t="s">
        <v>660</v>
      </c>
      <c r="BC85" s="46"/>
      <c r="BD85" s="31" t="s">
        <v>609</v>
      </c>
    </row>
    <row r="86" spans="1:56" ht="14" customHeight="1" x14ac:dyDescent="0.15">
      <c r="A86" s="100" t="s">
        <v>73</v>
      </c>
      <c r="B86" s="120" t="s">
        <v>234</v>
      </c>
      <c r="C86" s="64" t="s">
        <v>34</v>
      </c>
      <c r="D86" s="83"/>
      <c r="E86" s="61"/>
      <c r="F86" s="2">
        <v>100</v>
      </c>
      <c r="G86" s="101">
        <v>47.7</v>
      </c>
      <c r="H86" s="101">
        <v>274.3</v>
      </c>
      <c r="I86" s="64">
        <v>23</v>
      </c>
      <c r="J86" s="64">
        <v>193</v>
      </c>
      <c r="K86" s="63">
        <v>288.3</v>
      </c>
      <c r="L86" s="101">
        <v>12</v>
      </c>
      <c r="M86" s="101">
        <f t="shared" si="38"/>
        <v>12</v>
      </c>
      <c r="N86" s="63">
        <v>30</v>
      </c>
      <c r="O86" s="63">
        <v>5.6</v>
      </c>
      <c r="P86" s="102">
        <v>17</v>
      </c>
      <c r="Q86" s="103">
        <v>174.7</v>
      </c>
      <c r="R86" s="101">
        <v>4.4000000000000004</v>
      </c>
      <c r="S86" s="101">
        <v>4.4000000000000004</v>
      </c>
      <c r="T86" s="101">
        <v>4.4000000000000004</v>
      </c>
      <c r="U86" s="101">
        <v>1</v>
      </c>
      <c r="V86" s="101">
        <v>12</v>
      </c>
      <c r="W86" s="102">
        <v>17</v>
      </c>
      <c r="X86" s="103">
        <v>174.7</v>
      </c>
      <c r="Y86" s="101">
        <v>4.4000000000000004</v>
      </c>
      <c r="Z86" s="101">
        <v>4.4000000000000004</v>
      </c>
      <c r="AA86" s="101">
        <v>4.4000000000000004</v>
      </c>
      <c r="AB86" s="4">
        <v>0</v>
      </c>
      <c r="AC86" s="64">
        <v>4</v>
      </c>
      <c r="AD86" s="1">
        <f t="shared" si="30"/>
        <v>1</v>
      </c>
      <c r="AE86" s="10">
        <f t="shared" si="31"/>
        <v>1</v>
      </c>
      <c r="AF86" s="10">
        <f t="shared" si="37"/>
        <v>1</v>
      </c>
      <c r="AG86" s="10">
        <f t="shared" si="33"/>
        <v>1</v>
      </c>
      <c r="AH86" s="66">
        <f t="shared" si="36"/>
        <v>1</v>
      </c>
      <c r="AI86" s="2">
        <v>1</v>
      </c>
      <c r="AJ86" s="2">
        <v>0</v>
      </c>
      <c r="AK86" s="104">
        <v>1</v>
      </c>
      <c r="AL86" s="2">
        <v>0</v>
      </c>
      <c r="AM86" s="2">
        <v>0</v>
      </c>
      <c r="AN86" s="6">
        <f t="shared" si="34"/>
        <v>4</v>
      </c>
      <c r="AO86" s="121" t="s">
        <v>27</v>
      </c>
      <c r="AP86" s="84">
        <v>1084</v>
      </c>
      <c r="AQ86" s="2">
        <v>1083</v>
      </c>
      <c r="AR86" s="2">
        <v>1085</v>
      </c>
      <c r="AS86" s="62" t="s">
        <v>235</v>
      </c>
      <c r="AT86" s="100" t="s">
        <v>234</v>
      </c>
      <c r="AU86" s="3" t="s">
        <v>230</v>
      </c>
      <c r="AV86" s="2">
        <v>2017</v>
      </c>
      <c r="AW86" s="60" t="s">
        <v>231</v>
      </c>
      <c r="AX86" s="4">
        <v>9</v>
      </c>
      <c r="AY86" s="12" t="s">
        <v>232</v>
      </c>
      <c r="AZ86" s="129" t="s">
        <v>233</v>
      </c>
      <c r="BA86" s="142"/>
      <c r="BB86" s="90" t="s">
        <v>592</v>
      </c>
      <c r="BC86" s="32"/>
      <c r="BD86" s="32"/>
    </row>
    <row r="87" spans="1:56" ht="14" customHeight="1" x14ac:dyDescent="0.15">
      <c r="A87" s="47" t="s">
        <v>73</v>
      </c>
      <c r="B87" s="109" t="s">
        <v>236</v>
      </c>
      <c r="C87" s="38">
        <v>2053</v>
      </c>
      <c r="D87" s="69"/>
      <c r="E87" s="69" t="s">
        <v>57</v>
      </c>
      <c r="F87" s="68">
        <v>100</v>
      </c>
      <c r="G87" s="70">
        <v>47</v>
      </c>
      <c r="H87" s="70">
        <v>271.5</v>
      </c>
      <c r="I87" s="68">
        <v>11</v>
      </c>
      <c r="J87" s="68">
        <v>27</v>
      </c>
      <c r="K87" s="71">
        <v>276.79998799999998</v>
      </c>
      <c r="L87" s="70">
        <v>8.1</v>
      </c>
      <c r="M87" s="70">
        <f t="shared" si="38"/>
        <v>8.1</v>
      </c>
      <c r="N87" s="70">
        <v>35</v>
      </c>
      <c r="O87" s="70">
        <v>7.8</v>
      </c>
      <c r="P87" s="72">
        <v>7.6</v>
      </c>
      <c r="Q87" s="73">
        <v>178.10000600000001</v>
      </c>
      <c r="R87" s="70">
        <v>3.9</v>
      </c>
      <c r="S87" s="70">
        <v>7.8</v>
      </c>
      <c r="T87" s="70">
        <f t="shared" ref="T87:T98" si="39">SQRT(R87*S87)</f>
        <v>5.5154328932550705</v>
      </c>
      <c r="U87" s="101">
        <v>0.6</v>
      </c>
      <c r="V87" s="101">
        <v>13.3</v>
      </c>
      <c r="W87" s="101">
        <v>9.6</v>
      </c>
      <c r="X87" s="101">
        <v>181.2</v>
      </c>
      <c r="Y87" s="101">
        <v>4.0999999999999996</v>
      </c>
      <c r="Z87" s="101">
        <v>8</v>
      </c>
      <c r="AA87" s="101">
        <v>5.7</v>
      </c>
      <c r="AB87" s="82">
        <v>0</v>
      </c>
      <c r="AC87" s="68">
        <v>3</v>
      </c>
      <c r="AD87" s="74">
        <f t="shared" si="30"/>
        <v>1</v>
      </c>
      <c r="AE87" s="75">
        <f t="shared" si="31"/>
        <v>1</v>
      </c>
      <c r="AF87" s="75">
        <f t="shared" si="37"/>
        <v>1</v>
      </c>
      <c r="AG87" s="75">
        <f t="shared" si="33"/>
        <v>1</v>
      </c>
      <c r="AH87" s="66">
        <f t="shared" si="36"/>
        <v>1</v>
      </c>
      <c r="AI87" s="66">
        <v>1</v>
      </c>
      <c r="AJ87" s="66">
        <v>0</v>
      </c>
      <c r="AK87" s="76">
        <v>1</v>
      </c>
      <c r="AL87" s="66">
        <f>IF(OR(AB87="0or100",AB87=0,AB87=100),0,1)</f>
        <v>0</v>
      </c>
      <c r="AM87" s="2">
        <v>0</v>
      </c>
      <c r="AN87" s="6">
        <f t="shared" si="34"/>
        <v>4</v>
      </c>
      <c r="AO87" s="66" t="s">
        <v>70</v>
      </c>
      <c r="AP87" s="14">
        <v>1080</v>
      </c>
      <c r="AQ87" s="66">
        <v>1070</v>
      </c>
      <c r="AR87" s="66">
        <v>1084</v>
      </c>
      <c r="AS87" s="77" t="s">
        <v>237</v>
      </c>
      <c r="AT87" s="78" t="s">
        <v>236</v>
      </c>
      <c r="AU87" s="78" t="s">
        <v>238</v>
      </c>
      <c r="AV87" s="66">
        <v>1977</v>
      </c>
      <c r="AW87" s="78" t="s">
        <v>93</v>
      </c>
      <c r="AX87" s="66" t="s">
        <v>61</v>
      </c>
      <c r="AY87" s="79" t="s">
        <v>239</v>
      </c>
      <c r="AZ87" s="148" t="s">
        <v>240</v>
      </c>
      <c r="BA87" s="142"/>
      <c r="BB87" s="162" t="s">
        <v>598</v>
      </c>
      <c r="BC87" s="108"/>
      <c r="BD87" s="31" t="s">
        <v>609</v>
      </c>
    </row>
    <row r="88" spans="1:56" ht="42" x14ac:dyDescent="0.15">
      <c r="A88" s="47" t="s">
        <v>73</v>
      </c>
      <c r="B88" s="109" t="s">
        <v>241</v>
      </c>
      <c r="C88" s="38">
        <v>2051</v>
      </c>
      <c r="D88" s="69" t="s">
        <v>242</v>
      </c>
      <c r="E88" s="69" t="s">
        <v>57</v>
      </c>
      <c r="F88" s="68">
        <v>100</v>
      </c>
      <c r="G88" s="70">
        <v>47</v>
      </c>
      <c r="H88" s="70">
        <v>271.5</v>
      </c>
      <c r="I88" s="68">
        <v>20</v>
      </c>
      <c r="J88" s="68">
        <v>85</v>
      </c>
      <c r="K88" s="71">
        <v>272.39999399999999</v>
      </c>
      <c r="L88" s="70">
        <v>1.5</v>
      </c>
      <c r="M88" s="70">
        <f t="shared" si="38"/>
        <v>1.5</v>
      </c>
      <c r="N88" s="70">
        <v>32</v>
      </c>
      <c r="O88" s="70">
        <v>5.9</v>
      </c>
      <c r="P88" s="72">
        <v>2.2000000000000002</v>
      </c>
      <c r="Q88" s="73">
        <v>179</v>
      </c>
      <c r="R88" s="70">
        <v>3</v>
      </c>
      <c r="S88" s="70">
        <v>5.9</v>
      </c>
      <c r="T88" s="70">
        <f t="shared" si="39"/>
        <v>4.2071367935925261</v>
      </c>
      <c r="U88" s="101">
        <v>0.6</v>
      </c>
      <c r="V88" s="101">
        <v>2.5</v>
      </c>
      <c r="W88" s="101">
        <v>2.6</v>
      </c>
      <c r="X88" s="101">
        <v>180.6</v>
      </c>
      <c r="Y88" s="101">
        <v>3</v>
      </c>
      <c r="Z88" s="101">
        <v>5.9</v>
      </c>
      <c r="AA88" s="101">
        <v>4.2</v>
      </c>
      <c r="AB88" s="82">
        <v>0</v>
      </c>
      <c r="AC88" s="68">
        <v>3</v>
      </c>
      <c r="AD88" s="74">
        <f t="shared" si="30"/>
        <v>1</v>
      </c>
      <c r="AE88" s="75">
        <f t="shared" si="31"/>
        <v>1</v>
      </c>
      <c r="AF88" s="75">
        <f t="shared" si="37"/>
        <v>1</v>
      </c>
      <c r="AG88" s="75">
        <f t="shared" si="33"/>
        <v>1</v>
      </c>
      <c r="AH88" s="66">
        <f t="shared" si="36"/>
        <v>1</v>
      </c>
      <c r="AI88" s="66">
        <v>1</v>
      </c>
      <c r="AJ88" s="66">
        <v>0</v>
      </c>
      <c r="AK88" s="76">
        <v>1</v>
      </c>
      <c r="AL88" s="66">
        <f>IF(OR(AB88="0or100",AB88=0,AB88=100),0,1)</f>
        <v>0</v>
      </c>
      <c r="AM88" s="2">
        <v>0</v>
      </c>
      <c r="AN88" s="6">
        <f t="shared" si="34"/>
        <v>4</v>
      </c>
      <c r="AO88" s="66" t="s">
        <v>70</v>
      </c>
      <c r="AP88" s="14">
        <v>1070</v>
      </c>
      <c r="AQ88" s="66">
        <v>1060</v>
      </c>
      <c r="AR88" s="66">
        <v>1084</v>
      </c>
      <c r="AS88" s="77" t="s">
        <v>243</v>
      </c>
      <c r="AT88" s="78" t="s">
        <v>241</v>
      </c>
      <c r="AU88" s="78" t="s">
        <v>238</v>
      </c>
      <c r="AV88" s="66">
        <v>1977</v>
      </c>
      <c r="AW88" s="78" t="s">
        <v>93</v>
      </c>
      <c r="AX88" s="66" t="s">
        <v>61</v>
      </c>
      <c r="AY88" s="79" t="s">
        <v>239</v>
      </c>
      <c r="AZ88" s="148" t="s">
        <v>240</v>
      </c>
      <c r="BA88" s="142" t="s">
        <v>244</v>
      </c>
      <c r="BB88" s="162" t="s">
        <v>598</v>
      </c>
      <c r="BC88" s="93"/>
      <c r="BD88" s="31" t="s">
        <v>609</v>
      </c>
    </row>
    <row r="89" spans="1:56" ht="56" x14ac:dyDescent="0.15">
      <c r="A89" s="47" t="s">
        <v>73</v>
      </c>
      <c r="B89" s="109" t="s">
        <v>245</v>
      </c>
      <c r="C89" s="38">
        <v>9165</v>
      </c>
      <c r="D89" s="69" t="s">
        <v>55</v>
      </c>
      <c r="E89" s="69"/>
      <c r="F89" s="68">
        <v>0</v>
      </c>
      <c r="G89" s="70">
        <v>45</v>
      </c>
      <c r="H89" s="70">
        <v>281.40000199999997</v>
      </c>
      <c r="I89" s="68">
        <v>17</v>
      </c>
      <c r="J89" s="68">
        <v>59</v>
      </c>
      <c r="K89" s="71">
        <v>277.5</v>
      </c>
      <c r="L89" s="70">
        <v>-71.800003000000004</v>
      </c>
      <c r="M89" s="70">
        <f t="shared" si="38"/>
        <v>71.800003000000004</v>
      </c>
      <c r="N89" s="70">
        <v>23</v>
      </c>
      <c r="O89" s="70">
        <v>3.8</v>
      </c>
      <c r="P89" s="72">
        <v>-32.599997999999999</v>
      </c>
      <c r="Q89" s="73">
        <v>141.89999399999999</v>
      </c>
      <c r="R89" s="70">
        <v>5.9</v>
      </c>
      <c r="S89" s="70">
        <v>6.7</v>
      </c>
      <c r="T89" s="70">
        <f t="shared" si="39"/>
        <v>6.2872887638472594</v>
      </c>
      <c r="U89" s="101">
        <v>1</v>
      </c>
      <c r="V89" s="70">
        <v>-71.800003000000004</v>
      </c>
      <c r="W89" s="72">
        <v>-32.599997999999999</v>
      </c>
      <c r="X89" s="73">
        <v>141.89999399999999</v>
      </c>
      <c r="Y89" s="70">
        <v>5.9</v>
      </c>
      <c r="Z89" s="70">
        <v>6.7</v>
      </c>
      <c r="AA89" s="70">
        <f>SQRT(Y89*Z89)</f>
        <v>6.2872887638472594</v>
      </c>
      <c r="AB89" s="68" t="s">
        <v>33</v>
      </c>
      <c r="AC89" s="68">
        <v>4</v>
      </c>
      <c r="AD89" s="74">
        <f t="shared" si="30"/>
        <v>1</v>
      </c>
      <c r="AE89" s="75">
        <f t="shared" si="31"/>
        <v>1</v>
      </c>
      <c r="AF89" s="75">
        <f t="shared" si="37"/>
        <v>1</v>
      </c>
      <c r="AG89" s="75">
        <f t="shared" si="33"/>
        <v>1</v>
      </c>
      <c r="AH89" s="66">
        <f t="shared" si="36"/>
        <v>1</v>
      </c>
      <c r="AI89" s="66">
        <v>1</v>
      </c>
      <c r="AJ89" s="66">
        <v>0</v>
      </c>
      <c r="AK89" s="76">
        <v>0</v>
      </c>
      <c r="AL89" s="66">
        <f>IF(OR(AB89="0or100",AB89=0,AB89=100),0,1)</f>
        <v>0</v>
      </c>
      <c r="AM89" s="2">
        <v>0</v>
      </c>
      <c r="AN89" s="6">
        <f t="shared" si="34"/>
        <v>3</v>
      </c>
      <c r="AO89" s="66" t="s">
        <v>70</v>
      </c>
      <c r="AP89" s="14">
        <f t="shared" ref="AP89:AP96" si="40">AVERAGE(AQ89:AR89)</f>
        <v>1015</v>
      </c>
      <c r="AQ89" s="66">
        <v>1000</v>
      </c>
      <c r="AR89" s="82">
        <v>1030</v>
      </c>
      <c r="AS89" s="81" t="s">
        <v>84</v>
      </c>
      <c r="AT89" s="78" t="s">
        <v>245</v>
      </c>
      <c r="AU89" s="78" t="s">
        <v>246</v>
      </c>
      <c r="AV89" s="66">
        <v>2000</v>
      </c>
      <c r="AW89" s="78" t="s">
        <v>32</v>
      </c>
      <c r="AX89" s="66" t="s">
        <v>247</v>
      </c>
      <c r="AY89" s="79" t="s">
        <v>248</v>
      </c>
      <c r="AZ89" s="148" t="s">
        <v>249</v>
      </c>
      <c r="BA89" s="126" t="s">
        <v>250</v>
      </c>
      <c r="BB89" s="161" t="s">
        <v>599</v>
      </c>
      <c r="BC89" s="108"/>
      <c r="BD89" s="108"/>
    </row>
    <row r="90" spans="1:56" x14ac:dyDescent="0.15">
      <c r="A90" s="47" t="s">
        <v>73</v>
      </c>
      <c r="B90" s="109" t="s">
        <v>690</v>
      </c>
      <c r="C90" s="38"/>
      <c r="D90" s="69"/>
      <c r="E90" s="69"/>
      <c r="F90" s="68"/>
      <c r="G90" s="31">
        <v>44</v>
      </c>
      <c r="H90" s="70">
        <v>285</v>
      </c>
      <c r="I90" s="68"/>
      <c r="J90" s="68"/>
      <c r="K90" s="71"/>
      <c r="L90" s="70"/>
      <c r="M90" s="70"/>
      <c r="N90" s="70"/>
      <c r="O90" s="70"/>
      <c r="P90" s="72">
        <v>-18.399999999999999</v>
      </c>
      <c r="Q90" s="73">
        <v>151.1</v>
      </c>
      <c r="R90" s="70">
        <v>9.3000000000000007</v>
      </c>
      <c r="S90" s="70">
        <v>11.8</v>
      </c>
      <c r="T90" s="70">
        <f t="shared" si="39"/>
        <v>10.475686135046239</v>
      </c>
      <c r="U90" s="101"/>
      <c r="V90" s="70"/>
      <c r="W90" s="72"/>
      <c r="X90" s="73"/>
      <c r="Y90" s="70"/>
      <c r="Z90" s="70"/>
      <c r="AA90" s="70"/>
      <c r="AB90" s="68"/>
      <c r="AC90" s="68"/>
      <c r="AD90" s="74"/>
      <c r="AE90" s="75"/>
      <c r="AF90" s="75"/>
      <c r="AG90" s="75"/>
      <c r="AH90" s="66"/>
      <c r="AI90" s="66"/>
      <c r="AJ90" s="66"/>
      <c r="AK90" s="76"/>
      <c r="AL90" s="66"/>
      <c r="AM90" s="2"/>
      <c r="AN90" s="6"/>
      <c r="AO90" s="171" t="s">
        <v>679</v>
      </c>
      <c r="AP90" s="14">
        <v>960</v>
      </c>
      <c r="AQ90" s="66">
        <v>940</v>
      </c>
      <c r="AR90" s="82">
        <v>980</v>
      </c>
      <c r="AS90" s="81" t="s">
        <v>692</v>
      </c>
      <c r="AT90" s="78"/>
      <c r="AU90" s="78"/>
      <c r="AV90" s="66"/>
      <c r="AW90" s="78"/>
      <c r="AX90" s="66"/>
      <c r="AY90" s="79"/>
      <c r="AZ90" s="148"/>
      <c r="BA90" s="126"/>
      <c r="BB90" s="161" t="s">
        <v>691</v>
      </c>
      <c r="BC90" s="108"/>
      <c r="BD90" s="108"/>
    </row>
    <row r="91" spans="1:56" ht="28" x14ac:dyDescent="0.15">
      <c r="A91" s="47" t="s">
        <v>73</v>
      </c>
      <c r="B91" s="170" t="s">
        <v>688</v>
      </c>
      <c r="C91" s="38"/>
      <c r="D91" s="69"/>
      <c r="E91" s="69"/>
      <c r="F91" s="68"/>
      <c r="G91" s="70">
        <v>44</v>
      </c>
      <c r="H91" s="70">
        <v>286</v>
      </c>
      <c r="I91" s="68"/>
      <c r="J91" s="68"/>
      <c r="K91" s="71"/>
      <c r="L91" s="70"/>
      <c r="M91" s="70"/>
      <c r="N91" s="70"/>
      <c r="O91" s="70"/>
      <c r="P91" s="72">
        <v>-25.1</v>
      </c>
      <c r="Q91" s="73">
        <v>149</v>
      </c>
      <c r="R91" s="70">
        <v>10.6</v>
      </c>
      <c r="S91" s="70">
        <v>12.7</v>
      </c>
      <c r="T91" s="70">
        <f t="shared" si="39"/>
        <v>11.602585918664856</v>
      </c>
      <c r="U91" s="101"/>
      <c r="V91" s="70"/>
      <c r="W91" s="72"/>
      <c r="X91" s="73"/>
      <c r="Y91" s="70"/>
      <c r="Z91" s="70"/>
      <c r="AA91" s="70"/>
      <c r="AB91" s="68"/>
      <c r="AC91" s="68"/>
      <c r="AD91" s="74"/>
      <c r="AE91" s="75"/>
      <c r="AF91" s="75"/>
      <c r="AG91" s="75"/>
      <c r="AH91" s="66"/>
      <c r="AI91" s="66"/>
      <c r="AJ91" s="66"/>
      <c r="AK91" s="76"/>
      <c r="AL91" s="66"/>
      <c r="AM91" s="2"/>
      <c r="AN91" s="6"/>
      <c r="AO91" s="171" t="s">
        <v>679</v>
      </c>
      <c r="AP91" s="14">
        <v>970</v>
      </c>
      <c r="AQ91" s="66">
        <v>950</v>
      </c>
      <c r="AR91" s="82">
        <v>990</v>
      </c>
      <c r="AS91" s="81" t="s">
        <v>692</v>
      </c>
      <c r="AT91" s="78"/>
      <c r="AU91" s="78"/>
      <c r="AV91" s="66"/>
      <c r="AW91" s="78"/>
      <c r="AX91" s="66"/>
      <c r="AY91" s="79"/>
      <c r="AZ91" s="148"/>
      <c r="BA91" s="126"/>
      <c r="BB91" s="161" t="s">
        <v>691</v>
      </c>
      <c r="BC91" s="108"/>
      <c r="BD91" s="108"/>
    </row>
    <row r="92" spans="1:56" x14ac:dyDescent="0.15">
      <c r="A92" s="47" t="s">
        <v>73</v>
      </c>
      <c r="B92" s="109" t="s">
        <v>689</v>
      </c>
      <c r="C92" s="38"/>
      <c r="D92" s="69"/>
      <c r="E92" s="69"/>
      <c r="F92" s="68"/>
      <c r="G92" s="70">
        <v>44</v>
      </c>
      <c r="H92" s="70">
        <v>285.5</v>
      </c>
      <c r="I92" s="68"/>
      <c r="J92" s="68"/>
      <c r="K92" s="71"/>
      <c r="L92" s="70"/>
      <c r="M92" s="70"/>
      <c r="N92" s="70"/>
      <c r="O92" s="70"/>
      <c r="P92" s="72">
        <v>-28.4</v>
      </c>
      <c r="Q92" s="73">
        <v>132.69999999999999</v>
      </c>
      <c r="R92" s="70">
        <v>6.7</v>
      </c>
      <c r="S92" s="70">
        <v>7.2</v>
      </c>
      <c r="T92" s="70">
        <f t="shared" si="39"/>
        <v>6.9455021416741358</v>
      </c>
      <c r="U92" s="101"/>
      <c r="V92" s="70"/>
      <c r="W92" s="72"/>
      <c r="X92" s="73"/>
      <c r="Y92" s="70"/>
      <c r="Z92" s="70"/>
      <c r="AA92" s="70"/>
      <c r="AB92" s="68"/>
      <c r="AC92" s="68"/>
      <c r="AD92" s="74"/>
      <c r="AE92" s="75"/>
      <c r="AF92" s="75"/>
      <c r="AG92" s="75"/>
      <c r="AH92" s="66"/>
      <c r="AI92" s="66"/>
      <c r="AJ92" s="66"/>
      <c r="AK92" s="76"/>
      <c r="AL92" s="66"/>
      <c r="AM92" s="2"/>
      <c r="AN92" s="6"/>
      <c r="AO92" s="171" t="s">
        <v>679</v>
      </c>
      <c r="AP92" s="14">
        <v>990</v>
      </c>
      <c r="AQ92" s="82">
        <v>970</v>
      </c>
      <c r="AR92" s="31">
        <v>1010</v>
      </c>
      <c r="AS92" s="81" t="s">
        <v>692</v>
      </c>
      <c r="AT92" s="78"/>
      <c r="AU92" s="78"/>
      <c r="AV92" s="66"/>
      <c r="AW92" s="78"/>
      <c r="AX92" s="66"/>
      <c r="AY92" s="79"/>
      <c r="AZ92" s="148"/>
      <c r="BA92" s="126"/>
      <c r="BB92" s="161" t="s">
        <v>691</v>
      </c>
      <c r="BC92" s="108"/>
      <c r="BD92" s="108"/>
    </row>
    <row r="93" spans="1:56" ht="28" x14ac:dyDescent="0.15">
      <c r="A93" s="28" t="s">
        <v>373</v>
      </c>
      <c r="B93" s="122" t="s">
        <v>614</v>
      </c>
      <c r="C93" s="27" t="s">
        <v>375</v>
      </c>
      <c r="D93" s="26" t="s">
        <v>381</v>
      </c>
      <c r="E93" s="26" t="s">
        <v>377</v>
      </c>
      <c r="F93" s="27">
        <v>100</v>
      </c>
      <c r="G93" s="30">
        <v>57.9</v>
      </c>
      <c r="H93" s="30">
        <v>354.3</v>
      </c>
      <c r="I93" s="133"/>
      <c r="J93" s="27">
        <v>880</v>
      </c>
      <c r="K93" s="30">
        <v>119.6</v>
      </c>
      <c r="L93" s="30">
        <v>56.7</v>
      </c>
      <c r="M93" s="5">
        <f t="shared" si="38"/>
        <v>56.7</v>
      </c>
      <c r="N93" s="132">
        <v>1000</v>
      </c>
      <c r="O93" s="132">
        <v>0.1</v>
      </c>
      <c r="P93" s="30">
        <v>-17.7</v>
      </c>
      <c r="Q93" s="30">
        <v>220.9</v>
      </c>
      <c r="R93" s="30">
        <v>7.1</v>
      </c>
      <c r="S93" s="30">
        <v>7.1</v>
      </c>
      <c r="T93" s="30">
        <f t="shared" si="39"/>
        <v>7.1</v>
      </c>
      <c r="U93" s="103">
        <v>0.6</v>
      </c>
      <c r="V93" s="103">
        <v>68.5</v>
      </c>
      <c r="W93" s="103">
        <v>30.2</v>
      </c>
      <c r="X93" s="103">
        <v>32.799999999999997</v>
      </c>
      <c r="Y93" s="103">
        <v>7.1</v>
      </c>
      <c r="Z93" s="103">
        <v>7.1</v>
      </c>
      <c r="AA93" s="103">
        <v>7.1</v>
      </c>
      <c r="AB93" s="27" t="s">
        <v>69</v>
      </c>
      <c r="AC93" s="27">
        <v>4</v>
      </c>
      <c r="AD93" s="6">
        <f t="shared" si="30"/>
        <v>0</v>
      </c>
      <c r="AE93" s="7">
        <f t="shared" si="31"/>
        <v>1</v>
      </c>
      <c r="AF93" s="7">
        <f t="shared" si="37"/>
        <v>1</v>
      </c>
      <c r="AG93" s="7">
        <f t="shared" si="33"/>
        <v>1</v>
      </c>
      <c r="AH93" s="8">
        <f t="shared" si="36"/>
        <v>1</v>
      </c>
      <c r="AI93" s="27">
        <v>1</v>
      </c>
      <c r="AJ93" s="27">
        <v>1</v>
      </c>
      <c r="AK93" s="27">
        <v>1</v>
      </c>
      <c r="AL93" s="29">
        <v>1</v>
      </c>
      <c r="AM93" s="57">
        <v>0</v>
      </c>
      <c r="AN93" s="6">
        <f t="shared" si="34"/>
        <v>5</v>
      </c>
      <c r="AO93" s="27" t="s">
        <v>70</v>
      </c>
      <c r="AP93" s="14">
        <f t="shared" si="40"/>
        <v>925</v>
      </c>
      <c r="AQ93" s="27">
        <v>780</v>
      </c>
      <c r="AR93" s="27">
        <v>1070</v>
      </c>
      <c r="AS93" s="26"/>
      <c r="AT93" s="44" t="s">
        <v>380</v>
      </c>
      <c r="AU93" s="16" t="s">
        <v>49</v>
      </c>
      <c r="AV93" s="37">
        <v>2009</v>
      </c>
      <c r="AW93" s="16"/>
      <c r="AX93" s="37"/>
      <c r="AY93" s="16"/>
      <c r="AZ93" s="158"/>
      <c r="BA93" s="141" t="s">
        <v>382</v>
      </c>
      <c r="BB93" s="28" t="s">
        <v>633</v>
      </c>
    </row>
    <row r="94" spans="1:56" ht="70" x14ac:dyDescent="0.15">
      <c r="A94" s="33" t="s">
        <v>489</v>
      </c>
      <c r="B94" s="117" t="s">
        <v>490</v>
      </c>
      <c r="C94" s="38" t="s">
        <v>65</v>
      </c>
      <c r="D94" s="69"/>
      <c r="E94" s="69" t="s">
        <v>491</v>
      </c>
      <c r="F94" s="68">
        <v>100</v>
      </c>
      <c r="G94" s="70">
        <v>79</v>
      </c>
      <c r="H94" s="70">
        <v>18</v>
      </c>
      <c r="I94" s="68">
        <v>4</v>
      </c>
      <c r="J94" s="68">
        <v>53</v>
      </c>
      <c r="K94" s="71">
        <v>354.4</v>
      </c>
      <c r="L94" s="70">
        <v>16.100000000000001</v>
      </c>
      <c r="M94" s="70">
        <f t="shared" si="38"/>
        <v>16.100000000000001</v>
      </c>
      <c r="N94" s="70">
        <v>39.9</v>
      </c>
      <c r="O94" s="70">
        <v>14.7</v>
      </c>
      <c r="P94" s="72">
        <v>19.600000000000001</v>
      </c>
      <c r="Q94" s="73">
        <v>204.9</v>
      </c>
      <c r="R94" s="70">
        <v>7.8</v>
      </c>
      <c r="S94" s="70">
        <v>15.1</v>
      </c>
      <c r="T94" s="70">
        <f t="shared" si="39"/>
        <v>10.852649446103012</v>
      </c>
      <c r="U94" s="166">
        <v>0.8</v>
      </c>
      <c r="V94" s="166">
        <v>19.8</v>
      </c>
      <c r="W94" s="166">
        <v>21.2</v>
      </c>
      <c r="X94" s="166">
        <v>203.9</v>
      </c>
      <c r="Y94" s="166">
        <v>8</v>
      </c>
      <c r="Z94" s="166">
        <v>15.4</v>
      </c>
      <c r="AA94" s="166">
        <v>11.1</v>
      </c>
      <c r="AB94" s="68" t="s">
        <v>69</v>
      </c>
      <c r="AC94" s="68">
        <v>4</v>
      </c>
      <c r="AD94" s="74">
        <f t="shared" si="30"/>
        <v>1</v>
      </c>
      <c r="AE94" s="75">
        <f t="shared" si="31"/>
        <v>1</v>
      </c>
      <c r="AF94" s="75">
        <f t="shared" si="37"/>
        <v>1</v>
      </c>
      <c r="AG94" s="75">
        <f t="shared" si="33"/>
        <v>1</v>
      </c>
      <c r="AH94" s="66">
        <f t="shared" si="36"/>
        <v>1</v>
      </c>
      <c r="AI94" s="66">
        <v>1</v>
      </c>
      <c r="AJ94" s="66">
        <v>0</v>
      </c>
      <c r="AK94" s="2">
        <v>0</v>
      </c>
      <c r="AL94" s="66">
        <f>IF(OR(AB94="0or100",AB94=0,AB94=100),0,1)</f>
        <v>1</v>
      </c>
      <c r="AM94" s="2">
        <v>1</v>
      </c>
      <c r="AN94" s="6">
        <f t="shared" si="34"/>
        <v>5</v>
      </c>
      <c r="AO94" s="66" t="s">
        <v>70</v>
      </c>
      <c r="AP94" s="14">
        <f t="shared" si="40"/>
        <v>830.5</v>
      </c>
      <c r="AQ94" s="85">
        <v>811</v>
      </c>
      <c r="AR94" s="66">
        <v>850</v>
      </c>
      <c r="AS94" s="77" t="s">
        <v>492</v>
      </c>
      <c r="AT94" s="78" t="s">
        <v>490</v>
      </c>
      <c r="AU94" s="78" t="s">
        <v>493</v>
      </c>
      <c r="AV94" s="66">
        <v>2006</v>
      </c>
      <c r="AW94" s="78" t="s">
        <v>494</v>
      </c>
      <c r="AX94" s="66">
        <v>118</v>
      </c>
      <c r="AY94" s="79" t="s">
        <v>495</v>
      </c>
      <c r="AZ94" s="148" t="s">
        <v>496</v>
      </c>
      <c r="BA94" s="141"/>
      <c r="BB94" s="160" t="s">
        <v>607</v>
      </c>
      <c r="BC94" s="95"/>
    </row>
    <row r="95" spans="1:56" ht="70" x14ac:dyDescent="0.15">
      <c r="A95" s="33" t="s">
        <v>489</v>
      </c>
      <c r="B95" s="117" t="s">
        <v>497</v>
      </c>
      <c r="C95" s="38" t="s">
        <v>65</v>
      </c>
      <c r="D95" s="69"/>
      <c r="E95" s="69" t="s">
        <v>491</v>
      </c>
      <c r="F95" s="68">
        <v>100</v>
      </c>
      <c r="G95" s="70">
        <v>78.900000000000006</v>
      </c>
      <c r="H95" s="70">
        <v>18.2</v>
      </c>
      <c r="I95" s="68">
        <v>5</v>
      </c>
      <c r="J95" s="68">
        <v>107</v>
      </c>
      <c r="K95" s="71">
        <v>126.3</v>
      </c>
      <c r="L95" s="70">
        <v>14.7</v>
      </c>
      <c r="M95" s="70">
        <f t="shared" si="38"/>
        <v>14.7</v>
      </c>
      <c r="N95" s="70">
        <v>84.2</v>
      </c>
      <c r="O95" s="70">
        <v>8.4</v>
      </c>
      <c r="P95" s="72">
        <v>-1.1000000000000001</v>
      </c>
      <c r="Q95" s="73">
        <v>252.6</v>
      </c>
      <c r="R95" s="70">
        <v>4.4000000000000004</v>
      </c>
      <c r="S95" s="70">
        <v>8.6</v>
      </c>
      <c r="T95" s="70">
        <f t="shared" si="39"/>
        <v>6.1514225996918794</v>
      </c>
      <c r="U95" s="166">
        <v>0.8</v>
      </c>
      <c r="V95" s="166">
        <v>18.2</v>
      </c>
      <c r="W95" s="166">
        <v>2.7</v>
      </c>
      <c r="X95" s="166">
        <v>71</v>
      </c>
      <c r="Y95" s="166">
        <v>4.5</v>
      </c>
      <c r="Z95" s="166">
        <v>8.6999999999999993</v>
      </c>
      <c r="AA95" s="166">
        <v>6.3</v>
      </c>
      <c r="AB95" s="68" t="s">
        <v>69</v>
      </c>
      <c r="AC95" s="68">
        <v>4</v>
      </c>
      <c r="AD95" s="74">
        <f t="shared" si="30"/>
        <v>1</v>
      </c>
      <c r="AE95" s="75">
        <f t="shared" si="31"/>
        <v>1</v>
      </c>
      <c r="AF95" s="75">
        <f t="shared" si="37"/>
        <v>1</v>
      </c>
      <c r="AG95" s="75">
        <f t="shared" si="33"/>
        <v>1</v>
      </c>
      <c r="AH95" s="66">
        <f t="shared" si="36"/>
        <v>1</v>
      </c>
      <c r="AI95" s="66">
        <v>1</v>
      </c>
      <c r="AJ95" s="66">
        <v>0</v>
      </c>
      <c r="AK95" s="2">
        <v>0</v>
      </c>
      <c r="AL95" s="66">
        <f>IF(OR(AB95="0or100",AB95=0,AB95=100),0,1)</f>
        <v>1</v>
      </c>
      <c r="AM95" s="2">
        <v>1</v>
      </c>
      <c r="AN95" s="6">
        <f t="shared" si="34"/>
        <v>5</v>
      </c>
      <c r="AO95" s="66" t="s">
        <v>70</v>
      </c>
      <c r="AP95" s="14">
        <f t="shared" si="40"/>
        <v>800</v>
      </c>
      <c r="AQ95" s="85">
        <v>789</v>
      </c>
      <c r="AR95" s="85">
        <v>811</v>
      </c>
      <c r="AS95" s="77" t="s">
        <v>498</v>
      </c>
      <c r="AT95" s="78" t="s">
        <v>499</v>
      </c>
      <c r="AU95" s="78" t="s">
        <v>493</v>
      </c>
      <c r="AV95" s="66">
        <v>2006</v>
      </c>
      <c r="AW95" s="78" t="s">
        <v>494</v>
      </c>
      <c r="AX95" s="66">
        <v>118</v>
      </c>
      <c r="AY95" s="79" t="s">
        <v>495</v>
      </c>
      <c r="AZ95" s="148" t="s">
        <v>496</v>
      </c>
      <c r="BA95" s="126"/>
      <c r="BB95" s="160" t="s">
        <v>607</v>
      </c>
      <c r="BC95" s="95"/>
    </row>
    <row r="96" spans="1:56" ht="13" customHeight="1" x14ac:dyDescent="0.2">
      <c r="A96" s="47" t="s">
        <v>73</v>
      </c>
      <c r="B96" s="122" t="s">
        <v>616</v>
      </c>
      <c r="C96" s="38" t="s">
        <v>65</v>
      </c>
      <c r="D96" s="39" t="s">
        <v>253</v>
      </c>
      <c r="E96" s="39"/>
      <c r="F96" s="38">
        <v>0</v>
      </c>
      <c r="G96" s="40">
        <v>44.8</v>
      </c>
      <c r="H96" s="40">
        <v>248.7</v>
      </c>
      <c r="I96" s="38">
        <v>14</v>
      </c>
      <c r="J96" s="38">
        <v>228</v>
      </c>
      <c r="K96" s="5">
        <v>300.8</v>
      </c>
      <c r="L96" s="40">
        <v>-18.8</v>
      </c>
      <c r="M96" s="40">
        <f t="shared" si="38"/>
        <v>18.8</v>
      </c>
      <c r="N96" s="114">
        <v>1000</v>
      </c>
      <c r="O96" s="114">
        <v>0.1</v>
      </c>
      <c r="P96" s="110">
        <v>9.1</v>
      </c>
      <c r="Q96" s="30">
        <v>138.19999999999999</v>
      </c>
      <c r="R96" s="40">
        <v>12</v>
      </c>
      <c r="S96" s="40">
        <v>12</v>
      </c>
      <c r="T96" s="40">
        <v>12</v>
      </c>
      <c r="U96" s="101"/>
      <c r="V96" s="114"/>
      <c r="W96" s="110"/>
      <c r="X96" s="30"/>
      <c r="Y96" s="40"/>
      <c r="Z96" s="40"/>
      <c r="AA96" s="40"/>
      <c r="AB96" s="38" t="s">
        <v>148</v>
      </c>
      <c r="AC96" s="38">
        <v>4</v>
      </c>
      <c r="AD96" s="6">
        <f t="shared" si="30"/>
        <v>1</v>
      </c>
      <c r="AE96" s="7">
        <f t="shared" si="31"/>
        <v>1</v>
      </c>
      <c r="AF96" s="7">
        <f t="shared" si="37"/>
        <v>1</v>
      </c>
      <c r="AG96" s="7">
        <f t="shared" si="33"/>
        <v>1</v>
      </c>
      <c r="AH96" s="8">
        <f t="shared" si="36"/>
        <v>1</v>
      </c>
      <c r="AI96" s="8">
        <v>1</v>
      </c>
      <c r="AJ96" s="8">
        <v>0</v>
      </c>
      <c r="AK96" s="96">
        <v>1</v>
      </c>
      <c r="AL96" s="8">
        <v>0</v>
      </c>
      <c r="AM96" s="2">
        <v>0</v>
      </c>
      <c r="AN96" s="6">
        <f t="shared" si="34"/>
        <v>4</v>
      </c>
      <c r="AO96" s="37" t="s">
        <v>70</v>
      </c>
      <c r="AP96" s="14">
        <f t="shared" si="40"/>
        <v>778</v>
      </c>
      <c r="AQ96" s="38">
        <v>776</v>
      </c>
      <c r="AR96" s="34">
        <v>780</v>
      </c>
      <c r="AS96" s="33" t="s">
        <v>251</v>
      </c>
      <c r="AT96" s="44" t="s">
        <v>252</v>
      </c>
      <c r="AU96" s="16" t="s">
        <v>49</v>
      </c>
      <c r="AV96" s="37">
        <v>2009</v>
      </c>
      <c r="AW96" s="16"/>
      <c r="AX96" s="37"/>
      <c r="AY96" s="16"/>
      <c r="AZ96" s="158"/>
      <c r="BA96" s="142" t="s">
        <v>254</v>
      </c>
      <c r="BB96" s="28" t="s">
        <v>686</v>
      </c>
      <c r="BC96" s="131"/>
      <c r="BD96" s="31" t="s">
        <v>687</v>
      </c>
    </row>
    <row r="97" spans="1:56" ht="13" customHeight="1" x14ac:dyDescent="0.2">
      <c r="A97" s="47" t="s">
        <v>73</v>
      </c>
      <c r="B97" s="112" t="s">
        <v>255</v>
      </c>
      <c r="C97" s="23" t="s">
        <v>120</v>
      </c>
      <c r="D97" s="41"/>
      <c r="E97" s="41"/>
      <c r="F97" s="38">
        <v>100</v>
      </c>
      <c r="G97" s="5">
        <v>40.75</v>
      </c>
      <c r="H97" s="5">
        <v>250.7</v>
      </c>
      <c r="I97" s="23">
        <v>9</v>
      </c>
      <c r="J97" s="23">
        <v>80</v>
      </c>
      <c r="K97" s="5">
        <v>270.17</v>
      </c>
      <c r="L97" s="5">
        <v>1.97</v>
      </c>
      <c r="M97" s="5">
        <f t="shared" si="38"/>
        <v>1.97</v>
      </c>
      <c r="N97" s="5">
        <v>61.5</v>
      </c>
      <c r="O97" s="5">
        <v>6.62</v>
      </c>
      <c r="P97" s="30">
        <v>0.8</v>
      </c>
      <c r="Q97" s="30">
        <v>161.30000000000001</v>
      </c>
      <c r="R97" s="5">
        <f>2*O97/(1+3*(COS(RADIANS(L97)))^2)</f>
        <v>3.3129362320934184</v>
      </c>
      <c r="S97" s="5">
        <f>O97*SIN(RADIANS(DEGREES(ATAN(2/TAN(RADIANS(ABS(L97)))))))/COS(RADIANS(L97))</f>
        <v>6.6229355812144854</v>
      </c>
      <c r="T97" s="5">
        <f t="shared" si="39"/>
        <v>4.684160890685348</v>
      </c>
      <c r="U97" s="63">
        <v>0.6</v>
      </c>
      <c r="V97" s="63">
        <v>3.3</v>
      </c>
      <c r="W97" s="63">
        <v>1.2</v>
      </c>
      <c r="X97" s="63">
        <v>161.80000000000001</v>
      </c>
      <c r="Y97" s="63">
        <v>3.3</v>
      </c>
      <c r="Z97" s="63">
        <v>6.6</v>
      </c>
      <c r="AA97" s="63">
        <v>4.7</v>
      </c>
      <c r="AB97" s="23" t="s">
        <v>256</v>
      </c>
      <c r="AC97" s="23">
        <v>4</v>
      </c>
      <c r="AD97" s="6">
        <f t="shared" si="30"/>
        <v>1</v>
      </c>
      <c r="AE97" s="7">
        <f t="shared" si="31"/>
        <v>1</v>
      </c>
      <c r="AF97" s="7">
        <f t="shared" si="37"/>
        <v>1</v>
      </c>
      <c r="AG97" s="7">
        <f t="shared" si="33"/>
        <v>1</v>
      </c>
      <c r="AH97" s="8">
        <f t="shared" si="36"/>
        <v>1</v>
      </c>
      <c r="AI97" s="8">
        <v>1</v>
      </c>
      <c r="AJ97" s="8">
        <v>0</v>
      </c>
      <c r="AK97" s="8">
        <v>1</v>
      </c>
      <c r="AL97" s="8">
        <f>IF(OR(AB97="0or100",AB97=0,AB97=100),0,1)</f>
        <v>1</v>
      </c>
      <c r="AM97" s="2">
        <v>0</v>
      </c>
      <c r="AN97" s="6">
        <f t="shared" si="34"/>
        <v>5</v>
      </c>
      <c r="AO97" s="37" t="s">
        <v>8</v>
      </c>
      <c r="AP97" s="14">
        <v>760</v>
      </c>
      <c r="AQ97" s="23">
        <v>750</v>
      </c>
      <c r="AR97" s="34">
        <v>766</v>
      </c>
      <c r="AS97" s="33" t="s">
        <v>685</v>
      </c>
      <c r="AT97" s="41" t="s">
        <v>255</v>
      </c>
      <c r="AU97" s="31" t="s">
        <v>257</v>
      </c>
      <c r="AV97" s="8">
        <v>2006</v>
      </c>
      <c r="AW97" s="31" t="s">
        <v>1</v>
      </c>
      <c r="AX97" s="23">
        <v>147</v>
      </c>
      <c r="AY97" s="41" t="s">
        <v>258</v>
      </c>
      <c r="AZ97" s="146" t="s">
        <v>259</v>
      </c>
      <c r="BA97" s="126" t="s">
        <v>244</v>
      </c>
      <c r="BB97" s="31" t="s">
        <v>670</v>
      </c>
      <c r="BC97" s="131"/>
      <c r="BD97" s="31" t="s">
        <v>684</v>
      </c>
    </row>
    <row r="98" spans="1:56" ht="13" customHeight="1" x14ac:dyDescent="0.15">
      <c r="A98" s="33" t="s">
        <v>489</v>
      </c>
      <c r="B98" s="117" t="s">
        <v>500</v>
      </c>
      <c r="C98" s="38" t="s">
        <v>65</v>
      </c>
      <c r="D98" s="69"/>
      <c r="E98" s="69" t="s">
        <v>501</v>
      </c>
      <c r="F98" s="68">
        <v>100</v>
      </c>
      <c r="G98" s="70">
        <v>78.5</v>
      </c>
      <c r="H98" s="70">
        <v>18</v>
      </c>
      <c r="I98" s="68">
        <v>1</v>
      </c>
      <c r="J98" s="68">
        <v>18</v>
      </c>
      <c r="K98" s="71">
        <v>333.2</v>
      </c>
      <c r="L98" s="70">
        <v>29.4</v>
      </c>
      <c r="M98" s="70">
        <f t="shared" si="38"/>
        <v>29.4</v>
      </c>
      <c r="N98" s="70">
        <v>25.2</v>
      </c>
      <c r="O98" s="70">
        <v>7</v>
      </c>
      <c r="P98" s="72">
        <v>25.9</v>
      </c>
      <c r="Q98" s="73">
        <v>226.8</v>
      </c>
      <c r="R98" s="70">
        <v>4.3</v>
      </c>
      <c r="S98" s="70">
        <v>7.7</v>
      </c>
      <c r="T98" s="70">
        <f t="shared" si="39"/>
        <v>5.7541289523263206</v>
      </c>
      <c r="U98" s="166">
        <v>0.8</v>
      </c>
      <c r="V98" s="166">
        <v>35.200000000000003</v>
      </c>
      <c r="W98" s="166">
        <v>29.6</v>
      </c>
      <c r="X98" s="166">
        <v>227.3</v>
      </c>
      <c r="Y98" s="166">
        <v>4.7</v>
      </c>
      <c r="Z98" s="166">
        <v>8.1</v>
      </c>
      <c r="AA98" s="166">
        <v>6.1</v>
      </c>
      <c r="AB98" s="68" t="s">
        <v>148</v>
      </c>
      <c r="AC98" s="68">
        <v>4</v>
      </c>
      <c r="AD98" s="74">
        <f t="shared" si="30"/>
        <v>1</v>
      </c>
      <c r="AE98" s="75">
        <f t="shared" si="31"/>
        <v>0</v>
      </c>
      <c r="AF98" s="75">
        <f t="shared" si="37"/>
        <v>1</v>
      </c>
      <c r="AG98" s="75">
        <f t="shared" si="33"/>
        <v>1</v>
      </c>
      <c r="AH98" s="66">
        <f t="shared" si="36"/>
        <v>0</v>
      </c>
      <c r="AI98" s="66">
        <v>1</v>
      </c>
      <c r="AJ98" s="66">
        <v>1</v>
      </c>
      <c r="AK98" s="2">
        <v>0</v>
      </c>
      <c r="AL98" s="66">
        <f>IF(OR(AB98="0or100",AB98=0,AB98=100),0,1)</f>
        <v>0</v>
      </c>
      <c r="AM98" s="2">
        <v>1</v>
      </c>
      <c r="AN98" s="6">
        <f t="shared" si="34"/>
        <v>4</v>
      </c>
      <c r="AO98" s="66" t="s">
        <v>70</v>
      </c>
      <c r="AP98" s="14">
        <v>770</v>
      </c>
      <c r="AQ98" s="85">
        <v>730</v>
      </c>
      <c r="AR98" s="85">
        <v>789</v>
      </c>
      <c r="AS98" s="77" t="s">
        <v>502</v>
      </c>
      <c r="AT98" s="78" t="s">
        <v>500</v>
      </c>
      <c r="AU98" s="78" t="s">
        <v>493</v>
      </c>
      <c r="AV98" s="66">
        <v>2006</v>
      </c>
      <c r="AW98" s="78" t="s">
        <v>494</v>
      </c>
      <c r="AX98" s="66">
        <v>118</v>
      </c>
      <c r="AY98" s="79" t="s">
        <v>495</v>
      </c>
      <c r="AZ98" s="148" t="s">
        <v>496</v>
      </c>
      <c r="BA98" s="141"/>
      <c r="BB98" s="160" t="s">
        <v>607</v>
      </c>
      <c r="BC98" s="95"/>
      <c r="BD98" s="31" t="s">
        <v>684</v>
      </c>
    </row>
    <row r="99" spans="1:56" ht="13" customHeight="1" x14ac:dyDescent="0.15">
      <c r="A99" s="33" t="s">
        <v>73</v>
      </c>
      <c r="B99" s="117" t="s">
        <v>682</v>
      </c>
      <c r="C99" s="38"/>
      <c r="D99" s="69"/>
      <c r="E99" s="69"/>
      <c r="F99" s="68"/>
      <c r="G99" s="70">
        <v>36.1</v>
      </c>
      <c r="H99" s="70">
        <v>248.2</v>
      </c>
      <c r="I99" s="68"/>
      <c r="J99" s="68"/>
      <c r="K99" s="71"/>
      <c r="L99" s="70"/>
      <c r="M99" s="70"/>
      <c r="N99" s="70"/>
      <c r="O99" s="70"/>
      <c r="P99" s="72">
        <v>-0.5</v>
      </c>
      <c r="Q99" s="73">
        <v>166</v>
      </c>
      <c r="R99" s="70">
        <v>9.6999999999999993</v>
      </c>
      <c r="S99" s="70">
        <v>9.6999999999999993</v>
      </c>
      <c r="T99" s="70">
        <v>9.6999999999999993</v>
      </c>
      <c r="U99" s="166"/>
      <c r="V99" s="166"/>
      <c r="W99" s="166"/>
      <c r="X99" s="166"/>
      <c r="Y99" s="166"/>
      <c r="Z99" s="166"/>
      <c r="AA99" s="166"/>
      <c r="AB99" s="68"/>
      <c r="AC99" s="68"/>
      <c r="AD99" s="74"/>
      <c r="AE99" s="75"/>
      <c r="AF99" s="75"/>
      <c r="AG99" s="75"/>
      <c r="AH99" s="66"/>
      <c r="AI99" s="66"/>
      <c r="AJ99" s="66"/>
      <c r="AK99" s="2"/>
      <c r="AL99" s="66"/>
      <c r="AM99" s="2"/>
      <c r="AN99" s="6"/>
      <c r="AO99" s="66" t="s">
        <v>679</v>
      </c>
      <c r="AP99" s="14">
        <v>757</v>
      </c>
      <c r="AQ99" s="85">
        <f>757-7</f>
        <v>750</v>
      </c>
      <c r="AR99" s="85">
        <f>757+7</f>
        <v>764</v>
      </c>
      <c r="AS99" s="77"/>
      <c r="AT99" s="78"/>
      <c r="AU99" s="78"/>
      <c r="AV99" s="66"/>
      <c r="AW99" s="78"/>
      <c r="AX99" s="66"/>
      <c r="AY99" s="79"/>
      <c r="AZ99" s="148"/>
      <c r="BA99" s="141"/>
      <c r="BB99" s="160" t="s">
        <v>694</v>
      </c>
      <c r="BC99" s="95"/>
      <c r="BD99" s="31" t="s">
        <v>683</v>
      </c>
    </row>
    <row r="100" spans="1:56" ht="13" customHeight="1" x14ac:dyDescent="0.15">
      <c r="A100" s="33" t="s">
        <v>73</v>
      </c>
      <c r="B100" s="117" t="s">
        <v>678</v>
      </c>
      <c r="C100" s="38"/>
      <c r="D100" s="69"/>
      <c r="E100" s="69"/>
      <c r="F100" s="68"/>
      <c r="G100" s="70">
        <v>35.25</v>
      </c>
      <c r="H100" s="70">
        <v>248.5</v>
      </c>
      <c r="I100" s="68"/>
      <c r="J100" s="68"/>
      <c r="K100" s="71"/>
      <c r="L100" s="70"/>
      <c r="M100" s="70"/>
      <c r="N100" s="70"/>
      <c r="O100" s="70"/>
      <c r="P100" s="31">
        <v>14.2</v>
      </c>
      <c r="Q100" s="72">
        <v>163.80000000000001</v>
      </c>
      <c r="R100" s="70">
        <v>3.5</v>
      </c>
      <c r="S100" s="70">
        <v>3.5</v>
      </c>
      <c r="T100" s="70">
        <v>3.5</v>
      </c>
      <c r="U100" s="166"/>
      <c r="V100" s="166"/>
      <c r="W100" s="166"/>
      <c r="X100" s="166"/>
      <c r="Y100" s="166"/>
      <c r="Z100" s="166"/>
      <c r="AA100" s="166"/>
      <c r="AB100" s="68"/>
      <c r="AC100" s="68"/>
      <c r="AD100" s="74"/>
      <c r="AE100" s="75"/>
      <c r="AF100" s="75"/>
      <c r="AG100" s="75"/>
      <c r="AH100" s="66"/>
      <c r="AI100" s="66"/>
      <c r="AJ100" s="66"/>
      <c r="AK100" s="2"/>
      <c r="AL100" s="66"/>
      <c r="AM100" s="2"/>
      <c r="AN100" s="6"/>
      <c r="AO100" s="66" t="s">
        <v>679</v>
      </c>
      <c r="AP100" s="14">
        <v>751</v>
      </c>
      <c r="AQ100" s="85">
        <f>751-7.6</f>
        <v>743.4</v>
      </c>
      <c r="AR100" s="85">
        <f>751+7.6</f>
        <v>758.6</v>
      </c>
      <c r="AS100" s="169" t="s">
        <v>680</v>
      </c>
      <c r="AT100" s="78"/>
      <c r="AU100" s="78"/>
      <c r="AV100" s="66"/>
      <c r="AW100" s="78"/>
      <c r="AX100" s="66"/>
      <c r="AY100" s="79"/>
      <c r="AZ100" s="148"/>
      <c r="BA100" s="141"/>
      <c r="BB100" s="160" t="s">
        <v>681</v>
      </c>
      <c r="BC100" s="95"/>
      <c r="BD100" s="31" t="s">
        <v>683</v>
      </c>
    </row>
    <row r="101" spans="1:56" ht="13" customHeight="1" x14ac:dyDescent="0.2">
      <c r="A101" s="47" t="s">
        <v>73</v>
      </c>
      <c r="B101" s="117" t="s">
        <v>260</v>
      </c>
      <c r="C101" s="38" t="s">
        <v>65</v>
      </c>
      <c r="D101" s="39" t="s">
        <v>58</v>
      </c>
      <c r="E101" s="39" t="s">
        <v>28</v>
      </c>
      <c r="F101" s="38">
        <v>0</v>
      </c>
      <c r="G101" s="101">
        <v>73</v>
      </c>
      <c r="H101" s="101">
        <f>360-84.6</f>
        <v>275.39999999999998</v>
      </c>
      <c r="I101" s="38">
        <v>56</v>
      </c>
      <c r="J101" s="114">
        <v>1000</v>
      </c>
      <c r="K101" s="5">
        <v>289.10000000000002</v>
      </c>
      <c r="L101" s="40">
        <v>0.6</v>
      </c>
      <c r="M101" s="40">
        <f t="shared" ref="M101:M107" si="41">ABS(L101)</f>
        <v>0.6</v>
      </c>
      <c r="N101" s="114">
        <v>1000</v>
      </c>
      <c r="O101" s="114">
        <v>0.1</v>
      </c>
      <c r="P101" s="110">
        <v>6.7</v>
      </c>
      <c r="Q101" s="30">
        <v>162.1</v>
      </c>
      <c r="R101" s="40">
        <v>3</v>
      </c>
      <c r="S101" s="40">
        <v>3</v>
      </c>
      <c r="T101" s="40">
        <f t="shared" ref="T101:T107" si="42">SQRT(R101*S101)</f>
        <v>3</v>
      </c>
      <c r="U101" s="101">
        <v>1</v>
      </c>
      <c r="V101" s="40">
        <v>0.6</v>
      </c>
      <c r="W101" s="110">
        <v>6.7</v>
      </c>
      <c r="X101" s="30">
        <v>162.1</v>
      </c>
      <c r="Y101" s="40">
        <v>3</v>
      </c>
      <c r="Z101" s="40">
        <v>3</v>
      </c>
      <c r="AA101" s="40">
        <f t="shared" ref="AA101:AA107" si="43">SQRT(Y101*Z101)</f>
        <v>3</v>
      </c>
      <c r="AB101" s="38" t="s">
        <v>13</v>
      </c>
      <c r="AC101" s="38">
        <v>4</v>
      </c>
      <c r="AD101" s="6">
        <f t="shared" ref="AD101:AD107" si="44">IF(((AR101-AQ101)/2)&gt;MIN($AD$1,((AR101+AQ101)/2)*$AD$1/1000),0,1)</f>
        <v>1</v>
      </c>
      <c r="AE101" s="7">
        <f t="shared" ref="AE101:AE107" si="45">IF(J101&gt;$AE$1,1,0)</f>
        <v>1</v>
      </c>
      <c r="AF101" s="7">
        <f t="shared" ref="AF101:AF107" si="46">IF(N101&gt;($AF$1-0.001),1,0)</f>
        <v>1</v>
      </c>
      <c r="AG101" s="7">
        <f t="shared" ref="AG101:AG107" si="47">IF(O101&lt;($AG$1+0.001),1,0)</f>
        <v>1</v>
      </c>
      <c r="AH101" s="8">
        <f t="shared" ref="AH101:AH107" si="48">AE101*AF101*AG101</f>
        <v>1</v>
      </c>
      <c r="AI101" s="8">
        <v>1</v>
      </c>
      <c r="AJ101" s="8">
        <v>1</v>
      </c>
      <c r="AK101" s="96">
        <v>1</v>
      </c>
      <c r="AL101" s="8">
        <v>1</v>
      </c>
      <c r="AM101" s="2">
        <v>0</v>
      </c>
      <c r="AN101" s="6">
        <f t="shared" ref="AN101:AN107" si="49">AD101+SUM(AH101:AM101)</f>
        <v>6</v>
      </c>
      <c r="AO101" s="37" t="s">
        <v>27</v>
      </c>
      <c r="AP101" s="14">
        <v>718</v>
      </c>
      <c r="AQ101" s="38">
        <v>716</v>
      </c>
      <c r="AR101" s="34">
        <v>720</v>
      </c>
      <c r="AS101" s="33"/>
      <c r="AT101" s="25" t="s">
        <v>260</v>
      </c>
      <c r="AU101" s="25" t="s">
        <v>261</v>
      </c>
      <c r="AV101" s="8">
        <v>2009</v>
      </c>
      <c r="AW101" s="25" t="s">
        <v>93</v>
      </c>
      <c r="AX101" s="8">
        <v>46</v>
      </c>
      <c r="AY101" s="42" t="s">
        <v>262</v>
      </c>
      <c r="AZ101" s="154" t="s">
        <v>263</v>
      </c>
      <c r="BA101" s="126" t="s">
        <v>244</v>
      </c>
      <c r="BB101" s="28" t="s">
        <v>693</v>
      </c>
      <c r="BC101" s="131"/>
      <c r="BD101" s="31" t="s">
        <v>684</v>
      </c>
    </row>
    <row r="102" spans="1:56" ht="13" customHeight="1" x14ac:dyDescent="0.2">
      <c r="A102" s="47" t="s">
        <v>73</v>
      </c>
      <c r="B102" s="109" t="s">
        <v>264</v>
      </c>
      <c r="C102" s="38" t="s">
        <v>34</v>
      </c>
      <c r="D102" s="39" t="s">
        <v>265</v>
      </c>
      <c r="E102" s="39" t="s">
        <v>28</v>
      </c>
      <c r="F102" s="38">
        <v>0</v>
      </c>
      <c r="G102" s="40">
        <v>53.7</v>
      </c>
      <c r="H102" s="40">
        <v>303.3</v>
      </c>
      <c r="I102" s="38">
        <v>5</v>
      </c>
      <c r="J102" s="38">
        <v>92</v>
      </c>
      <c r="K102" s="5">
        <v>110.3</v>
      </c>
      <c r="L102" s="40">
        <v>56.8</v>
      </c>
      <c r="M102" s="40">
        <f t="shared" si="41"/>
        <v>56.8</v>
      </c>
      <c r="N102" s="114">
        <v>1000</v>
      </c>
      <c r="O102" s="40">
        <v>14.1</v>
      </c>
      <c r="P102" s="110">
        <v>19</v>
      </c>
      <c r="Q102" s="30">
        <v>355.3</v>
      </c>
      <c r="R102" s="40">
        <v>14.8</v>
      </c>
      <c r="S102" s="40">
        <v>20.5</v>
      </c>
      <c r="T102" s="40">
        <f t="shared" si="42"/>
        <v>17.418381095842403</v>
      </c>
      <c r="U102" s="101">
        <v>1</v>
      </c>
      <c r="V102" s="40">
        <v>56.8</v>
      </c>
      <c r="W102" s="110">
        <v>19</v>
      </c>
      <c r="X102" s="30">
        <v>355.3</v>
      </c>
      <c r="Y102" s="40">
        <v>14.8</v>
      </c>
      <c r="Z102" s="40">
        <v>20.5</v>
      </c>
      <c r="AA102" s="40">
        <f t="shared" si="43"/>
        <v>17.418381095842403</v>
      </c>
      <c r="AB102" s="38" t="s">
        <v>39</v>
      </c>
      <c r="AC102" s="38">
        <v>4</v>
      </c>
      <c r="AD102" s="6">
        <f t="shared" si="44"/>
        <v>1</v>
      </c>
      <c r="AE102" s="7">
        <f t="shared" si="45"/>
        <v>1</v>
      </c>
      <c r="AF102" s="7">
        <f t="shared" si="46"/>
        <v>1</v>
      </c>
      <c r="AG102" s="7">
        <f t="shared" si="47"/>
        <v>1</v>
      </c>
      <c r="AH102" s="8">
        <f t="shared" si="48"/>
        <v>1</v>
      </c>
      <c r="AI102" s="8">
        <v>1</v>
      </c>
      <c r="AJ102" s="8">
        <v>1</v>
      </c>
      <c r="AK102" s="96">
        <v>1</v>
      </c>
      <c r="AL102" s="8">
        <f t="shared" ref="AL102:AL107" si="50">IF(OR(AB102="0or100",AB102=0,AB102=100),0,1)</f>
        <v>1</v>
      </c>
      <c r="AM102" s="2">
        <v>1</v>
      </c>
      <c r="AN102" s="6">
        <f t="shared" si="49"/>
        <v>7</v>
      </c>
      <c r="AO102" s="37" t="s">
        <v>8</v>
      </c>
      <c r="AP102" s="14">
        <f t="shared" ref="AP102:AP107" si="51">AVERAGE(AQ102:AR102)</f>
        <v>615</v>
      </c>
      <c r="AQ102" s="38">
        <v>613</v>
      </c>
      <c r="AR102" s="34">
        <v>617</v>
      </c>
      <c r="AS102" s="33" t="s">
        <v>63</v>
      </c>
      <c r="AT102" s="47" t="s">
        <v>264</v>
      </c>
      <c r="AU102" s="25" t="s">
        <v>266</v>
      </c>
      <c r="AV102" s="8">
        <v>1992</v>
      </c>
      <c r="AW102" s="25" t="s">
        <v>93</v>
      </c>
      <c r="AX102" s="8" t="s">
        <v>267</v>
      </c>
      <c r="AY102" s="42" t="s">
        <v>268</v>
      </c>
      <c r="AZ102" s="153" t="s">
        <v>269</v>
      </c>
      <c r="BA102" s="142"/>
      <c r="BB102" s="28" t="s">
        <v>600</v>
      </c>
      <c r="BC102" s="131"/>
    </row>
    <row r="103" spans="1:56" ht="13" customHeight="1" x14ac:dyDescent="0.2">
      <c r="A103" s="47" t="s">
        <v>73</v>
      </c>
      <c r="B103" s="109" t="s">
        <v>270</v>
      </c>
      <c r="C103" s="38" t="s">
        <v>34</v>
      </c>
      <c r="D103" s="39" t="s">
        <v>271</v>
      </c>
      <c r="E103" s="39"/>
      <c r="F103" s="38">
        <v>0</v>
      </c>
      <c r="G103" s="34">
        <v>50.8</v>
      </c>
      <c r="H103" s="34">
        <v>301</v>
      </c>
      <c r="I103" s="38">
        <v>8</v>
      </c>
      <c r="J103" s="38">
        <v>87</v>
      </c>
      <c r="K103" s="5">
        <v>98.6</v>
      </c>
      <c r="L103" s="40">
        <v>78</v>
      </c>
      <c r="M103" s="40">
        <f t="shared" si="41"/>
        <v>78</v>
      </c>
      <c r="N103" s="5">
        <v>71.099999999999994</v>
      </c>
      <c r="O103" s="40">
        <v>6.8</v>
      </c>
      <c r="P103" s="110">
        <v>42.6</v>
      </c>
      <c r="Q103" s="30">
        <v>332.7</v>
      </c>
      <c r="R103" s="40">
        <v>11.7</v>
      </c>
      <c r="S103" s="40">
        <v>12.4</v>
      </c>
      <c r="T103" s="40">
        <f t="shared" si="42"/>
        <v>12.044915939930839</v>
      </c>
      <c r="U103" s="101">
        <v>1</v>
      </c>
      <c r="V103" s="40">
        <v>78</v>
      </c>
      <c r="W103" s="110">
        <v>42.6</v>
      </c>
      <c r="X103" s="30">
        <v>332.7</v>
      </c>
      <c r="Y103" s="40">
        <v>11.7</v>
      </c>
      <c r="Z103" s="40">
        <v>12.4</v>
      </c>
      <c r="AA103" s="40">
        <f t="shared" si="43"/>
        <v>12.044915939930839</v>
      </c>
      <c r="AB103" s="34" t="s">
        <v>33</v>
      </c>
      <c r="AC103" s="38">
        <v>4</v>
      </c>
      <c r="AD103" s="6">
        <f t="shared" si="44"/>
        <v>1</v>
      </c>
      <c r="AE103" s="7">
        <f t="shared" si="45"/>
        <v>1</v>
      </c>
      <c r="AF103" s="7">
        <f t="shared" si="46"/>
        <v>1</v>
      </c>
      <c r="AG103" s="7">
        <f t="shared" si="47"/>
        <v>1</v>
      </c>
      <c r="AH103" s="8">
        <f t="shared" si="48"/>
        <v>1</v>
      </c>
      <c r="AI103" s="8">
        <v>1</v>
      </c>
      <c r="AJ103" s="8">
        <v>0</v>
      </c>
      <c r="AK103" s="96">
        <v>0</v>
      </c>
      <c r="AL103" s="8">
        <f t="shared" si="50"/>
        <v>0</v>
      </c>
      <c r="AM103" s="2">
        <v>1</v>
      </c>
      <c r="AN103" s="6">
        <f t="shared" si="49"/>
        <v>4</v>
      </c>
      <c r="AO103" s="37" t="s">
        <v>8</v>
      </c>
      <c r="AP103" s="14">
        <f t="shared" si="51"/>
        <v>583</v>
      </c>
      <c r="AQ103" s="38">
        <v>581</v>
      </c>
      <c r="AR103" s="34">
        <v>585</v>
      </c>
      <c r="AS103" s="33" t="s">
        <v>272</v>
      </c>
      <c r="AT103" s="47" t="s">
        <v>273</v>
      </c>
      <c r="AU103" s="94" t="s">
        <v>274</v>
      </c>
      <c r="AV103" s="36">
        <v>2011</v>
      </c>
      <c r="AW103" s="25" t="s">
        <v>1</v>
      </c>
      <c r="AX103" s="36">
        <v>187</v>
      </c>
      <c r="AY103" s="89" t="s">
        <v>275</v>
      </c>
      <c r="AZ103" s="153" t="s">
        <v>276</v>
      </c>
      <c r="BA103" s="144"/>
      <c r="BB103" s="43" t="s">
        <v>601</v>
      </c>
      <c r="BC103" s="131"/>
    </row>
    <row r="104" spans="1:56" ht="13" customHeight="1" x14ac:dyDescent="0.2">
      <c r="A104" s="47" t="s">
        <v>73</v>
      </c>
      <c r="B104" s="109" t="s">
        <v>270</v>
      </c>
      <c r="C104" s="38" t="s">
        <v>34</v>
      </c>
      <c r="D104" s="39" t="s">
        <v>277</v>
      </c>
      <c r="E104" s="39"/>
      <c r="F104" s="38">
        <v>0</v>
      </c>
      <c r="G104" s="34">
        <v>50.8</v>
      </c>
      <c r="H104" s="34">
        <v>301</v>
      </c>
      <c r="I104" s="38">
        <v>6</v>
      </c>
      <c r="J104" s="38">
        <v>56</v>
      </c>
      <c r="K104" s="5">
        <v>163.1</v>
      </c>
      <c r="L104" s="40">
        <v>6</v>
      </c>
      <c r="M104" s="40">
        <f t="shared" si="41"/>
        <v>6</v>
      </c>
      <c r="N104" s="5">
        <v>10.5</v>
      </c>
      <c r="O104" s="40">
        <v>21.7</v>
      </c>
      <c r="P104" s="110">
        <v>-34.200000000000003</v>
      </c>
      <c r="Q104" s="30">
        <v>321.5</v>
      </c>
      <c r="R104" s="40">
        <v>10.9</v>
      </c>
      <c r="S104" s="40">
        <v>21.8</v>
      </c>
      <c r="T104" s="40">
        <f t="shared" si="42"/>
        <v>15.414927829866736</v>
      </c>
      <c r="U104" s="101">
        <v>1</v>
      </c>
      <c r="V104" s="40">
        <v>6</v>
      </c>
      <c r="W104" s="110">
        <v>-34.200000000000003</v>
      </c>
      <c r="X104" s="30">
        <v>321.5</v>
      </c>
      <c r="Y104" s="40">
        <v>10.9</v>
      </c>
      <c r="Z104" s="40">
        <v>21.8</v>
      </c>
      <c r="AA104" s="40">
        <f t="shared" si="43"/>
        <v>15.414927829866736</v>
      </c>
      <c r="AB104" s="38" t="s">
        <v>71</v>
      </c>
      <c r="AC104" s="38">
        <v>4</v>
      </c>
      <c r="AD104" s="6">
        <f t="shared" si="44"/>
        <v>1</v>
      </c>
      <c r="AE104" s="7">
        <f t="shared" si="45"/>
        <v>1</v>
      </c>
      <c r="AF104" s="7">
        <f t="shared" si="46"/>
        <v>1</v>
      </c>
      <c r="AG104" s="7">
        <f t="shared" si="47"/>
        <v>0</v>
      </c>
      <c r="AH104" s="8">
        <f t="shared" si="48"/>
        <v>0</v>
      </c>
      <c r="AI104" s="8">
        <v>1</v>
      </c>
      <c r="AJ104" s="8">
        <v>0</v>
      </c>
      <c r="AK104" s="96">
        <v>0</v>
      </c>
      <c r="AL104" s="8">
        <f t="shared" si="50"/>
        <v>1</v>
      </c>
      <c r="AM104" s="2">
        <v>0</v>
      </c>
      <c r="AN104" s="6">
        <f t="shared" si="49"/>
        <v>3</v>
      </c>
      <c r="AO104" s="37" t="s">
        <v>8</v>
      </c>
      <c r="AP104" s="14">
        <f t="shared" si="51"/>
        <v>583</v>
      </c>
      <c r="AQ104" s="38">
        <v>581</v>
      </c>
      <c r="AR104" s="34">
        <v>585</v>
      </c>
      <c r="AS104" s="33" t="s">
        <v>272</v>
      </c>
      <c r="AT104" s="47" t="s">
        <v>278</v>
      </c>
      <c r="AU104" s="94" t="s">
        <v>274</v>
      </c>
      <c r="AV104" s="36">
        <v>2011</v>
      </c>
      <c r="AW104" s="25" t="s">
        <v>1</v>
      </c>
      <c r="AX104" s="36">
        <v>187</v>
      </c>
      <c r="AY104" s="89" t="s">
        <v>275</v>
      </c>
      <c r="AZ104" s="153" t="s">
        <v>276</v>
      </c>
      <c r="BA104" s="141" t="s">
        <v>279</v>
      </c>
      <c r="BB104" s="43" t="s">
        <v>601</v>
      </c>
      <c r="BC104" s="131"/>
    </row>
    <row r="105" spans="1:56" ht="13" customHeight="1" x14ac:dyDescent="0.2">
      <c r="A105" s="47" t="s">
        <v>73</v>
      </c>
      <c r="B105" s="109" t="s">
        <v>280</v>
      </c>
      <c r="C105" s="38">
        <v>6458</v>
      </c>
      <c r="D105" s="39"/>
      <c r="E105" s="39" t="s">
        <v>54</v>
      </c>
      <c r="F105" s="38">
        <v>0</v>
      </c>
      <c r="G105" s="40">
        <v>46.200001</v>
      </c>
      <c r="H105" s="40">
        <v>280.59999800000003</v>
      </c>
      <c r="I105" s="38">
        <v>26</v>
      </c>
      <c r="J105" s="38">
        <v>205</v>
      </c>
      <c r="K105" s="5">
        <v>82.199996999999996</v>
      </c>
      <c r="L105" s="40">
        <v>82.699996999999996</v>
      </c>
      <c r="M105" s="40">
        <f t="shared" si="41"/>
        <v>82.699996999999996</v>
      </c>
      <c r="N105" s="40">
        <v>83</v>
      </c>
      <c r="O105" s="40">
        <v>3.1</v>
      </c>
      <c r="P105" s="110">
        <v>46.3</v>
      </c>
      <c r="Q105" s="30">
        <v>301.39999999999998</v>
      </c>
      <c r="R105" s="40">
        <v>5.9</v>
      </c>
      <c r="S105" s="40">
        <v>6.1</v>
      </c>
      <c r="T105" s="40">
        <f t="shared" si="42"/>
        <v>5.9991666087882578</v>
      </c>
      <c r="U105" s="101">
        <v>1</v>
      </c>
      <c r="V105" s="40">
        <v>82.699996999999996</v>
      </c>
      <c r="W105" s="110">
        <v>46.3</v>
      </c>
      <c r="X105" s="30">
        <v>301.39999999999998</v>
      </c>
      <c r="Y105" s="40">
        <v>5.9</v>
      </c>
      <c r="Z105" s="40">
        <v>6.1</v>
      </c>
      <c r="AA105" s="40">
        <f t="shared" si="43"/>
        <v>5.9991666087882578</v>
      </c>
      <c r="AB105" s="38" t="s">
        <v>36</v>
      </c>
      <c r="AC105" s="38">
        <v>4</v>
      </c>
      <c r="AD105" s="6">
        <f t="shared" si="44"/>
        <v>1</v>
      </c>
      <c r="AE105" s="7">
        <f t="shared" si="45"/>
        <v>1</v>
      </c>
      <c r="AF105" s="7">
        <f t="shared" si="46"/>
        <v>1</v>
      </c>
      <c r="AG105" s="7">
        <f t="shared" si="47"/>
        <v>1</v>
      </c>
      <c r="AH105" s="8">
        <f t="shared" si="48"/>
        <v>1</v>
      </c>
      <c r="AI105" s="8">
        <v>1</v>
      </c>
      <c r="AJ105" s="8">
        <v>1</v>
      </c>
      <c r="AK105" s="96">
        <v>0</v>
      </c>
      <c r="AL105" s="8">
        <f t="shared" si="50"/>
        <v>1</v>
      </c>
      <c r="AM105" s="2">
        <v>1</v>
      </c>
      <c r="AN105" s="6">
        <f t="shared" si="49"/>
        <v>6</v>
      </c>
      <c r="AO105" s="37" t="s">
        <v>70</v>
      </c>
      <c r="AP105" s="14">
        <f t="shared" si="51"/>
        <v>575</v>
      </c>
      <c r="AQ105" s="38">
        <v>570</v>
      </c>
      <c r="AR105" s="34">
        <v>580</v>
      </c>
      <c r="AS105" s="33" t="s">
        <v>63</v>
      </c>
      <c r="AT105" s="47" t="s">
        <v>280</v>
      </c>
      <c r="AU105" s="25" t="s">
        <v>281</v>
      </c>
      <c r="AV105" s="8">
        <v>1991</v>
      </c>
      <c r="AW105" s="25" t="s">
        <v>93</v>
      </c>
      <c r="AX105" s="8" t="s">
        <v>282</v>
      </c>
      <c r="AY105" s="42" t="s">
        <v>283</v>
      </c>
      <c r="AZ105" s="153" t="s">
        <v>284</v>
      </c>
      <c r="BA105" s="141"/>
      <c r="BB105" s="32" t="s">
        <v>602</v>
      </c>
      <c r="BC105" s="131"/>
    </row>
    <row r="106" spans="1:56" ht="13" customHeight="1" x14ac:dyDescent="0.2">
      <c r="A106" s="47" t="s">
        <v>73</v>
      </c>
      <c r="B106" s="109" t="s">
        <v>285</v>
      </c>
      <c r="C106" s="38">
        <v>7474</v>
      </c>
      <c r="D106" s="39" t="s">
        <v>55</v>
      </c>
      <c r="E106" s="39" t="s">
        <v>286</v>
      </c>
      <c r="F106" s="38">
        <v>100</v>
      </c>
      <c r="G106" s="40">
        <v>38.5</v>
      </c>
      <c r="H106" s="40">
        <v>281.800003</v>
      </c>
      <c r="I106" s="38">
        <v>6</v>
      </c>
      <c r="J106" s="38">
        <v>28</v>
      </c>
      <c r="K106" s="5">
        <v>68</v>
      </c>
      <c r="L106" s="40">
        <v>84</v>
      </c>
      <c r="M106" s="40">
        <f t="shared" si="41"/>
        <v>84</v>
      </c>
      <c r="N106" s="40">
        <v>59</v>
      </c>
      <c r="O106" s="40">
        <v>9</v>
      </c>
      <c r="P106" s="110">
        <v>42</v>
      </c>
      <c r="Q106" s="30">
        <v>296.7</v>
      </c>
      <c r="R106" s="40">
        <v>17.399999999999999</v>
      </c>
      <c r="S106" s="40">
        <v>17.700001</v>
      </c>
      <c r="T106" s="40">
        <f t="shared" si="42"/>
        <v>17.549359458396196</v>
      </c>
      <c r="U106" s="101">
        <v>1</v>
      </c>
      <c r="V106" s="40">
        <v>84</v>
      </c>
      <c r="W106" s="110">
        <v>42</v>
      </c>
      <c r="X106" s="30">
        <v>296.7</v>
      </c>
      <c r="Y106" s="40">
        <v>17.399999999999999</v>
      </c>
      <c r="Z106" s="40">
        <v>17.700001</v>
      </c>
      <c r="AA106" s="40">
        <f t="shared" si="43"/>
        <v>17.549359458396196</v>
      </c>
      <c r="AB106" s="38">
        <v>50</v>
      </c>
      <c r="AC106" s="38">
        <v>4</v>
      </c>
      <c r="AD106" s="6">
        <f t="shared" si="44"/>
        <v>1</v>
      </c>
      <c r="AE106" s="7">
        <f t="shared" si="45"/>
        <v>1</v>
      </c>
      <c r="AF106" s="7">
        <f t="shared" si="46"/>
        <v>1</v>
      </c>
      <c r="AG106" s="7">
        <f t="shared" si="47"/>
        <v>1</v>
      </c>
      <c r="AH106" s="8">
        <f t="shared" si="48"/>
        <v>1</v>
      </c>
      <c r="AI106" s="8">
        <v>1</v>
      </c>
      <c r="AJ106" s="8">
        <v>1</v>
      </c>
      <c r="AK106" s="96">
        <v>1</v>
      </c>
      <c r="AL106" s="8">
        <f t="shared" si="50"/>
        <v>1</v>
      </c>
      <c r="AM106" s="2">
        <v>1</v>
      </c>
      <c r="AN106" s="6">
        <f t="shared" si="49"/>
        <v>7</v>
      </c>
      <c r="AO106" s="37" t="s">
        <v>8</v>
      </c>
      <c r="AP106" s="14">
        <f t="shared" si="51"/>
        <v>572</v>
      </c>
      <c r="AQ106" s="38">
        <v>567</v>
      </c>
      <c r="AR106" s="38">
        <v>577</v>
      </c>
      <c r="AS106" s="31" t="s">
        <v>287</v>
      </c>
      <c r="AT106" s="47" t="s">
        <v>285</v>
      </c>
      <c r="AU106" s="25" t="s">
        <v>288</v>
      </c>
      <c r="AV106" s="8">
        <v>1994</v>
      </c>
      <c r="AW106" s="25" t="s">
        <v>32</v>
      </c>
      <c r="AX106" s="8" t="s">
        <v>289</v>
      </c>
      <c r="AY106" s="42" t="s">
        <v>290</v>
      </c>
      <c r="AZ106" s="153" t="s">
        <v>291</v>
      </c>
      <c r="BA106" s="141"/>
      <c r="BB106" s="32" t="s">
        <v>603</v>
      </c>
      <c r="BC106" s="131"/>
    </row>
    <row r="107" spans="1:56" ht="13" customHeight="1" x14ac:dyDescent="0.2">
      <c r="A107" s="47" t="s">
        <v>73</v>
      </c>
      <c r="B107" s="109" t="s">
        <v>656</v>
      </c>
      <c r="C107" s="38">
        <v>1752</v>
      </c>
      <c r="D107" s="39" t="s">
        <v>55</v>
      </c>
      <c r="E107" s="39" t="s">
        <v>41</v>
      </c>
      <c r="F107" s="38">
        <v>0</v>
      </c>
      <c r="G107" s="40">
        <v>50.200001</v>
      </c>
      <c r="H107" s="40">
        <v>293.5</v>
      </c>
      <c r="I107" s="38">
        <v>10</v>
      </c>
      <c r="J107" s="38">
        <v>51</v>
      </c>
      <c r="K107" s="5">
        <v>333</v>
      </c>
      <c r="L107" s="40">
        <v>-29</v>
      </c>
      <c r="M107" s="40">
        <f t="shared" si="41"/>
        <v>29</v>
      </c>
      <c r="N107" s="40">
        <v>34</v>
      </c>
      <c r="O107" s="40">
        <v>8</v>
      </c>
      <c r="P107" s="110">
        <v>-20</v>
      </c>
      <c r="Q107" s="30">
        <v>321</v>
      </c>
      <c r="R107" s="40">
        <v>5</v>
      </c>
      <c r="S107" s="40">
        <v>9</v>
      </c>
      <c r="T107" s="40">
        <f t="shared" si="42"/>
        <v>6.7082039324993694</v>
      </c>
      <c r="U107" s="101">
        <v>1</v>
      </c>
      <c r="V107" s="40">
        <v>-29</v>
      </c>
      <c r="W107" s="110">
        <v>-20</v>
      </c>
      <c r="X107" s="30">
        <v>321</v>
      </c>
      <c r="Y107" s="40">
        <v>5</v>
      </c>
      <c r="Z107" s="40">
        <v>9</v>
      </c>
      <c r="AA107" s="40">
        <f t="shared" si="43"/>
        <v>6.7082039324993694</v>
      </c>
      <c r="AB107" s="34" t="s">
        <v>33</v>
      </c>
      <c r="AC107" s="38">
        <v>4</v>
      </c>
      <c r="AD107" s="6">
        <f t="shared" si="44"/>
        <v>1</v>
      </c>
      <c r="AE107" s="7">
        <f t="shared" si="45"/>
        <v>1</v>
      </c>
      <c r="AF107" s="7">
        <f t="shared" si="46"/>
        <v>1</v>
      </c>
      <c r="AG107" s="7">
        <f t="shared" si="47"/>
        <v>1</v>
      </c>
      <c r="AH107" s="8">
        <f t="shared" si="48"/>
        <v>1</v>
      </c>
      <c r="AI107" s="8">
        <v>1</v>
      </c>
      <c r="AJ107" s="8">
        <v>1</v>
      </c>
      <c r="AK107" s="96">
        <v>1</v>
      </c>
      <c r="AL107" s="8">
        <f t="shared" si="50"/>
        <v>0</v>
      </c>
      <c r="AM107" s="2">
        <v>0</v>
      </c>
      <c r="AN107" s="6">
        <f t="shared" si="49"/>
        <v>5</v>
      </c>
      <c r="AO107" s="37" t="s">
        <v>8</v>
      </c>
      <c r="AP107" s="14">
        <f t="shared" si="51"/>
        <v>565</v>
      </c>
      <c r="AQ107" s="38">
        <v>561</v>
      </c>
      <c r="AR107" s="38">
        <v>569</v>
      </c>
      <c r="AS107" s="31" t="s">
        <v>63</v>
      </c>
      <c r="AT107" s="47" t="s">
        <v>292</v>
      </c>
      <c r="AU107" s="25" t="s">
        <v>293</v>
      </c>
      <c r="AV107" s="8">
        <v>1987</v>
      </c>
      <c r="AW107" s="25" t="s">
        <v>93</v>
      </c>
      <c r="AX107" s="8" t="s">
        <v>204</v>
      </c>
      <c r="AY107" s="42" t="s">
        <v>294</v>
      </c>
      <c r="AZ107" s="153" t="s">
        <v>295</v>
      </c>
      <c r="BA107" s="141" t="s">
        <v>279</v>
      </c>
      <c r="BB107" s="32" t="s">
        <v>659</v>
      </c>
      <c r="BC107" s="131"/>
    </row>
  </sheetData>
  <sortState xmlns:xlrd2="http://schemas.microsoft.com/office/spreadsheetml/2017/richdata2" ref="A2:BD108">
    <sortCondition descending="1" ref="AP2:AP108"/>
  </sortState>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2019-10-22T08:03:14Z</dcterms:modified>
</cp:coreProperties>
</file>