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3"/>
  <workbookPr date1904="1" showInkAnnotation="0" autoCompressPictures="0"/>
  <mc:AlternateContent xmlns:mc="http://schemas.openxmlformats.org/markup-compatibility/2006">
    <mc:Choice Requires="x15">
      <x15ac:absPath xmlns:x15ac="http://schemas.microsoft.com/office/spreadsheetml/2010/11/ac" url="/Users/superior/0000_Github/Laurentia_Paleogeography/Data/"/>
    </mc:Choice>
  </mc:AlternateContent>
  <xr:revisionPtr revIDLastSave="0" documentId="13_ncr:1_{81913D17-F499-6844-8FAD-9AC4A8248774}" xr6:coauthVersionLast="45" xr6:coauthVersionMax="45" xr10:uidLastSave="{00000000-0000-0000-0000-000000000000}"/>
  <bookViews>
    <workbookView xWindow="-100" yWindow="460" windowWidth="27820" windowHeight="16340" tabRatio="758" xr2:uid="{00000000-000D-0000-FFFF-FFFF00000000}"/>
  </bookViews>
  <sheets>
    <sheet name="Leirubakki-all" sheetId="1" r:id="rId1"/>
  </sheets>
  <definedNames>
    <definedName name="_xlnm.Database">'Leirubakki-all'!$C$1:$V$1</definedName>
    <definedName name="fenno98" localSheetId="0">'Leirubakki-all'!#REF!</definedName>
    <definedName name="fenno98_1" localSheetId="0">'Leirubakki-all'!#REF!</definedName>
    <definedName name="fenno98_2" localSheetId="0">'Leirubakki-all'!#REF!</definedName>
    <definedName name="fenno98_3" localSheetId="0">'Leirubakki-all'!#REF!</definedName>
    <definedName name="fenno98_4" localSheetId="0">'Leirubakki-all'!#REF!</definedName>
    <definedName name="_xlnm.Print_Area" localSheetId="0">'Leirubakki-all'!$AI$1:$AR$1</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AG54" i="1" l="1"/>
  <c r="X54" i="1"/>
  <c r="W54" i="1"/>
  <c r="AE54" i="1"/>
  <c r="T54" i="1"/>
  <c r="Z54" i="1"/>
  <c r="Y54" i="1"/>
  <c r="M54" i="1"/>
  <c r="Q29" i="1" l="1"/>
  <c r="Q32" i="1"/>
  <c r="AK19" i="1" l="1"/>
  <c r="AJ19" i="1"/>
  <c r="W19" i="1" s="1"/>
  <c r="AG19" i="1" s="1"/>
  <c r="Z19" i="1"/>
  <c r="Y19" i="1"/>
  <c r="X19" i="1"/>
  <c r="M19" i="1"/>
  <c r="W18" i="1"/>
  <c r="X18" i="1"/>
  <c r="Y18" i="1"/>
  <c r="Z18" i="1"/>
  <c r="M18" i="1"/>
  <c r="H18" i="1"/>
  <c r="AI17" i="1"/>
  <c r="W17" i="1"/>
  <c r="X17" i="1"/>
  <c r="Y17" i="1"/>
  <c r="Z17" i="1"/>
  <c r="AE17" i="1"/>
  <c r="R17" i="1"/>
  <c r="S17" i="1"/>
  <c r="M17" i="1"/>
  <c r="AI22" i="1"/>
  <c r="W22" i="1"/>
  <c r="X22" i="1"/>
  <c r="Y22" i="1"/>
  <c r="Z22" i="1"/>
  <c r="AE22" i="1"/>
  <c r="T22" i="1"/>
  <c r="M22" i="1"/>
  <c r="AI21" i="1"/>
  <c r="W21" i="1"/>
  <c r="X21" i="1"/>
  <c r="Y21" i="1"/>
  <c r="Z21" i="1"/>
  <c r="AA21" i="1" s="1"/>
  <c r="AE21" i="1"/>
  <c r="T21" i="1"/>
  <c r="M21" i="1"/>
  <c r="AI20" i="1"/>
  <c r="W20" i="1"/>
  <c r="X20" i="1"/>
  <c r="Y20" i="1"/>
  <c r="Z20" i="1"/>
  <c r="AE20" i="1"/>
  <c r="T20" i="1"/>
  <c r="M20" i="1"/>
  <c r="AI103" i="1"/>
  <c r="W103" i="1"/>
  <c r="X103" i="1"/>
  <c r="Y103" i="1"/>
  <c r="Z103" i="1"/>
  <c r="AA103" i="1" s="1"/>
  <c r="AE103" i="1"/>
  <c r="T103" i="1"/>
  <c r="M103" i="1"/>
  <c r="AI102" i="1"/>
  <c r="W102" i="1"/>
  <c r="X102" i="1"/>
  <c r="Y102" i="1"/>
  <c r="Z102" i="1"/>
  <c r="AE102" i="1"/>
  <c r="T102" i="1"/>
  <c r="M102" i="1"/>
  <c r="AI101" i="1"/>
  <c r="W101" i="1"/>
  <c r="X101" i="1"/>
  <c r="Y101" i="1"/>
  <c r="Z101" i="1"/>
  <c r="AA101" i="1" s="1"/>
  <c r="AE101" i="1"/>
  <c r="T101" i="1"/>
  <c r="M101" i="1"/>
  <c r="AI15" i="1"/>
  <c r="W15" i="1"/>
  <c r="X15" i="1"/>
  <c r="Y15" i="1"/>
  <c r="Z15" i="1"/>
  <c r="T15" i="1"/>
  <c r="M15" i="1"/>
  <c r="AI14" i="1"/>
  <c r="W14" i="1"/>
  <c r="X14" i="1"/>
  <c r="AA14" i="1" s="1"/>
  <c r="Y14" i="1"/>
  <c r="Z14" i="1"/>
  <c r="T14" i="1"/>
  <c r="M14" i="1"/>
  <c r="AI13" i="1"/>
  <c r="W13" i="1"/>
  <c r="X13" i="1"/>
  <c r="Y13" i="1"/>
  <c r="Z13" i="1"/>
  <c r="T13" i="1"/>
  <c r="M13" i="1"/>
  <c r="AI12" i="1"/>
  <c r="W12" i="1"/>
  <c r="X12" i="1"/>
  <c r="Y12" i="1"/>
  <c r="Z12" i="1"/>
  <c r="T12" i="1"/>
  <c r="M12" i="1"/>
  <c r="AI11" i="1"/>
  <c r="W11" i="1"/>
  <c r="X11" i="1"/>
  <c r="Y11" i="1"/>
  <c r="Z11" i="1"/>
  <c r="T11" i="1"/>
  <c r="M11" i="1"/>
  <c r="AI10" i="1"/>
  <c r="W10" i="1"/>
  <c r="X10" i="1"/>
  <c r="AA10" i="1" s="1"/>
  <c r="Y10" i="1"/>
  <c r="Z10" i="1"/>
  <c r="T10" i="1"/>
  <c r="M10" i="1"/>
  <c r="AI9" i="1"/>
  <c r="W9" i="1"/>
  <c r="X9" i="1"/>
  <c r="Y9" i="1"/>
  <c r="Z9" i="1"/>
  <c r="T9" i="1"/>
  <c r="M9" i="1"/>
  <c r="AI8" i="1"/>
  <c r="W8" i="1"/>
  <c r="X8" i="1"/>
  <c r="Y8" i="1"/>
  <c r="Z8" i="1"/>
  <c r="T8" i="1"/>
  <c r="M8" i="1"/>
  <c r="AI7" i="1"/>
  <c r="W7" i="1"/>
  <c r="X7" i="1"/>
  <c r="Y7" i="1"/>
  <c r="Z7" i="1"/>
  <c r="T7" i="1"/>
  <c r="M7" i="1"/>
  <c r="AI6" i="1"/>
  <c r="W6" i="1"/>
  <c r="X6" i="1"/>
  <c r="Y6" i="1"/>
  <c r="Z6" i="1"/>
  <c r="T6" i="1"/>
  <c r="M6" i="1"/>
  <c r="AI5" i="1"/>
  <c r="W5" i="1"/>
  <c r="X5" i="1"/>
  <c r="Y5" i="1"/>
  <c r="Z5" i="1"/>
  <c r="T5" i="1"/>
  <c r="M5" i="1"/>
  <c r="AI4" i="1"/>
  <c r="W4" i="1"/>
  <c r="X4" i="1"/>
  <c r="Y4" i="1"/>
  <c r="Z4" i="1"/>
  <c r="T4" i="1"/>
  <c r="M4" i="1"/>
  <c r="AI3" i="1"/>
  <c r="W3" i="1"/>
  <c r="X3" i="1"/>
  <c r="Y3" i="1"/>
  <c r="Z3" i="1"/>
  <c r="T3" i="1"/>
  <c r="M3" i="1"/>
  <c r="AI2" i="1"/>
  <c r="W2" i="1"/>
  <c r="X2" i="1"/>
  <c r="AA2" i="1" s="1"/>
  <c r="Y2" i="1"/>
  <c r="Z2" i="1"/>
  <c r="AE2" i="1"/>
  <c r="T2" i="1"/>
  <c r="M2" i="1"/>
  <c r="AI16" i="1"/>
  <c r="W16" i="1"/>
  <c r="X16" i="1"/>
  <c r="Y16" i="1"/>
  <c r="Z16" i="1"/>
  <c r="AE16" i="1"/>
  <c r="T16" i="1"/>
  <c r="M16" i="1"/>
  <c r="AI37" i="1"/>
  <c r="W37" i="1"/>
  <c r="X37" i="1"/>
  <c r="AA37" i="1" s="1"/>
  <c r="Y37" i="1"/>
  <c r="Z37" i="1"/>
  <c r="AE37" i="1"/>
  <c r="T37" i="1"/>
  <c r="M37" i="1"/>
  <c r="AI36" i="1"/>
  <c r="W36" i="1"/>
  <c r="X36" i="1"/>
  <c r="Y36" i="1"/>
  <c r="Z36" i="1"/>
  <c r="AE36" i="1"/>
  <c r="T36" i="1"/>
  <c r="M36" i="1"/>
  <c r="AI35" i="1"/>
  <c r="W35" i="1"/>
  <c r="X35" i="1"/>
  <c r="Y35" i="1"/>
  <c r="Z35" i="1"/>
  <c r="AE35" i="1"/>
  <c r="T35" i="1"/>
  <c r="M35" i="1"/>
  <c r="AI34" i="1"/>
  <c r="W34" i="1"/>
  <c r="X34" i="1"/>
  <c r="Y34" i="1"/>
  <c r="Z34" i="1"/>
  <c r="AE34" i="1"/>
  <c r="T34" i="1"/>
  <c r="M34" i="1"/>
  <c r="AI33" i="1"/>
  <c r="W33" i="1"/>
  <c r="X33" i="1"/>
  <c r="Y33" i="1"/>
  <c r="Z33" i="1"/>
  <c r="AE33" i="1"/>
  <c r="T33" i="1"/>
  <c r="M33" i="1"/>
  <c r="W32" i="1"/>
  <c r="X32" i="1"/>
  <c r="Y32" i="1"/>
  <c r="Z32" i="1"/>
  <c r="AE32" i="1"/>
  <c r="AI31" i="1"/>
  <c r="W31" i="1"/>
  <c r="X31" i="1"/>
  <c r="Y31" i="1"/>
  <c r="Z31" i="1"/>
  <c r="AE31" i="1"/>
  <c r="T31" i="1"/>
  <c r="M31" i="1"/>
  <c r="AI30" i="1"/>
  <c r="W30" i="1"/>
  <c r="X30" i="1"/>
  <c r="Y30" i="1"/>
  <c r="Z30" i="1"/>
  <c r="AE30" i="1"/>
  <c r="T30" i="1"/>
  <c r="M30" i="1"/>
  <c r="W29" i="1"/>
  <c r="AG29" i="1" s="1"/>
  <c r="Z29" i="1"/>
  <c r="Y29" i="1"/>
  <c r="X29" i="1"/>
  <c r="AI28" i="1"/>
  <c r="W28" i="1"/>
  <c r="X28" i="1"/>
  <c r="Y28" i="1"/>
  <c r="Z28" i="1"/>
  <c r="T28" i="1"/>
  <c r="M28" i="1"/>
  <c r="AI27" i="1"/>
  <c r="W27" i="1"/>
  <c r="X27" i="1"/>
  <c r="Y27" i="1"/>
  <c r="Z27" i="1"/>
  <c r="T27" i="1"/>
  <c r="M27" i="1"/>
  <c r="AI26" i="1"/>
  <c r="W26" i="1"/>
  <c r="X26" i="1"/>
  <c r="Y26" i="1"/>
  <c r="Z26" i="1"/>
  <c r="T26" i="1"/>
  <c r="M26" i="1"/>
  <c r="AI100" i="1"/>
  <c r="W100" i="1"/>
  <c r="X100" i="1"/>
  <c r="Y100" i="1"/>
  <c r="Z100" i="1"/>
  <c r="T100" i="1"/>
  <c r="M100" i="1"/>
  <c r="AI99" i="1"/>
  <c r="W99" i="1"/>
  <c r="X99" i="1"/>
  <c r="Y99" i="1"/>
  <c r="Z99" i="1"/>
  <c r="T99" i="1"/>
  <c r="M99" i="1"/>
  <c r="AI25" i="1"/>
  <c r="W25" i="1"/>
  <c r="X25" i="1"/>
  <c r="Y25" i="1"/>
  <c r="Z25" i="1"/>
  <c r="AE25" i="1"/>
  <c r="T25" i="1"/>
  <c r="M25" i="1"/>
  <c r="AI24" i="1"/>
  <c r="W24" i="1"/>
  <c r="X24" i="1"/>
  <c r="Y24" i="1"/>
  <c r="Z24" i="1"/>
  <c r="AE24" i="1"/>
  <c r="T24" i="1"/>
  <c r="M24" i="1"/>
  <c r="AI23" i="1"/>
  <c r="W23" i="1"/>
  <c r="X23" i="1"/>
  <c r="Y23" i="1"/>
  <c r="Z23" i="1"/>
  <c r="AE23" i="1"/>
  <c r="T23" i="1"/>
  <c r="M23" i="1"/>
  <c r="AI98" i="1"/>
  <c r="W98" i="1"/>
  <c r="X98" i="1"/>
  <c r="Y98" i="1"/>
  <c r="Z98" i="1"/>
  <c r="T98" i="1"/>
  <c r="M98" i="1"/>
  <c r="AI97" i="1"/>
  <c r="W97" i="1"/>
  <c r="X97" i="1"/>
  <c r="Y97" i="1"/>
  <c r="Z97" i="1"/>
  <c r="T97" i="1"/>
  <c r="M97" i="1"/>
  <c r="AI96" i="1"/>
  <c r="W96" i="1"/>
  <c r="X96" i="1"/>
  <c r="Y96" i="1"/>
  <c r="Z96" i="1"/>
  <c r="T96" i="1"/>
  <c r="M96" i="1"/>
  <c r="AI95" i="1"/>
  <c r="W95" i="1"/>
  <c r="X95" i="1"/>
  <c r="Y95" i="1"/>
  <c r="Z95" i="1"/>
  <c r="T95" i="1"/>
  <c r="M95" i="1"/>
  <c r="AI94" i="1"/>
  <c r="W94" i="1"/>
  <c r="X94" i="1"/>
  <c r="Y94" i="1"/>
  <c r="Z94" i="1"/>
  <c r="T94" i="1"/>
  <c r="M94" i="1"/>
  <c r="AI93" i="1"/>
  <c r="W93" i="1"/>
  <c r="X93" i="1"/>
  <c r="Y93" i="1"/>
  <c r="Z93" i="1"/>
  <c r="T93" i="1"/>
  <c r="M93" i="1"/>
  <c r="AI92" i="1"/>
  <c r="W92" i="1"/>
  <c r="X92" i="1"/>
  <c r="Y92" i="1"/>
  <c r="Z92" i="1"/>
  <c r="T92" i="1"/>
  <c r="M92" i="1"/>
  <c r="AI91" i="1"/>
  <c r="W91" i="1"/>
  <c r="X91" i="1"/>
  <c r="Y91" i="1"/>
  <c r="Z91" i="1"/>
  <c r="T91" i="1"/>
  <c r="M91" i="1"/>
  <c r="AI90" i="1"/>
  <c r="W90" i="1"/>
  <c r="X90" i="1"/>
  <c r="Y90" i="1"/>
  <c r="Z90" i="1"/>
  <c r="T90" i="1"/>
  <c r="M90" i="1"/>
  <c r="AI89" i="1"/>
  <c r="W89" i="1"/>
  <c r="X89" i="1"/>
  <c r="Y89" i="1"/>
  <c r="Z89" i="1"/>
  <c r="T89" i="1"/>
  <c r="M89" i="1"/>
  <c r="AI88" i="1"/>
  <c r="W88" i="1"/>
  <c r="X88" i="1"/>
  <c r="Y88" i="1"/>
  <c r="Z88" i="1"/>
  <c r="T88" i="1"/>
  <c r="M88" i="1"/>
  <c r="AI87" i="1"/>
  <c r="W87" i="1"/>
  <c r="X87" i="1"/>
  <c r="Y87" i="1"/>
  <c r="Z87" i="1"/>
  <c r="T87" i="1"/>
  <c r="M87" i="1"/>
  <c r="H87" i="1"/>
  <c r="AI86" i="1"/>
  <c r="W86" i="1"/>
  <c r="X86" i="1"/>
  <c r="Y86" i="1"/>
  <c r="Z86" i="1"/>
  <c r="T86" i="1"/>
  <c r="M86" i="1"/>
  <c r="AI85" i="1"/>
  <c r="W85" i="1"/>
  <c r="X85" i="1"/>
  <c r="Y85" i="1"/>
  <c r="Z85" i="1"/>
  <c r="T85" i="1"/>
  <c r="M85" i="1"/>
  <c r="H85" i="1"/>
  <c r="AI84" i="1"/>
  <c r="W84" i="1"/>
  <c r="X84" i="1"/>
  <c r="Y84" i="1"/>
  <c r="Z84" i="1"/>
  <c r="AE84" i="1"/>
  <c r="T84" i="1"/>
  <c r="M84" i="1"/>
  <c r="AI83" i="1"/>
  <c r="W83" i="1"/>
  <c r="X83" i="1"/>
  <c r="Y83" i="1"/>
  <c r="Z83" i="1"/>
  <c r="AE83" i="1"/>
  <c r="T83" i="1"/>
  <c r="M83" i="1"/>
  <c r="AI82" i="1"/>
  <c r="W82" i="1"/>
  <c r="X82" i="1"/>
  <c r="Y82" i="1"/>
  <c r="Z82" i="1"/>
  <c r="AE82" i="1"/>
  <c r="T82" i="1"/>
  <c r="M82" i="1"/>
  <c r="AI81" i="1"/>
  <c r="W81" i="1"/>
  <c r="X81" i="1"/>
  <c r="Y81" i="1"/>
  <c r="Z81" i="1"/>
  <c r="AE81" i="1"/>
  <c r="T81" i="1"/>
  <c r="M81" i="1"/>
  <c r="AI80" i="1"/>
  <c r="W80" i="1"/>
  <c r="X80" i="1"/>
  <c r="Y80" i="1"/>
  <c r="Z80" i="1"/>
  <c r="AE80" i="1"/>
  <c r="T80" i="1"/>
  <c r="M80" i="1"/>
  <c r="AI79" i="1"/>
  <c r="W79" i="1"/>
  <c r="X79" i="1"/>
  <c r="Y79" i="1"/>
  <c r="Z79" i="1"/>
  <c r="AE79" i="1"/>
  <c r="T79" i="1"/>
  <c r="M79" i="1"/>
  <c r="AI78" i="1"/>
  <c r="W78" i="1"/>
  <c r="X78" i="1"/>
  <c r="Y78" i="1"/>
  <c r="Z78" i="1"/>
  <c r="T78" i="1"/>
  <c r="M78" i="1"/>
  <c r="H78" i="1"/>
  <c r="AI77" i="1"/>
  <c r="W77" i="1"/>
  <c r="X77" i="1"/>
  <c r="Y77" i="1"/>
  <c r="Z77" i="1"/>
  <c r="AE77" i="1"/>
  <c r="R77" i="1"/>
  <c r="S77" i="1"/>
  <c r="M77" i="1"/>
  <c r="AI76" i="1"/>
  <c r="W76" i="1"/>
  <c r="X76" i="1"/>
  <c r="Y76" i="1"/>
  <c r="Z76" i="1"/>
  <c r="T76" i="1"/>
  <c r="M76" i="1"/>
  <c r="AI75" i="1"/>
  <c r="W75" i="1"/>
  <c r="X75" i="1"/>
  <c r="Y75" i="1"/>
  <c r="Z75" i="1"/>
  <c r="AE75" i="1"/>
  <c r="T75" i="1"/>
  <c r="M75" i="1"/>
  <c r="AI74" i="1"/>
  <c r="W74" i="1"/>
  <c r="X74" i="1"/>
  <c r="Y74" i="1"/>
  <c r="Z74" i="1"/>
  <c r="AE74" i="1"/>
  <c r="T74" i="1"/>
  <c r="M74" i="1"/>
  <c r="W73" i="1"/>
  <c r="X73" i="1"/>
  <c r="Y73" i="1"/>
  <c r="Z73" i="1"/>
  <c r="AE73" i="1"/>
  <c r="T73" i="1"/>
  <c r="M73" i="1"/>
  <c r="W72" i="1"/>
  <c r="X72" i="1"/>
  <c r="Y72" i="1"/>
  <c r="Z72" i="1"/>
  <c r="AE72" i="1"/>
  <c r="T72" i="1"/>
  <c r="M72" i="1"/>
  <c r="W71" i="1"/>
  <c r="X71" i="1"/>
  <c r="Y71" i="1"/>
  <c r="Z71" i="1"/>
  <c r="M71" i="1"/>
  <c r="W70" i="1"/>
  <c r="X70" i="1"/>
  <c r="Y70" i="1"/>
  <c r="Z70" i="1"/>
  <c r="M70" i="1"/>
  <c r="W69" i="1"/>
  <c r="X69" i="1"/>
  <c r="Y69" i="1"/>
  <c r="Z69" i="1"/>
  <c r="AE69" i="1"/>
  <c r="T69" i="1"/>
  <c r="M69" i="1"/>
  <c r="AI68" i="1"/>
  <c r="W68" i="1"/>
  <c r="X68" i="1"/>
  <c r="Y68" i="1"/>
  <c r="Z68" i="1"/>
  <c r="AE68" i="1"/>
  <c r="T68" i="1"/>
  <c r="AI67" i="1"/>
  <c r="W67" i="1"/>
  <c r="X67" i="1"/>
  <c r="Y67" i="1"/>
  <c r="Z67" i="1"/>
  <c r="AE67" i="1"/>
  <c r="T67" i="1"/>
  <c r="M67" i="1"/>
  <c r="AI66" i="1"/>
  <c r="W66" i="1"/>
  <c r="X66" i="1"/>
  <c r="Y66" i="1"/>
  <c r="Z66" i="1"/>
  <c r="AE66" i="1"/>
  <c r="M66" i="1"/>
  <c r="AI65" i="1"/>
  <c r="W65" i="1"/>
  <c r="X65" i="1"/>
  <c r="Y65" i="1"/>
  <c r="Z65" i="1"/>
  <c r="AE65" i="1"/>
  <c r="T65" i="1"/>
  <c r="M65" i="1"/>
  <c r="AI64" i="1"/>
  <c r="W64" i="1"/>
  <c r="X64" i="1"/>
  <c r="Y64" i="1"/>
  <c r="Z64" i="1"/>
  <c r="M64" i="1"/>
  <c r="W63" i="1"/>
  <c r="X63" i="1"/>
  <c r="Y63" i="1"/>
  <c r="Z63" i="1"/>
  <c r="T63" i="1"/>
  <c r="M63" i="1"/>
  <c r="AI62" i="1"/>
  <c r="W62" i="1"/>
  <c r="X62" i="1"/>
  <c r="Y62" i="1"/>
  <c r="Z62" i="1"/>
  <c r="AE62" i="1"/>
  <c r="T62" i="1"/>
  <c r="M62" i="1"/>
  <c r="W61" i="1"/>
  <c r="X61" i="1"/>
  <c r="Y61" i="1"/>
  <c r="Z61" i="1"/>
  <c r="T61" i="1"/>
  <c r="M61" i="1"/>
  <c r="AI60" i="1"/>
  <c r="W60" i="1"/>
  <c r="X60" i="1"/>
  <c r="Z60" i="1"/>
  <c r="T60" i="1"/>
  <c r="M60" i="1"/>
  <c r="AI59" i="1"/>
  <c r="W59" i="1"/>
  <c r="X59" i="1"/>
  <c r="Y59" i="1"/>
  <c r="Z59" i="1"/>
  <c r="T59" i="1"/>
  <c r="M59" i="1"/>
  <c r="W58" i="1"/>
  <c r="X58" i="1"/>
  <c r="Y58" i="1"/>
  <c r="Z58" i="1"/>
  <c r="T58" i="1"/>
  <c r="M58" i="1"/>
  <c r="AI57" i="1"/>
  <c r="W57" i="1"/>
  <c r="X57" i="1"/>
  <c r="Y57" i="1"/>
  <c r="Z57" i="1"/>
  <c r="T57" i="1"/>
  <c r="M57" i="1"/>
  <c r="W56" i="1"/>
  <c r="X56" i="1"/>
  <c r="Y56" i="1"/>
  <c r="Z56" i="1"/>
  <c r="AE56" i="1"/>
  <c r="T56" i="1"/>
  <c r="M56" i="1"/>
  <c r="AI55" i="1"/>
  <c r="W55" i="1"/>
  <c r="X55" i="1"/>
  <c r="Y55" i="1"/>
  <c r="Z55" i="1"/>
  <c r="AE55" i="1"/>
  <c r="T55" i="1"/>
  <c r="M55" i="1"/>
  <c r="AI53" i="1"/>
  <c r="W53" i="1"/>
  <c r="X53" i="1"/>
  <c r="Y53" i="1"/>
  <c r="Z53" i="1"/>
  <c r="AE53" i="1"/>
  <c r="T53" i="1"/>
  <c r="M53" i="1"/>
  <c r="AI52" i="1"/>
  <c r="W52" i="1"/>
  <c r="X52" i="1"/>
  <c r="Y52" i="1"/>
  <c r="Z52" i="1"/>
  <c r="AE52" i="1"/>
  <c r="T52" i="1"/>
  <c r="M52" i="1"/>
  <c r="AI51" i="1"/>
  <c r="W51" i="1"/>
  <c r="X51" i="1"/>
  <c r="Y51" i="1"/>
  <c r="Z51" i="1"/>
  <c r="AE51" i="1"/>
  <c r="T51" i="1"/>
  <c r="M51" i="1"/>
  <c r="AI50" i="1"/>
  <c r="W50" i="1"/>
  <c r="X50" i="1"/>
  <c r="Y50" i="1"/>
  <c r="Z50" i="1"/>
  <c r="AE50" i="1"/>
  <c r="T50" i="1"/>
  <c r="M50" i="1"/>
  <c r="AI49" i="1"/>
  <c r="W49" i="1"/>
  <c r="X49" i="1"/>
  <c r="Y49" i="1"/>
  <c r="Z49" i="1"/>
  <c r="AE49" i="1"/>
  <c r="T49" i="1"/>
  <c r="M49" i="1"/>
  <c r="AI48" i="1"/>
  <c r="W48" i="1"/>
  <c r="X48" i="1"/>
  <c r="Y48" i="1"/>
  <c r="Z48" i="1"/>
  <c r="AE48" i="1"/>
  <c r="T48" i="1"/>
  <c r="M48" i="1"/>
  <c r="AI47" i="1"/>
  <c r="W47" i="1"/>
  <c r="X47" i="1"/>
  <c r="Y47" i="1"/>
  <c r="Z47" i="1"/>
  <c r="AE47" i="1"/>
  <c r="T47" i="1"/>
  <c r="M47" i="1"/>
  <c r="AI46" i="1"/>
  <c r="W46" i="1"/>
  <c r="X46" i="1"/>
  <c r="Y46" i="1"/>
  <c r="Z46" i="1"/>
  <c r="AE46" i="1"/>
  <c r="T46" i="1"/>
  <c r="M46" i="1"/>
  <c r="AK45" i="1"/>
  <c r="AJ45" i="1"/>
  <c r="W45" i="1" s="1"/>
  <c r="X45" i="1"/>
  <c r="Y45" i="1"/>
  <c r="Z45" i="1"/>
  <c r="AE45" i="1"/>
  <c r="R45" i="1"/>
  <c r="S45" i="1"/>
  <c r="M45" i="1"/>
  <c r="AI44" i="1"/>
  <c r="W44" i="1"/>
  <c r="X44" i="1"/>
  <c r="Y44" i="1"/>
  <c r="Z44" i="1"/>
  <c r="AE44" i="1"/>
  <c r="T44" i="1"/>
  <c r="M44" i="1"/>
  <c r="AI43" i="1"/>
  <c r="W43" i="1"/>
  <c r="X43" i="1"/>
  <c r="Y43" i="1"/>
  <c r="Z43" i="1"/>
  <c r="AE43" i="1"/>
  <c r="T43" i="1"/>
  <c r="M43" i="1"/>
  <c r="AI42" i="1"/>
  <c r="W42" i="1"/>
  <c r="X42" i="1"/>
  <c r="Y42" i="1"/>
  <c r="Z42" i="1"/>
  <c r="AE42" i="1"/>
  <c r="T42" i="1"/>
  <c r="M42" i="1"/>
  <c r="AI41" i="1"/>
  <c r="W41" i="1"/>
  <c r="X41" i="1"/>
  <c r="Y41" i="1"/>
  <c r="Z41" i="1"/>
  <c r="AE41" i="1"/>
  <c r="T41" i="1"/>
  <c r="M41" i="1"/>
  <c r="AI40" i="1"/>
  <c r="W40" i="1"/>
  <c r="X40" i="1"/>
  <c r="Y40" i="1"/>
  <c r="Z40" i="1"/>
  <c r="AE40" i="1"/>
  <c r="T40" i="1"/>
  <c r="M40" i="1"/>
  <c r="AI39" i="1"/>
  <c r="W39" i="1"/>
  <c r="X39" i="1"/>
  <c r="Y39" i="1"/>
  <c r="Z39" i="1"/>
  <c r="AE39" i="1"/>
  <c r="T39" i="1"/>
  <c r="M39" i="1"/>
  <c r="AI38" i="1"/>
  <c r="W38" i="1"/>
  <c r="X38" i="1"/>
  <c r="Y38" i="1"/>
  <c r="Z38" i="1"/>
  <c r="AE38" i="1"/>
  <c r="T38" i="1"/>
  <c r="M38" i="1"/>
  <c r="AA52" i="1" l="1"/>
  <c r="AA78" i="1"/>
  <c r="AA31" i="1"/>
  <c r="AA95" i="1"/>
  <c r="AA80" i="1"/>
  <c r="AA82" i="1"/>
  <c r="AA26" i="1"/>
  <c r="AG26" i="1" s="1"/>
  <c r="AA91" i="1"/>
  <c r="AG91" i="1" s="1"/>
  <c r="AA40" i="1"/>
  <c r="AG40" i="1" s="1"/>
  <c r="AA42" i="1"/>
  <c r="AG42" i="1" s="1"/>
  <c r="AI45" i="1"/>
  <c r="AA47" i="1"/>
  <c r="AG47" i="1" s="1"/>
  <c r="T45" i="1"/>
  <c r="AA86" i="1"/>
  <c r="AA45" i="1"/>
  <c r="AG45" i="1" s="1"/>
  <c r="AA58" i="1"/>
  <c r="AG58" i="1" s="1"/>
  <c r="AA7" i="1"/>
  <c r="AG7" i="1" s="1"/>
  <c r="AA50" i="1"/>
  <c r="AG50" i="1" s="1"/>
  <c r="AA38" i="1"/>
  <c r="AG38" i="1" s="1"/>
  <c r="AA35" i="1"/>
  <c r="AA13" i="1"/>
  <c r="AA46" i="1"/>
  <c r="AG80" i="1"/>
  <c r="AA53" i="1"/>
  <c r="AG53" i="1" s="1"/>
  <c r="AA34" i="1"/>
  <c r="AG34" i="1" s="1"/>
  <c r="AA6" i="1"/>
  <c r="AG6" i="1" s="1"/>
  <c r="AA55" i="1"/>
  <c r="AG55" i="1" s="1"/>
  <c r="AA67" i="1"/>
  <c r="AA68" i="1"/>
  <c r="AA69" i="1"/>
  <c r="AA76" i="1"/>
  <c r="AG76" i="1" s="1"/>
  <c r="AA90" i="1"/>
  <c r="AG90" i="1" s="1"/>
  <c r="AA33" i="1"/>
  <c r="AG33" i="1" s="1"/>
  <c r="AA12" i="1"/>
  <c r="AG12" i="1" s="1"/>
  <c r="AA65" i="1"/>
  <c r="AG65" i="1" s="1"/>
  <c r="AA9" i="1"/>
  <c r="AG9" i="1" s="1"/>
  <c r="AA62" i="1"/>
  <c r="AG62" i="1" s="1"/>
  <c r="AA63" i="1"/>
  <c r="AG63" i="1" s="1"/>
  <c r="AA87" i="1"/>
  <c r="AG87" i="1" s="1"/>
  <c r="AA83" i="1"/>
  <c r="AG83" i="1" s="1"/>
  <c r="AA94" i="1"/>
  <c r="AG94" i="1" s="1"/>
  <c r="AA44" i="1"/>
  <c r="AG44" i="1" s="1"/>
  <c r="AA48" i="1"/>
  <c r="T17" i="1"/>
  <c r="AA39" i="1"/>
  <c r="AG39" i="1" s="1"/>
  <c r="AG69" i="1"/>
  <c r="AA36" i="1"/>
  <c r="AG36" i="1" s="1"/>
  <c r="AA4" i="1"/>
  <c r="AG4" i="1" s="1"/>
  <c r="AA43" i="1"/>
  <c r="AG43" i="1" s="1"/>
  <c r="AA59" i="1"/>
  <c r="AG59" i="1" s="1"/>
  <c r="AA3" i="1"/>
  <c r="AG3" i="1" s="1"/>
  <c r="AA49" i="1"/>
  <c r="AG49" i="1" s="1"/>
  <c r="AA60" i="1"/>
  <c r="AG60" i="1" s="1"/>
  <c r="AA41" i="1"/>
  <c r="AG41" i="1" s="1"/>
  <c r="AA56" i="1"/>
  <c r="AG56" i="1" s="1"/>
  <c r="AA79" i="1"/>
  <c r="AG79" i="1" s="1"/>
  <c r="AA100" i="1"/>
  <c r="AG100" i="1" s="1"/>
  <c r="AG31" i="1"/>
  <c r="AA17" i="1"/>
  <c r="AG17" i="1" s="1"/>
  <c r="AA11" i="1"/>
  <c r="AG11" i="1" s="1"/>
  <c r="AA64" i="1"/>
  <c r="AG64" i="1" s="1"/>
  <c r="T77" i="1"/>
  <c r="AA81" i="1"/>
  <c r="AG81" i="1" s="1"/>
  <c r="AA89" i="1"/>
  <c r="AG89" i="1" s="1"/>
  <c r="AA98" i="1"/>
  <c r="AG98" i="1" s="1"/>
  <c r="AA24" i="1"/>
  <c r="AG24" i="1" s="1"/>
  <c r="AA8" i="1"/>
  <c r="AA61" i="1"/>
  <c r="AG61" i="1" s="1"/>
  <c r="AA66" i="1"/>
  <c r="AG66" i="1" s="1"/>
  <c r="AA32" i="1"/>
  <c r="AG32" i="1" s="1"/>
  <c r="AA5" i="1"/>
  <c r="AG5" i="1" s="1"/>
  <c r="AA51" i="1"/>
  <c r="AG51" i="1" s="1"/>
  <c r="AA71" i="1"/>
  <c r="AG71" i="1" s="1"/>
  <c r="AA73" i="1"/>
  <c r="AG73" i="1" s="1"/>
  <c r="AA75" i="1"/>
  <c r="AA77" i="1"/>
  <c r="AG77" i="1" s="1"/>
  <c r="AG86" i="1"/>
  <c r="AA30" i="1"/>
  <c r="AG30" i="1" s="1"/>
  <c r="AA16" i="1"/>
  <c r="AG16" i="1" s="1"/>
  <c r="AA15" i="1"/>
  <c r="AG15" i="1" s="1"/>
  <c r="AA102" i="1"/>
  <c r="AG102" i="1" s="1"/>
  <c r="AA20" i="1"/>
  <c r="AG20" i="1" s="1"/>
  <c r="AA22" i="1"/>
  <c r="AG22" i="1" s="1"/>
  <c r="AA18" i="1"/>
  <c r="AG18" i="1" s="1"/>
  <c r="AG48" i="1"/>
  <c r="AG52" i="1"/>
  <c r="AG68" i="1"/>
  <c r="AA57" i="1"/>
  <c r="AG57" i="1" s="1"/>
  <c r="AG78" i="1"/>
  <c r="AG82" i="1"/>
  <c r="AA84" i="1"/>
  <c r="AG84" i="1" s="1"/>
  <c r="AG46" i="1"/>
  <c r="AG67" i="1"/>
  <c r="AA70" i="1"/>
  <c r="AG70" i="1" s="1"/>
  <c r="AA72" i="1"/>
  <c r="AG72" i="1" s="1"/>
  <c r="AA74" i="1"/>
  <c r="AG74" i="1" s="1"/>
  <c r="AG75" i="1"/>
  <c r="AG95" i="1"/>
  <c r="AA88" i="1"/>
  <c r="AG88" i="1" s="1"/>
  <c r="AA93" i="1"/>
  <c r="AG93" i="1" s="1"/>
  <c r="AA97" i="1"/>
  <c r="AG97" i="1" s="1"/>
  <c r="AA25" i="1"/>
  <c r="AG25" i="1" s="1"/>
  <c r="AA27" i="1"/>
  <c r="AG27" i="1" s="1"/>
  <c r="AG28" i="1"/>
  <c r="AG35" i="1"/>
  <c r="AG2" i="1"/>
  <c r="AG10" i="1"/>
  <c r="AG8" i="1"/>
  <c r="AA85" i="1"/>
  <c r="AG85" i="1" s="1"/>
  <c r="AA92" i="1"/>
  <c r="AG92" i="1" s="1"/>
  <c r="AA96" i="1"/>
  <c r="AG96" i="1" s="1"/>
  <c r="AA23" i="1"/>
  <c r="AG23" i="1" s="1"/>
  <c r="AA99" i="1"/>
  <c r="AG99" i="1" s="1"/>
  <c r="AA28" i="1"/>
  <c r="AG37" i="1"/>
  <c r="AG13" i="1"/>
  <c r="AG14" i="1"/>
  <c r="AG101" i="1"/>
  <c r="AG103" i="1"/>
  <c r="AG21" i="1"/>
</calcChain>
</file>

<file path=xl/sharedStrings.xml><?xml version="1.0" encoding="utf-8"?>
<sst xmlns="http://schemas.openxmlformats.org/spreadsheetml/2006/main" count="1306" uniqueCount="664">
  <si>
    <t>abs(I)</t>
    <phoneticPr fontId="2" type="noConversion"/>
  </si>
  <si>
    <t>Precambrian Res.</t>
  </si>
  <si>
    <t>COMPONENT</t>
  </si>
  <si>
    <t>Terrane</t>
    <phoneticPr fontId="2" type="noConversion"/>
  </si>
  <si>
    <t>TESTS</t>
  </si>
  <si>
    <t>TILT</t>
  </si>
  <si>
    <t>SLAT</t>
  </si>
  <si>
    <t>SLONG</t>
  </si>
  <si>
    <t>B</t>
  </si>
  <si>
    <t>N</t>
  </si>
  <si>
    <t>%REV</t>
    <phoneticPr fontId="2" type="noConversion"/>
  </si>
  <si>
    <t>F+</t>
  </si>
  <si>
    <t>375</t>
  </si>
  <si>
    <t>MIXED</t>
  </si>
  <si>
    <t>KD</t>
  </si>
  <si>
    <t>ED95</t>
  </si>
  <si>
    <t>PLAT</t>
  </si>
  <si>
    <t>PLONG</t>
  </si>
  <si>
    <t>DP</t>
  </si>
  <si>
    <t>DM</t>
  </si>
  <si>
    <t>DEMAGCODE</t>
  </si>
  <si>
    <t>VPAGES</t>
  </si>
  <si>
    <t>TITLE</t>
  </si>
  <si>
    <t>Geol.Soc.Amer.Bull.</t>
  </si>
  <si>
    <t>YEAR</t>
  </si>
  <si>
    <t>JOURNAL</t>
  </si>
  <si>
    <t>VOLUME</t>
  </si>
  <si>
    <t>A</t>
  </si>
  <si>
    <t>C+</t>
  </si>
  <si>
    <t>DEC</t>
  </si>
  <si>
    <t>INC</t>
  </si>
  <si>
    <t>ROCKNAME</t>
  </si>
  <si>
    <t>J.Geophys.Res.</t>
  </si>
  <si>
    <t>0or100</t>
  </si>
  <si>
    <t>new</t>
  </si>
  <si>
    <t>Tectonophysics</t>
  </si>
  <si>
    <t>12or88</t>
  </si>
  <si>
    <t>G*+</t>
  </si>
  <si>
    <t>33or67</t>
  </si>
  <si>
    <t>40or60</t>
  </si>
  <si>
    <t>8or92</t>
  </si>
  <si>
    <t>C*+</t>
  </si>
  <si>
    <t>A95</t>
  </si>
  <si>
    <t>Am. J. Sci.</t>
  </si>
  <si>
    <t>Phys. Earth Plan. Int.</t>
  </si>
  <si>
    <t>nominal age</t>
  </si>
  <si>
    <t>REF/method</t>
  </si>
  <si>
    <t>F+,Rc</t>
  </si>
  <si>
    <t>Precambr.Res.</t>
  </si>
  <si>
    <t>LULEÅ WORKING GROUP MEAN</t>
  </si>
  <si>
    <t>lomagage</t>
  </si>
  <si>
    <t>himagage</t>
  </si>
  <si>
    <t>5or95</t>
  </si>
  <si>
    <t>Q(7)</t>
  </si>
  <si>
    <t>Geophys.J.Roy.Astron.Soc.</t>
  </si>
  <si>
    <t>C+,R-</t>
  </si>
  <si>
    <t>A Component</t>
  </si>
  <si>
    <t>F+,Ro</t>
  </si>
  <si>
    <t>Fo</t>
  </si>
  <si>
    <t>Combined Result</t>
  </si>
  <si>
    <t>25</t>
  </si>
  <si>
    <t>Ro</t>
  </si>
  <si>
    <t>14</t>
  </si>
  <si>
    <t>Rb</t>
  </si>
  <si>
    <t>, GPMDB4.6</t>
  </si>
  <si>
    <t>58</t>
  </si>
  <si>
    <t>new</t>
    <phoneticPr fontId="4" type="noConversion"/>
  </si>
  <si>
    <t>A</t>
    <phoneticPr fontId="4" type="noConversion"/>
  </si>
  <si>
    <t>C+,F+,Rc</t>
    <phoneticPr fontId="4" type="noConversion"/>
  </si>
  <si>
    <t>Precambrian Res.</t>
    <phoneticPr fontId="4" type="noConversion"/>
  </si>
  <si>
    <t>MIXED</t>
    <phoneticPr fontId="4" type="noConversion"/>
  </si>
  <si>
    <t>B</t>
    <phoneticPr fontId="4" type="noConversion"/>
  </si>
  <si>
    <t>20or80</t>
  </si>
  <si>
    <t>Grade</t>
  </si>
  <si>
    <t>Laurentia</t>
  </si>
  <si>
    <t>Dubawnt Group</t>
  </si>
  <si>
    <t>C+,Rc</t>
  </si>
  <si>
    <t>possibly ca.1750 ovp (Th.Raub 08 PhD thesis); ages from eastern Baker Lake ca.1810 Ma, Rainbird ages, Th.Raub thesis</t>
  </si>
  <si>
    <t>Park,J.K., Irving,E., Donaldson,J.A.</t>
  </si>
  <si>
    <t>84</t>
  </si>
  <si>
    <t>859-870</t>
  </si>
  <si>
    <t>Paleomagnetism of the Dubawnt Group</t>
  </si>
  <si>
    <t>Overlaps with a Devonian pole</t>
  </si>
  <si>
    <t>Cleaver Dykes</t>
  </si>
  <si>
    <t>C+, C*+</t>
  </si>
  <si>
    <t>ok, GPMDB4.6</t>
  </si>
  <si>
    <t>Irving,E., Baker,J., M. Hamilton,M., Wynne,P.J.</t>
  </si>
  <si>
    <t>129</t>
  </si>
  <si>
    <t>251-270</t>
  </si>
  <si>
    <t>Early Proterozoic geomagnetic field in western Laurentia: implications for paleolatitudes, local rotations and stratigraphy</t>
  </si>
  <si>
    <t>Western Channel Diabase</t>
  </si>
  <si>
    <t>Co,C+ in Irving+04</t>
  </si>
  <si>
    <t>ca.1590, GAC 07 Yellowknife</t>
  </si>
  <si>
    <t>Irving,E., Donaldson,J.A., Park,J.K.</t>
  </si>
  <si>
    <t>Canad.J.Earth Sci.</t>
  </si>
  <si>
    <t>9</t>
  </si>
  <si>
    <t>960-971</t>
  </si>
  <si>
    <t>Paleomagnetism of the Western Channel Diabase and associated rocks, Northwest Territories</t>
  </si>
  <si>
    <t>St.Francois Mountains Acidic Rocks</t>
  </si>
  <si>
    <t>C*+,F+,G+</t>
  </si>
  <si>
    <t>Meert, J.G., Stuckey, W.</t>
  </si>
  <si>
    <t>Tectonics</t>
  </si>
  <si>
    <t>21(2)</t>
  </si>
  <si>
    <t>1007, doi:10.1029/2000TC001265</t>
  </si>
  <si>
    <t>Revisiting the paleomagnetism of the 1.476 Ga St.Francois Mountains igneous province, Missouri.</t>
  </si>
  <si>
    <t>Michikamau Intrusion Combined</t>
  </si>
  <si>
    <t>C+,Ro</t>
  </si>
  <si>
    <t>Emslie,R.F., Irving,E., Park,J.K.</t>
  </si>
  <si>
    <t>13</t>
  </si>
  <si>
    <t>1052-1057</t>
  </si>
  <si>
    <t>Further paleomagnetic results from the Michikamau Intrusion, Labrador</t>
  </si>
  <si>
    <t>Spokane Formation</t>
  </si>
  <si>
    <t>Primary</t>
  </si>
  <si>
    <t>pre-1454±9, slightly revised from GPMDB4.6</t>
  </si>
  <si>
    <t>Elston, D.P., Enkin, R.J., Baker, J., Kisilevsky, D.K.</t>
  </si>
  <si>
    <t>114</t>
  </si>
  <si>
    <t>619-638</t>
  </si>
  <si>
    <t>Tightening the Belt: Paleomagnetic-stratigraphic constraints on deposition, correlation, and deformation of the Middle Proterozoic (ca. 1.4 Ga) Belt-Purcell Supergroup, United States and Canada</t>
  </si>
  <si>
    <t>Snowslip Formation</t>
  </si>
  <si>
    <t>1436-1463, new lomagage</t>
  </si>
  <si>
    <t>Tobacco Root Dykes - A combined</t>
    <phoneticPr fontId="5" type="noConversion"/>
  </si>
  <si>
    <t>new</t>
    <phoneticPr fontId="5" type="noConversion"/>
  </si>
  <si>
    <t>43or57</t>
    <phoneticPr fontId="4" type="noConversion"/>
  </si>
  <si>
    <t>, new</t>
  </si>
  <si>
    <t>Harlan, S.S., Geissman, J.W., Snee, L.W.</t>
  </si>
  <si>
    <t>239-264</t>
  </si>
  <si>
    <t>Paleomagnetism of Proterozoic mafic dikes from the Tobacco Root Mountains, southwest Montana</t>
  </si>
  <si>
    <t>Overlaps with Nain Anorthosite</t>
  </si>
  <si>
    <t>Purcell Lava</t>
  </si>
  <si>
    <t>MEAN Rocky Mountain intrusions</t>
    <phoneticPr fontId="4" type="noConversion"/>
  </si>
  <si>
    <t>1415-1445, range of ages</t>
  </si>
  <si>
    <t>Mistastin Pluton</t>
  </si>
  <si>
    <t>ca.1420, unpubl Emslie in Gower+Krogh 02</t>
  </si>
  <si>
    <t>Fahrig,W.F., Jones,D.L.</t>
  </si>
  <si>
    <t>832-837</t>
  </si>
  <si>
    <t>The paleomagnetism of the Helikian Mistatin pluton, Labrador, Canada</t>
  </si>
  <si>
    <t>McNamara Formation</t>
  </si>
  <si>
    <t>1401±6, GPMDB4.6</t>
  </si>
  <si>
    <t>Pilcher, Garnet Range and Libby Formations</t>
  </si>
  <si>
    <t>Nain Anorthosite</t>
  </si>
  <si>
    <t>ok; 1305±15, GPMDB4.6</t>
  </si>
  <si>
    <t>Murthy,G.S.</t>
  </si>
  <si>
    <t>15</t>
  </si>
  <si>
    <t>516-525</t>
  </si>
  <si>
    <t>Paleomagnetic results from the Nain anorthosite and their tectonic implications</t>
  </si>
  <si>
    <t>Mackenzie dykes grand mean</t>
    <phoneticPr fontId="4" type="noConversion"/>
  </si>
  <si>
    <t>B+00</t>
    <phoneticPr fontId="4" type="noConversion"/>
  </si>
  <si>
    <t>from Buchan+00, after Buchan+Halls 90</t>
    <phoneticPr fontId="4" type="noConversion"/>
  </si>
  <si>
    <t>C+</t>
    <phoneticPr fontId="4" type="noConversion"/>
  </si>
  <si>
    <t>0or100</t>
    <phoneticPr fontId="4" type="noConversion"/>
  </si>
  <si>
    <t>ca.1267, GPMDB4.6</t>
  </si>
  <si>
    <t>Buchan et al.</t>
  </si>
  <si>
    <t>167-198</t>
  </si>
  <si>
    <t>Comparing the drift of Laurentia and Baltica in the Proterozoic: the importance of key palaeomagnetic poles</t>
  </si>
  <si>
    <t>Sudbury Dykes Combined</t>
  </si>
  <si>
    <t>ok on age; demag good in Stupavsky+Symons 82; and also maybe Schwarz+Buchan 82, GPMDB4.6</t>
  </si>
  <si>
    <t>Palmer,H.C., Merz,B.A., Hayatsu,A.</t>
  </si>
  <si>
    <t>1867-1887</t>
  </si>
  <si>
    <t>The Sudbury dikes of the Grenville Front region: paleomagnetism, petrochemistry, and K-Ar age studies</t>
  </si>
  <si>
    <t>Abitibi Dykes</t>
  </si>
  <si>
    <t>C+,R? (revision to exclude A1)</t>
    <phoneticPr fontId="4" type="noConversion"/>
  </si>
  <si>
    <t>15or85</t>
    <phoneticPr fontId="4" type="noConversion"/>
  </si>
  <si>
    <t>1141±2; lomagage should be changed to 1139.  Note dyke A1 no longer part of swarm: redated by Halls+08 at 2170 Ma, GPMDB4.6</t>
  </si>
  <si>
    <t>Ernst,R.E., Buchan,K.L.</t>
  </si>
  <si>
    <t>30</t>
  </si>
  <si>
    <t>1886-1897</t>
  </si>
  <si>
    <t>Paleomagnetism of the Abitibi dyke swarm, southern Superior Province, and implications for the Logan Loop</t>
  </si>
  <si>
    <t>MEAN Nipigon sills and lavas</t>
    <phoneticPr fontId="4" type="noConversion"/>
  </si>
  <si>
    <t>C*+</t>
    <phoneticPr fontId="4" type="noConversion"/>
  </si>
  <si>
    <t>range of ages with uncertainties, Davis+Sutcliffe 85; Heaman+07</t>
  </si>
  <si>
    <t>Lower Osler volcanics -R</t>
  </si>
  <si>
    <t>interpolated 1109; has to be older then 1107.5 +4/-2 intrusion, Swanson-Hysell et al., 2014 G3</t>
  </si>
  <si>
    <t>Lower third Osler volcanics -R</t>
  </si>
  <si>
    <t>Swanson-Hysell, N., Vaughan, A.A., Mustain, M.R., Asp, K.E.</t>
  </si>
  <si>
    <t>Geochem. Geophys. Geosyst.</t>
  </si>
  <si>
    <t>2039-2047</t>
  </si>
  <si>
    <t>Lowermost Mamainse Point volcanics -R1</t>
  </si>
  <si>
    <t>older than 1107 +/- 2 constraint on Siemens Ck Fm, Swanson-Hysell et al. 2014 Geology</t>
  </si>
  <si>
    <t>Swanson-Hysell, N.L., Burgess, S.D., Maloof, A.C., Bowring, S.A.</t>
  </si>
  <si>
    <t>Geology</t>
  </si>
  <si>
    <t>475-478</t>
  </si>
  <si>
    <t>Middle Osler volcanics -R</t>
  </si>
  <si>
    <t>interpolated 1107, Swanson-Hysell et al., 2014 G3</t>
  </si>
  <si>
    <t>Middle third Osler volcanics -R</t>
  </si>
  <si>
    <t>Upper Osler volcanics -R</t>
  </si>
  <si>
    <t>incorporates Halls 1974; n.b. uppermost Osler has four flows with N polarity -not used here, but pass of Voo # 6; fold test positive &gt;99% though not stated by authors</t>
  </si>
  <si>
    <t>Ro,F+</t>
  </si>
  <si>
    <t>Upper third Osler volcanics -R</t>
  </si>
  <si>
    <t>Lower Mamainse Point volcanics -R2</t>
  </si>
  <si>
    <t>G*+,R+</t>
  </si>
  <si>
    <t>1105 by comparison with Osler R Upper third direction , Swanson-Hysell et al. 2014 Geology</t>
  </si>
  <si>
    <t>Mamainse Point volcanics -C (lower N, upper R)</t>
  </si>
  <si>
    <t>G*+,Ro</t>
  </si>
  <si>
    <t>1100.36±0.25 U-Pb z , Swanson-Hysell et al. 2014 Geology</t>
  </si>
  <si>
    <t>Uppermost Mamainse Point volcanics -N</t>
  </si>
  <si>
    <t>1097; comparison to N Shore volcanic group, Swanson-Hysell et al. 2014 Geology</t>
  </si>
  <si>
    <t>North Shore lavas -N</t>
  </si>
  <si>
    <t>recalculated from all N lavas, excluding intrusives, sites above unconformity</t>
  </si>
  <si>
    <t>1098.4±2.0; 1096.6±1.8, Tauxe, L., Kodama, K.P., 2009</t>
  </si>
  <si>
    <t>Tauxe, L., Kodama, K.P.</t>
  </si>
  <si>
    <t>31-45</t>
  </si>
  <si>
    <t>Chengwatana Volcanics</t>
  </si>
  <si>
    <t>1094.6±2.1, Zartman+97</t>
  </si>
  <si>
    <t>Kean,W.F., Williams.,I., Chan,L., Feeney,J.</t>
  </si>
  <si>
    <t>Geophys.Res.Lett.</t>
  </si>
  <si>
    <t>24</t>
  </si>
  <si>
    <t>1523-1526</t>
  </si>
  <si>
    <t>Magnetism of the Keweenawan age Chengwatana lava flows, northwest Wisconsin</t>
  </si>
  <si>
    <t>Portage Lake Volcanics</t>
  </si>
  <si>
    <t>A (MAG)</t>
  </si>
  <si>
    <t>G*+, F+</t>
  </si>
  <si>
    <t>1095±3, Davis+Paces 90</t>
  </si>
  <si>
    <t>Hnat et al.</t>
  </si>
  <si>
    <t>Cardenas Basalts and Intrusions</t>
  </si>
  <si>
    <t>Co,Fo</t>
  </si>
  <si>
    <t>1091±5, GPMDB4.6</t>
  </si>
  <si>
    <t>Weil,A.B., Geissman,J.W., Heizler,M., Van der Voo,R.</t>
  </si>
  <si>
    <t>199-220</t>
  </si>
  <si>
    <t>Paleomagnetism of Middle Proterozoic mafic intrusions and Upper Proterozoic (Nankoweap) red beds from the Lower Grand Canyon Supergroup, Arisona</t>
  </si>
  <si>
    <t>Central Arizona diabases -N</t>
  </si>
  <si>
    <t>note also R group: 4 dykes very steep up (poor A95) + one antipodal direction dyke for each N, R group</t>
  </si>
  <si>
    <t>1088±11 in Donadini+12 ext abst (ignoring the 1085 age due to problems with that site, two polarities, 2 ages), Donadini et al 2011</t>
  </si>
  <si>
    <t>Donadini, F., Pesonen, L.J., Korhonen, K., Deutsch, A., Harlan, S.S.</t>
  </si>
  <si>
    <t>Geophysica</t>
  </si>
  <si>
    <t>Lake Shore Traps</t>
  </si>
  <si>
    <t>incorporates Diehl et al 1994 CJES</t>
  </si>
  <si>
    <t>(C+ from Palmer+81; F+ implicit in good grouping after tilt-correction)</t>
  </si>
  <si>
    <t>Kulakov, E.V., Smirnov, A.V., Diehl, J.F.</t>
  </si>
  <si>
    <t>1085-1096</t>
  </si>
  <si>
    <t>Schroeder Lutsen Basalts</t>
  </si>
  <si>
    <t>Unit is younger than 1091.61 ± 0.14 Ma (U-Pb date on intrusion that is unconformably overlain)</t>
  </si>
  <si>
    <t>Fairchild, Luke M. and Swanson-Hysell, Nicholas L. and Ramezani, Jahandar and Sprain, Courtney J. and Bowring, Samuel A.</t>
  </si>
  <si>
    <t>Lithosphere</t>
  </si>
  <si>
    <t>117-133</t>
  </si>
  <si>
    <t>The end of Midcontinent Rift magmatism and the paleogeography of Laurentia</t>
  </si>
  <si>
    <t>Michipicoten Island Formation</t>
  </si>
  <si>
    <t>All VGPs between U-Pb zircon dates of 1084.35 ± 0.20 Ma and 1083.52 ± 0.23
Ma; Fairchild et al. 2017</t>
  </si>
  <si>
    <t>Nonesuch Shale</t>
  </si>
  <si>
    <t>, Wingate+02 est</t>
  </si>
  <si>
    <t>Henry,S.G., Mauk,F.J., Van der Voo,R.</t>
  </si>
  <si>
    <t>1128-1138</t>
  </si>
  <si>
    <t>Paleomagnetism of the Upper Keweenawan sediments: the Nonesuch Shale and Freda Sandstone</t>
  </si>
  <si>
    <t>Freda Sandstone</t>
  </si>
  <si>
    <t>High temp.</t>
  </si>
  <si>
    <t>looser age constraints than listed in GPMDB4.6, Wingate+02 est</t>
  </si>
  <si>
    <t>Overlaps with Cambrian</t>
  </si>
  <si>
    <t>Haliburton Intrusions</t>
  </si>
  <si>
    <t>Warnock,A.C., Kodama,K.P., Zeitler,P.K.</t>
  </si>
  <si>
    <t>105</t>
  </si>
  <si>
    <t>19435-19453</t>
  </si>
  <si>
    <t>Using thermochronometry and low-temperature demagnetization to accurately date Precambrian paleomagnetic poles</t>
  </si>
  <si>
    <t>Overlaps with steep Ediacaran</t>
  </si>
  <si>
    <t>Tsezotene Sills Combined</t>
  </si>
  <si>
    <t>778+/-2, GPMDB4.6</t>
  </si>
  <si>
    <t>Park,J.K., Norris,D.K., Larochelle,A.</t>
  </si>
  <si>
    <t>26</t>
  </si>
  <si>
    <t>2194-2203</t>
  </si>
  <si>
    <t>Paleomagnetism and the origin of the Mackenzie Arc of northwestern Canada</t>
  </si>
  <si>
    <t>MEAN Wyoming "Gunbarrel" dykes</t>
    <phoneticPr fontId="4" type="noConversion"/>
  </si>
  <si>
    <t>site-weighted mean of 3 studies (Tobacco Root B, Christmas Lake, Mt Moran)</t>
    <phoneticPr fontId="4" type="noConversion"/>
  </si>
  <si>
    <t>Overlaps with Paleozoic</t>
  </si>
  <si>
    <t>Uinta Mountain Group</t>
    <phoneticPr fontId="5" type="noConversion"/>
  </si>
  <si>
    <t>45or55</t>
    <phoneticPr fontId="4" type="noConversion"/>
  </si>
  <si>
    <t>Weil, A.B., Geissman, J.W., Ashby, J.M.</t>
  </si>
  <si>
    <t>234-259</t>
  </si>
  <si>
    <t>A new paleomagnetic pole for the Neoproterozoic Uinta Mountain supergroup, Central Rocky Mountain States, USA</t>
  </si>
  <si>
    <t>Franklin event grand mean</t>
  </si>
  <si>
    <t xml:space="preserve">723+4/-2, </t>
  </si>
  <si>
    <t>Denyszyn,S.W., Halls,H.C., Davis,D.W., Evans,D.A.D.</t>
  </si>
  <si>
    <t>689-705</t>
  </si>
  <si>
    <t>Paleomagnetism and U-Pb Geochronology of Franklin dykes in High Arctic Canada and Greenland: A revised age and paleomagnetic pole constraining block rotations in the Nares Strait region</t>
  </si>
  <si>
    <t>Long Range Dykes</t>
  </si>
  <si>
    <t>Dykes 1,2,3,4 and 6</t>
  </si>
  <si>
    <t>Murthy,G.S., Gower,C., Tubett,M., Patzold,R.</t>
  </si>
  <si>
    <t>29</t>
  </si>
  <si>
    <t>1224-1234</t>
  </si>
  <si>
    <t>Paleomagnetism of Eocambrian Long Range dykes and Double Mer Formation from Labrador, Canada</t>
  </si>
  <si>
    <t>Baie des Moutons complex</t>
  </si>
  <si>
    <t>A direction</t>
  </si>
  <si>
    <t>583.4±2.0 weighted mean of four hornblende 40Ar–39Ar plateau ages from sites 20 and 44, McCausland et al 2011</t>
  </si>
  <si>
    <t>Baie des Moutons A</t>
  </si>
  <si>
    <t>McCausland, P.J.A., Hankard, F., Van der Voo, R., Hall, C.M.</t>
  </si>
  <si>
    <t>58-78</t>
  </si>
  <si>
    <t>Ediacaran paleogeography of Laurentia: Paleomagnetism and 40Ar–39Ar geochronology of the 583Ma Baie des Moutons syenite, Quebec</t>
  </si>
  <si>
    <t>B direction</t>
  </si>
  <si>
    <t>Baie des Moutons B</t>
  </si>
  <si>
    <t>Overlaps with Silurian (possible Salinic orogeny overprint)</t>
  </si>
  <si>
    <t>Callander Alkaline Complex</t>
  </si>
  <si>
    <t>Symons,D.T.A., Chiasson,A.D.</t>
  </si>
  <si>
    <t>28</t>
  </si>
  <si>
    <t>355-363</t>
  </si>
  <si>
    <t>Paleomagnetism of the Callander Complex and the Cambrian apparent polar wander path for North America</t>
  </si>
  <si>
    <t>Catoctin Basalts</t>
  </si>
  <si>
    <t>C+,F+,Rc,M</t>
  </si>
  <si>
    <t>572±5 in felsic pod from lower Catoctin; 564 Ma in upper Catoctin -lower more applicable to basalts, Aleinikoff +95 Am.J.Sci</t>
  </si>
  <si>
    <t>Meert,J.G., Van der Voo,R., Payne,T.W.</t>
  </si>
  <si>
    <t>99</t>
  </si>
  <si>
    <t>4625-4641</t>
  </si>
  <si>
    <t>Paleomagnetism of the Catoctin volcanic province: a new Vendian-Cambrian apparent polar wander path for North America</t>
  </si>
  <si>
    <t>Sept-Iles Layered Intrusion</t>
  </si>
  <si>
    <t>Tanczyk,E.I., Lapointe,P., Morris,W.A., Schmidt,P.W.</t>
  </si>
  <si>
    <t>1431-1438</t>
  </si>
  <si>
    <t>A paleomagnetic study of the layered mafic intrusion at Sept-Iles, Quebec</t>
  </si>
  <si>
    <t>Laurentia-Greenland</t>
  </si>
  <si>
    <t>Melville Bugt diabase dykes</t>
  </si>
  <si>
    <t>44or56</t>
  </si>
  <si>
    <t xml:space="preserve">U-Pb badd (1635 +/- 2.7; 1632 +/- 1.1; 1629.4 +/- 0.8), mixed polarity </t>
  </si>
  <si>
    <t>Melville Bugt diabase</t>
  </si>
  <si>
    <t>Can. J. Earth Sci.</t>
  </si>
  <si>
    <t>Victoria Fjord dolerite dykes</t>
  </si>
  <si>
    <t>correl'd to Midsommerso, corr.</t>
  </si>
  <si>
    <t>Victoria Fjord Dolerite Dykes</t>
  </si>
  <si>
    <t>Abrahamsen, N., Van der Voo, R.</t>
  </si>
  <si>
    <t>Geophys.JRAS</t>
  </si>
  <si>
    <t>597-611</t>
  </si>
  <si>
    <t>Palaeomagnetism of middle Proterozoic (c.1.25 Ga) dykes from central North Greenland</t>
  </si>
  <si>
    <t>Midsommersoe Dolerite</t>
  </si>
  <si>
    <t>1382±2, d</t>
  </si>
  <si>
    <t>Marcussen, C., Abrahamsen, N.</t>
  </si>
  <si>
    <t>367-387</t>
  </si>
  <si>
    <t>Palaeomagnetism of the Proterozoic Zig-Zag Dal Basalt and the Midsommerso dolerites, eastern North Greenland</t>
  </si>
  <si>
    <t>Zig-Zag Dal Basalts</t>
  </si>
  <si>
    <t>Kungnat Ring Dyke</t>
  </si>
  <si>
    <t>Upton+03, f</t>
  </si>
  <si>
    <t>Piper, J.D.A., Stearn, J.E.F.</t>
  </si>
  <si>
    <t>Physics Earth Planet. Int.</t>
  </si>
  <si>
    <t>345-358</t>
  </si>
  <si>
    <t>Palaeomagnetism of the dyke swarms of the Gardar Igneous Province, South Greenland</t>
  </si>
  <si>
    <t>North Qoroq Intr.</t>
  </si>
  <si>
    <t>, f</t>
  </si>
  <si>
    <t>Piper, J.D.A.</t>
  </si>
  <si>
    <t>153-172</t>
  </si>
  <si>
    <t>The palaeomagnetism of major (Middle Proterozoic) igneous complexes, South Greenland and the Gardar apparent polar wander track</t>
  </si>
  <si>
    <t>West Gardar Dolerite Dykes</t>
  </si>
  <si>
    <t>1236-1251, f</t>
  </si>
  <si>
    <t>West Gardar Lamprophyre Dykes</t>
  </si>
  <si>
    <t>CHECK AGE, f</t>
  </si>
  <si>
    <t>Hviddal Giant Dyke</t>
    <phoneticPr fontId="4" type="noConversion"/>
  </si>
  <si>
    <t>1184±5, f</t>
  </si>
  <si>
    <t>BGS Denmark</t>
  </si>
  <si>
    <t>85-94</t>
  </si>
  <si>
    <t>Palaeomagnetism of the giant dykes of Tugtutoq and Narssaq Gabbro, Gardar Igneous Province, South Greenland</t>
  </si>
  <si>
    <t>Narssaq Gabbro</t>
  </si>
  <si>
    <t>1184±5 assoc'd with Hviddal giant dyke, f</t>
  </si>
  <si>
    <t>South Qoroq Intr.</t>
  </si>
  <si>
    <t>1160±8 Rb-Sr, also 1163±2 U-Pb on assoc'd younger giant dykes, f</t>
  </si>
  <si>
    <t>Giant Gabbro Dykes</t>
  </si>
  <si>
    <t>1163±2, f</t>
  </si>
  <si>
    <t>NE-SW Trending Dyke Swarm</t>
  </si>
  <si>
    <t>younger than 1163 giant dykes, older than 1156±1 central Tugtutoq pluton, s</t>
  </si>
  <si>
    <t>Laurentia-Greenland-Nain</t>
  </si>
  <si>
    <t>Kangamiut Dykes</t>
  </si>
  <si>
    <t>2543, 2766, mixed polarity?</t>
  </si>
  <si>
    <t>Fahrig, W.F., Bridgwater, D.</t>
  </si>
  <si>
    <t>Early Hist. of Earth</t>
  </si>
  <si>
    <t>427-439</t>
  </si>
  <si>
    <t>Late Archean-Early Proterozoic paleomagnetic pole positions from West Greenland</t>
  </si>
  <si>
    <t>Looks like Victoria Fjord and Tobacco Root</t>
  </si>
  <si>
    <t>Laurentia-Rae</t>
  </si>
  <si>
    <t>Clearwater Anorthosite</t>
  </si>
  <si>
    <t>A Magnetization</t>
  </si>
  <si>
    <t>1917±7, GPMDB4.6</t>
  </si>
  <si>
    <t>Halls,H.C., Hanes,J.A.</t>
  </si>
  <si>
    <t>312</t>
  </si>
  <si>
    <t>235-248</t>
  </si>
  <si>
    <t>Paleomagnetism, anisotropy of magnetic susceptibility and argon-argon geochronology of the Clearwater anorthosite, Saskatchewan, Canada</t>
  </si>
  <si>
    <t>Sparrow Dykes</t>
  </si>
  <si>
    <t>Co,Ro</t>
  </si>
  <si>
    <t>1827±4, new</t>
  </si>
  <si>
    <t>McGlynn,J.C., Hanson,G.N., Irving,E., Park,J.K.</t>
  </si>
  <si>
    <t>11</t>
  </si>
  <si>
    <t>30-42</t>
  </si>
  <si>
    <t>Paleomagnetism and age of Nonacho Group Sandstones and associated Sparrow dikes, District of Mackenzie</t>
  </si>
  <si>
    <t>Overlaps with Siluro-Devonian path</t>
  </si>
  <si>
    <t>Martin Formation</t>
  </si>
  <si>
    <t>1818±4, NEW</t>
  </si>
  <si>
    <t>Evans,M.E., Bingham,D.K.</t>
  </si>
  <si>
    <t>10</t>
  </si>
  <si>
    <t>1485-1493</t>
  </si>
  <si>
    <t>Paleomagnetism of the Precambrian Martin Formation, Saskatchewan</t>
  </si>
  <si>
    <t>Laurentia-Scotland</t>
  </si>
  <si>
    <t>MEAN Stoer Group</t>
    <phoneticPr fontId="4" type="noConversion"/>
  </si>
  <si>
    <t>NEW</t>
    <phoneticPr fontId="4" type="noConversion"/>
  </si>
  <si>
    <t>sample-weighted mean of (Stewart+Irving 74, Smith+83, TS87 Achiltibuie, TS87 Stoer, Darabi+Piper 04, Borradaile+Geneviciene 08)</t>
    <phoneticPr fontId="4" type="noConversion"/>
  </si>
  <si>
    <t>many</t>
  </si>
  <si>
    <t xml:space="preserve">1199±70, </t>
  </si>
  <si>
    <t>Overlaps with Keweenawan Track</t>
  </si>
  <si>
    <t>MEAN Torridon Group</t>
    <phoneticPr fontId="4" type="noConversion"/>
  </si>
  <si>
    <t>sample-weighted mean of (Irving+Runcorn 57, Stewart+Irving 74, Smith+83, Torsvik+Sturt 87, Potts 90, Williams+Schmidt 97, Borradaile+Geneviciene 08)</t>
    <phoneticPr fontId="4" type="noConversion"/>
  </si>
  <si>
    <t>Overlaps with Long Range Dikes</t>
  </si>
  <si>
    <t>Laurentia-Slave</t>
  </si>
  <si>
    <t>Defeat Suite</t>
  </si>
  <si>
    <t>2625, U-Pb: 2628 pm 3, 2624 pm4</t>
  </si>
  <si>
    <t>Mitchell, R.N., Bleeker, W., Van Breemen, O., LeCheminant, A.N., Peng, P., Nilsson, M.K.M., Evans, D.A.D.</t>
  </si>
  <si>
    <t>878-894</t>
  </si>
  <si>
    <t>Plate tectonics before 2.0 Ga: Evidence from paleomagnetism of cratons within supercontinent Nuna</t>
  </si>
  <si>
    <t>Malley dykes</t>
  </si>
  <si>
    <t>2231, U-Pb (b); authors</t>
  </si>
  <si>
    <t>Buchan, K., LeCheminant, A.N., van Breemen, O.</t>
  </si>
  <si>
    <t>435-454</t>
  </si>
  <si>
    <t>Malley diabase dykes of the Slave craton, Canadian Shield: U-Pb age, paleomagnetism, and implications for continental reconstructions in the early Paleoproterozoic</t>
  </si>
  <si>
    <t>Corresponds with Mesozoic APWP</t>
  </si>
  <si>
    <t>Dogrib dykes</t>
  </si>
  <si>
    <t>2193, U-Pb (b); authors</t>
  </si>
  <si>
    <t>Indin dykes</t>
  </si>
  <si>
    <t>2126±3, U-Pb (b); authors and unpublished abstract cited therein</t>
  </si>
  <si>
    <t xml:space="preserve">Indin dykes </t>
  </si>
  <si>
    <t>Buchan, Kenneth L. and Mitchell, Ross N. and Bleeker, Wouter and Hamilton, Michael A. and LeCheminant, Anthony N.</t>
  </si>
  <si>
    <t>Precambrian Research</t>
  </si>
  <si>
    <t>151-175</t>
  </si>
  <si>
    <t>Paleomagnetism of ca. 2.13–2.11 Ga Indin and ca. 1.885 Ga Ghost dyke swarms of the Slave craton: Implications for the Slave craton APW path and relative drift of Slave, Superior and Siberian cratons in the Paleoproterozoic</t>
  </si>
  <si>
    <t>Lac de Gras dykes</t>
    <phoneticPr fontId="4" type="noConversion"/>
  </si>
  <si>
    <t>C*+,C+</t>
    <phoneticPr fontId="4" type="noConversion"/>
  </si>
  <si>
    <t>2023±2, 2027±4 U-Pb baddeleyite, Buchan+09 CJES</t>
  </si>
  <si>
    <t>Buchan,K.L., LeCheminant,A.N., van Breemen,O.</t>
    <phoneticPr fontId="4" type="noConversion"/>
  </si>
  <si>
    <t>Canad.J.Earth Sci.</t>
    <phoneticPr fontId="4" type="noConversion"/>
  </si>
  <si>
    <t>361-379</t>
    <phoneticPr fontId="4" type="noConversion"/>
  </si>
  <si>
    <t>Paleomagnetism and U-Pb geochronology of the Lac de Gras diabase dyke swarm, Slave Province, Canada: implications for relative drift of Slave and Superior provinces in the Paleoproterozoic</t>
  </si>
  <si>
    <t>Rifle (Western River) Formation</t>
    <phoneticPr fontId="4" type="noConversion"/>
  </si>
  <si>
    <t>Ro,C*+ (baked contact test with intruding Mara River Sheet at 1870 Ma)</t>
    <phoneticPr fontId="4" type="noConversion"/>
  </si>
  <si>
    <t>1963±6, Bowring+Grotz 92</t>
  </si>
  <si>
    <t>Evans,M.E., Hoye,G.S.</t>
  </si>
  <si>
    <t>Geol.Surv.Canada Paper 81-10</t>
  </si>
  <si>
    <t>191-202</t>
  </si>
  <si>
    <t>Paleomagnetic results from the Lower Proterozoic rocks of Great Slave Lake and Bathurst Inlet areas, Northwest Territories</t>
  </si>
  <si>
    <t>Ghost Dike Swarm</t>
  </si>
  <si>
    <t>1887±5, 1884±6 U-Pb baddeleyite; authors and unpublished abstract cited therein</t>
  </si>
  <si>
    <t>Corresponds with Devonian pole</t>
  </si>
  <si>
    <t>MEAN Seton/Akaitcho/Mara</t>
    <phoneticPr fontId="4" type="noConversion"/>
  </si>
  <si>
    <t>regional correlations, Bowring+Grotz 92; Ghost dykes REF</t>
  </si>
  <si>
    <t>Mitchell,R.N., Hoffman,P.F., Evans,D.A.D.</t>
  </si>
  <si>
    <t>121-134</t>
  </si>
  <si>
    <t>Coronation loop resurrected: Oscillatory apparent polar wander of Orosirian (2.05–1.8 Ga) paleomagnetic poles from Slave craton</t>
  </si>
  <si>
    <t>MEAN Kahochella, Peacock Hills</t>
    <phoneticPr fontId="4" type="noConversion"/>
  </si>
  <si>
    <t>regional correlations, Bowring+Grotz 92</t>
  </si>
  <si>
    <t>Douglas Peninsula Formation, Pethei Group</t>
  </si>
  <si>
    <t>correlation across Slave:  older than 1870±4; younger than 1882±4, Davis+Bleeker 07 GAC abst, correln Mitchell+10</t>
  </si>
  <si>
    <t>Irving,E., McGlynn,J.C.</t>
  </si>
  <si>
    <t>309-336</t>
  </si>
  <si>
    <t>Palaeomagnetism in the Coronation Geosyncline and arrangements of continents in the middle Proterozoic</t>
  </si>
  <si>
    <t>Takiyuak Formation</t>
  </si>
  <si>
    <t>MEAN Pearson A/Peninsular sill/Kilohigok basin sill</t>
    <phoneticPr fontId="4" type="noConversion"/>
  </si>
  <si>
    <t>U-Pb on Kilohigok (Mara River) sill; Peninsular Sill, Davis+Bleeker 07 GAC abst</t>
  </si>
  <si>
    <t>Laurentia-Superior</t>
  </si>
  <si>
    <t>MEAN Haig/Flaherty/Sutton</t>
    <phoneticPr fontId="4" type="noConversion"/>
  </si>
  <si>
    <t>site-weighted VGP means from 3 results</t>
    <phoneticPr fontId="4" type="noConversion"/>
  </si>
  <si>
    <t>1870±1, Hamilton+09 GAC</t>
  </si>
  <si>
    <t>Laurentia-Superior(East)</t>
  </si>
  <si>
    <t>Otto Stock Dykes and Aureole</t>
  </si>
  <si>
    <t>N+R Component</t>
  </si>
  <si>
    <t>C*+,R-</t>
  </si>
  <si>
    <t>17or83</t>
    <phoneticPr fontId="4" type="noConversion"/>
  </si>
  <si>
    <t>2680±1 for stock, but lamprophyre dykes are younger (ca.2670-2675), J.Ayers, pers.comm. 2008</t>
  </si>
  <si>
    <t>Pullaiah,G., Irving,E.</t>
  </si>
  <si>
    <t>12</t>
  </si>
  <si>
    <t>1609-1618</t>
  </si>
  <si>
    <t>Paleomagnetism of the contact aureole and late dikes of the Otto Stock, Ontario, and its application to Early Proterozoic apparent polar wandering</t>
  </si>
  <si>
    <t>Overlaps with Cenozoic</t>
  </si>
  <si>
    <t>PTARMIGAN MEAN</t>
  </si>
  <si>
    <t xml:space="preserve">2505±2, </t>
  </si>
  <si>
    <t>PTARMIGAN MEAN</t>
    <phoneticPr fontId="4" type="noConversion"/>
  </si>
  <si>
    <t>Evans,D.A.D., Halls,H.C.</t>
  </si>
  <si>
    <t>474-489</t>
  </si>
  <si>
    <t>Restoring Proterozoic deformation within the Superior craton</t>
  </si>
  <si>
    <t>MATACHEWAN R</t>
    <phoneticPr fontId="4" type="noConversion"/>
  </si>
  <si>
    <t>two ages, both U-Pb(z)</t>
  </si>
  <si>
    <t>MATACHEWAN N</t>
    <phoneticPr fontId="4" type="noConversion"/>
  </si>
  <si>
    <t xml:space="preserve">2446±3, </t>
  </si>
  <si>
    <t>SENNETERRE</t>
    <phoneticPr fontId="4" type="noConversion"/>
  </si>
  <si>
    <t>B+93</t>
    <phoneticPr fontId="4" type="noConversion"/>
  </si>
  <si>
    <t xml:space="preserve">2216+8/-4, </t>
  </si>
  <si>
    <t>1286-1296</t>
  </si>
  <si>
    <t>Northeast-trending Early Proterozoic dykes of southern Superior Province: multiple episodes of emplacement recognized from integrated paleomagnetism and U-Pb geochronology</t>
  </si>
  <si>
    <t>NIPISSING N1</t>
    <phoneticPr fontId="4" type="noConversion"/>
  </si>
  <si>
    <t xml:space="preserve">2217±4, </t>
  </si>
  <si>
    <t>BISCOTASING</t>
    <phoneticPr fontId="4" type="noConversion"/>
  </si>
  <si>
    <t>2167-2172, range of ages summarized in Halls et al. 2008</t>
  </si>
  <si>
    <t>LAC ESPRIT</t>
    <phoneticPr fontId="4" type="noConversion"/>
  </si>
  <si>
    <t xml:space="preserve">2069±1, </t>
  </si>
  <si>
    <t>MINTO</t>
    <phoneticPr fontId="4" type="noConversion"/>
  </si>
  <si>
    <t xml:space="preserve">1998±2, </t>
  </si>
  <si>
    <t>Laurentia-Superior(West)</t>
  </si>
  <si>
    <t>MARATHON N</t>
    <phoneticPr fontId="4" type="noConversion"/>
  </si>
  <si>
    <t>H+08</t>
    <phoneticPr fontId="4" type="noConversion"/>
  </si>
  <si>
    <t xml:space="preserve">2121-2126, </t>
  </si>
  <si>
    <t>Halls,H.C., Davis,D.W., Stott,G.M., Ernst,R.E., Hamilton,M.A.</t>
  </si>
  <si>
    <t>327-353</t>
  </si>
  <si>
    <t>The Paleoproterozoic Marathon Large Igneous Province: New evidence for a 2.1 Ga long-lived mantle plume event along the southern margin of the North American Superior Province</t>
  </si>
  <si>
    <t>MARATHON R</t>
    <phoneticPr fontId="4" type="noConversion"/>
  </si>
  <si>
    <t xml:space="preserve">2101-2106, </t>
  </si>
  <si>
    <t>Overlaps with Mesozoic APWP</t>
  </si>
  <si>
    <t>CAUCHON LAKE</t>
    <phoneticPr fontId="4" type="noConversion"/>
  </si>
  <si>
    <t xml:space="preserve">2091±2, </t>
  </si>
  <si>
    <t>FORT FRANCES</t>
    <phoneticPr fontId="4" type="noConversion"/>
  </si>
  <si>
    <t xml:space="preserve">2076+5/-4, </t>
  </si>
  <si>
    <t>MOLSON B+C2</t>
    <phoneticPr fontId="4" type="noConversion"/>
  </si>
  <si>
    <t xml:space="preserve">1877+7/-4, </t>
  </si>
  <si>
    <t>Laurentia-Svalbard</t>
  </si>
  <si>
    <t>Lower Grusdievbreen Formation</t>
    <phoneticPr fontId="4" type="noConversion"/>
  </si>
  <si>
    <t>Fo</t>
    <phoneticPr fontId="4" type="noConversion"/>
  </si>
  <si>
    <t>pre-Bitter Springs, authors</t>
  </si>
  <si>
    <t>Maloof,A.C., Halverson,G.P., Kirschvink,J.L., Schrag,D.P., Weiss,B.P., Hoffman,P.F.</t>
  </si>
  <si>
    <t>Geol.Soc.Am.Bulletin</t>
  </si>
  <si>
    <t>1099-1124</t>
  </si>
  <si>
    <t>Combined paleomagnetic, isotopic, and stratigraphic evidence for true polar wander from the Neoproterozoic Akademikerbreen Group, Svalbard, Norway</t>
  </si>
  <si>
    <t>Upper Grusdievbreen Formation</t>
  </si>
  <si>
    <t>789-811, authors</t>
  </si>
  <si>
    <t>Upper Grusdievbreen Formation</t>
    <phoneticPr fontId="4" type="noConversion"/>
  </si>
  <si>
    <t>Svanbergfjellet Formation</t>
    <phoneticPr fontId="4" type="noConversion"/>
  </si>
  <si>
    <t>F*+</t>
    <phoneticPr fontId="4" type="noConversion"/>
  </si>
  <si>
    <t>pre-Islay anomaly, post BS, authors</t>
  </si>
  <si>
    <t>Laurentia-Trans-Hudson orogen</t>
  </si>
  <si>
    <t>Boot-Phantom Pluton</t>
  </si>
  <si>
    <t>Rc,C+</t>
  </si>
  <si>
    <t>Symons,D.T.A., Mackay,C.D.</t>
  </si>
  <si>
    <t>Basement Tectonics</t>
  </si>
  <si>
    <t>313-331</t>
  </si>
  <si>
    <t>Paleomagnetism of the Boot-Phantom pluton and the amalgamation of the Juvenile domains in the Paleoproterozoic Trans-Hudson Orogen, Canada</t>
  </si>
  <si>
    <t>Deschambault Pegmatites</t>
  </si>
  <si>
    <t>Symons, D.T.A., Symons, T.B., Lewchuk, M.T.</t>
  </si>
  <si>
    <t>Phys.Chem.Earth(A)</t>
  </si>
  <si>
    <t>479-487</t>
  </si>
  <si>
    <t>Paleomagnetism of the Deschambault Pegmatites: Stillstand and Hairpin at the end of the Paleoproterozoic Trans-Hudson Orogeny, Canada</t>
  </si>
  <si>
    <t>Jan Lake Granite</t>
  </si>
  <si>
    <t>A component</t>
    <phoneticPr fontId="4" type="noConversion"/>
  </si>
  <si>
    <t>1758±1, Bickford+05</t>
  </si>
  <si>
    <t>Gala,M.G., Symons,D.T.A., Palmer,H.C.</t>
  </si>
  <si>
    <t>Saskatchewan Geol.Surv.Misc.Rpt., 95-4</t>
  </si>
  <si>
    <t>145-152</t>
  </si>
  <si>
    <t>Paleomagnetism of the Jan Lake Granite, Trans-Hudson Lake Orogen</t>
  </si>
  <si>
    <t>Laurentia-Wyoming</t>
  </si>
  <si>
    <t>Stillwater Complex - C2</t>
  </si>
  <si>
    <t>2705±4, new</t>
  </si>
  <si>
    <t>Selkin, P.A., Gee, J.S., Meurer, W.P., Hemming, S.R.</t>
  </si>
  <si>
    <t>G-cubed</t>
    <phoneticPr fontId="4" type="noConversion"/>
  </si>
  <si>
    <t>23pp</t>
  </si>
  <si>
    <t>Paleointensity record from the 2.7 Ga Stillwater Complex, Montana</t>
  </si>
  <si>
    <t>Corresponds to Cenozoic/Present Local Field</t>
  </si>
  <si>
    <t>Rabbit Creek, Powder River and South Path Dykes</t>
  </si>
  <si>
    <t xml:space="preserve">C+,Rc
</t>
  </si>
  <si>
    <t xml:space="preserve">15or85
</t>
  </si>
  <si>
    <t xml:space="preserve">U-Pb baddeleyite: 2156+/-3  2154+/-3  2158+/-4  2164+/-7  2164+/-7 Ma
</t>
  </si>
  <si>
    <t xml:space="preserve">Kilian, T.M., Bleeker, W., Chamberlain, K., Evans, D.A.D., Cousens, B.
</t>
  </si>
  <si>
    <t>Geological Society, London, Special Publications</t>
  </si>
  <si>
    <t>15–45</t>
  </si>
  <si>
    <t>Palaeomagnetism, geochronology and geochemistry of the Palaeoproterozoic Rabbit Creek and Powder River dyke swarms: implications for Wyoming in supercraton Superia</t>
  </si>
  <si>
    <t>Sourdough mafic dike swarm</t>
  </si>
  <si>
    <t>6or94</t>
  </si>
  <si>
    <t xml:space="preserve">U-Pb baddeleyite: 1899+/-5 Ma
</t>
  </si>
  <si>
    <t>Kilian, T.M., Chamberlain, K.R., Evans, D.A.D., Bleeker, W., Cousens, B.L.</t>
  </si>
  <si>
    <t xml:space="preserve">2016
</t>
  </si>
  <si>
    <t>863–866</t>
  </si>
  <si>
    <t>Wyoming on the run—Toward  nal Paleoproterozoic assembly of Laurentia</t>
  </si>
  <si>
    <t>Overlaps with Ediacaran poles</t>
  </si>
  <si>
    <t xml:space="preserve"> POLE AUTHORS</t>
  </si>
  <si>
    <t>Overlap_Comment</t>
  </si>
  <si>
    <t>Pole_citation_code</t>
  </si>
  <si>
    <t>Geochron_citation_code</t>
  </si>
  <si>
    <t>not directly dated; dated elsewhere in domain by \cite{Chiarenzelli1989a}</t>
  </si>
  <si>
    <t>\cite{Bickford2005a}</t>
  </si>
  <si>
    <t>\cite{Symons2000a}</t>
  </si>
  <si>
    <t>\cite{Symons1999a}</t>
  </si>
  <si>
    <t>\cite{Kilian2016a}</t>
  </si>
  <si>
    <t>\cite{Kilian2015a}</t>
  </si>
  <si>
    <t>\cite{Selkin2008a}</t>
  </si>
  <si>
    <t>\cite{Evans2010a}</t>
  </si>
  <si>
    <t>\cite{Halls2008a}</t>
  </si>
  <si>
    <t>\cite{Pullaiah1975b}</t>
  </si>
  <si>
    <t>\cite{Buchan2000a}</t>
  </si>
  <si>
    <t>changed dp/dm to match Buchan1993</t>
  </si>
  <si>
    <t>\cite{Buchan1993a}</t>
  </si>
  <si>
    <t>\cite{Gala1995a}</t>
  </si>
  <si>
    <t>Notes_Changes_from_Leirubakki</t>
  </si>
  <si>
    <t>Gala et al. 1995 make a division between VGPs based on their directions. This division doesn't correspond to lithology. They calculate two distinct poles (as well as an overall mean pole). It is unclear which one of these should be paired with the 1758± Bickford et al. (2005) date. For some reason the A grouping was chosen in the Nordic compilation.</t>
  </si>
  <si>
    <t>Ar-Ar hornblende plateau in \cite{Halls1999a} interpretted as age of remanence</t>
  </si>
  <si>
    <t>\cite{Halls1999a}</t>
  </si>
  <si>
    <t>\cite{McGlynn1974a}</t>
  </si>
  <si>
    <t>\cite{Evans1973a}</t>
  </si>
  <si>
    <t>\cite{Mitchell2014a}</t>
  </si>
  <si>
    <t>\cite{Davis1999a}</t>
  </si>
  <si>
    <t>\cite{Buchan2009a}</t>
  </si>
  <si>
    <t>U–Pb baddeleyite ages of 2023 ± 2 and 2027 ± 4 Ma in \cite{Buchan2009a}</t>
  </si>
  <si>
    <t>U–Pb baddeleyite date of 2231 ± 2 Ma in \cite{Buchan2012a}</t>
  </si>
  <si>
    <t>\cite{Buchan2012a}</t>
  </si>
  <si>
    <t>\cite{Buchan2016a}</t>
  </si>
  <si>
    <t>U–Pb baddeleyite date 2193 ± 2 Ma in \cite{Mitchell2014a}</t>
  </si>
  <si>
    <t>U–Pb baddeleyite date of 2126 ± 3, U-Pb \cite{Buchan2016a} and unpublished abstract cited in text</t>
  </si>
  <si>
    <t>\cite{Mitchell2010c}</t>
  </si>
  <si>
    <t>\cite{Meert2002b}</t>
  </si>
  <si>
    <t>"The St. Francois Mountains (SFM) region of Missouri is a
1476 ± 16 Ma igneous province in central Laurentia (Figure 1;
mean age compiled from Van Schmus et al. [1993]"</t>
  </si>
  <si>
    <t>\cite{Evans1981a}</t>
  </si>
  <si>
    <t>\citep{Irving1979a}</t>
  </si>
  <si>
    <t>\cite{Park1973}</t>
  </si>
  <si>
    <t>\cite{Irving2004}</t>
  </si>
  <si>
    <t>\cite{Irving1972}</t>
  </si>
  <si>
    <t>\cite{Emslie1976a}</t>
  </si>
  <si>
    <t>\cite{Elston2002}</t>
  </si>
  <si>
    <t>\cite{Harlan2008a}</t>
  </si>
  <si>
    <t>3 studies (Electra Lake 8342, Laramie anorthosite 7493, Sherman 7494)</t>
  </si>
  <si>
    <t>\cite{Fahrig1976a}</t>
  </si>
  <si>
    <t>\citep{Murthy1978a}</t>
  </si>
  <si>
    <t>Biscotasing</t>
  </si>
  <si>
    <t>Nipissing N1</t>
  </si>
  <si>
    <t>Senneterre</t>
  </si>
  <si>
    <t>\cite{Swanson-Hysell2014a}</t>
  </si>
  <si>
    <t>\cite{Swanson-Hysell2014b}</t>
  </si>
  <si>
    <t>Agate Pt rhyolite 1105.15 ± 0.3 U-Pb, interbedded with Osler R sites associated with this pole (Swanson-Hysell et al. 2019)</t>
  </si>
  <si>
    <t>GSA Bulletin</t>
  </si>
  <si>
    <t>Swanson-Hysell, N. et al</t>
  </si>
  <si>
    <t>1085.67 ± 0.2 date in andesite, Fairchild et al. 2017</t>
  </si>
  <si>
    <t>\cite{Fairchild2017a}</t>
  </si>
  <si>
    <t>\cite{Donadini2011a}</t>
  </si>
  <si>
    <t>\cite{Weil2003a}</t>
  </si>
  <si>
    <t>\cite{Books1972a, Hnat2006a} as calculated in \cite{Swanson-Hysell2019a}</t>
  </si>
  <si>
    <t>\citep{Kean1997a}</t>
  </si>
  <si>
    <t>\cite{Tauxe2009a,Swanson-Hysell2019a}</t>
  </si>
  <si>
    <t>\cite{Ernst1993a}</t>
  </si>
  <si>
    <t>\cite{Palmer1977a}</t>
  </si>
  <si>
    <t>\cite{Henry1977a}</t>
  </si>
  <si>
    <t>\cite{Warnock2000a}</t>
  </si>
  <si>
    <t>\cite{Park1989a}</t>
  </si>
  <si>
    <t>\cite{Weil2006a}</t>
  </si>
  <si>
    <t>\cite{Denyszyn2009a}</t>
  </si>
  <si>
    <t>\cite{Murthy1992a}</t>
  </si>
  <si>
    <t>\cite{McCausland2011a}</t>
  </si>
  <si>
    <t>\cite{Symons1991a}</t>
  </si>
  <si>
    <t>\cite{Meert1994a}</t>
  </si>
  <si>
    <t>\cite{Tancyk1987a}</t>
  </si>
  <si>
    <t>Halls, Hamilton and Denyszyn</t>
  </si>
  <si>
    <t>Dyke Swarms: Keys for Geodynamic Interpretation</t>
  </si>
  <si>
    <t>\cite{Halls2011a}</t>
  </si>
  <si>
    <t>\cite{Maloof2006a}</t>
  </si>
  <si>
    <t>add data from Swanson-Hysell et al. 2019</t>
  </si>
  <si>
    <t>update ages based on Swanson-Hysell et al. 2019</t>
  </si>
  <si>
    <t>update to correct reference</t>
  </si>
  <si>
    <t>updated pole based on calculation made in Swanson-Hysell et al. 2019</t>
  </si>
  <si>
    <t>Mean Seton/Akaitcho/Mara</t>
  </si>
  <si>
    <t>Mean Kahochella, Peacock Hills</t>
  </si>
  <si>
    <t>Mean Pearson A/Peninsular sill/Kilohigok basin sill</t>
  </si>
  <si>
    <t>Mean Rocky Mountain intrusions</t>
  </si>
  <si>
    <t>Mean Nipigon sills and lavas</t>
  </si>
  <si>
    <t>Torridon Group</t>
  </si>
  <si>
    <t>Stoer Group</t>
  </si>
  <si>
    <t>Gunbarrel dykes</t>
  </si>
  <si>
    <t xml:space="preserve">Haig/Flaherty/Sutton Mean </t>
  </si>
  <si>
    <t>Nordic workshop calculation based on data of \cite{Harlan1993a, Harlan1997a}</t>
  </si>
  <si>
    <t>8-unit mean of: Inspiration sills, Pillar Lake lava, Seagull intrusion (Borradaile+06), Nipigon sills (Middleton+04), Logan sills R x3 (Pesonen 79, Robertson+Fahrig 71, Palmer 70), Thunder Bay R dykes (Pesonen 79)</t>
  </si>
  <si>
    <t>Nordic workshop calculation based on data of \cite{Palmer1970a, Robertson1971a, Pesonen1979a, Pesonen1979b, Middleton2004a, Borradaile2006a}</t>
  </si>
  <si>
    <t>Nordic workshop calculation based on data of \cite{Harlan1994a,Harlan1998a}</t>
  </si>
  <si>
    <t>Nordic workshop calculation based on data of \cite{Schmidt1980a, Schwarz1982a}</t>
  </si>
  <si>
    <t>\cite{Halls1974a, Swanson-Hysell2014b, Swanson-Hysell2019a}</t>
  </si>
  <si>
    <t>Ontario lamprophyre dykes</t>
  </si>
  <si>
    <t>baked contact test, reversal test</t>
  </si>
  <si>
    <t>1143 ± 12 U-Pb perovskite, 1145 + 15/_x0001_10 U-Pb perovskite, 1141 ± 9 U-Pb perovskite, 1144 ± 7 40Ar/39Ar phlogopite dates in Queen et al. (1996)</t>
  </si>
  <si>
    <t>Piispa et al</t>
  </si>
  <si>
    <t>\cite{Piispa2018a}</t>
  </si>
  <si>
    <t>newly added (we should discuss rating — I think that 'A' makes sense given field tests, Q of 7 rating, and context although ages are a bit tricky)</t>
  </si>
  <si>
    <t>\cite{Piper1992a}</t>
  </si>
  <si>
    <t>\cite{Piper1977b}</t>
  </si>
  <si>
    <t>\cite{Piper1977a}</t>
  </si>
  <si>
    <t>\cite{Fahrig1976b}</t>
  </si>
  <si>
    <t>Nordic workshop calculation</t>
  </si>
  <si>
    <t>\cite{Marcussen1983a}</t>
  </si>
  <si>
    <t>\cite{Abrahamsen1987a}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</si>
</sst>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
    <numFmt numFmtId="166" formatCode="000.0"/>
  </numFmts>
  <fonts count="17" x14ac:knownFonts="1">
    <font>
      <sz val="10"/>
      <name val="Verdana"/>
    </font>
    <font>
      <sz val="11"/>
      <color theme="1"/>
      <name val="Calibri"/>
      <family val="2"/>
      <scheme val="minor"/>
    </font>
    <font>
      <sz val="8"/>
      <name val="Verdana"/>
      <family val="2"/>
    </font>
    <font>
      <sz val="12"/>
      <color theme="1"/>
      <name val="Calibri"/>
      <family val="2"/>
      <scheme val="minor"/>
    </font>
    <font>
      <sz val="12"/>
      <color rgb="FF9C6500"/>
      <name val="Calibri"/>
      <family val="2"/>
      <scheme val="minor"/>
    </font>
    <font>
      <sz val="10"/>
      <color rgb="FFFF0000"/>
      <name val="Verdana"/>
      <family val="2"/>
    </font>
    <font>
      <sz val="10"/>
      <color theme="1"/>
      <name val="Verdana"/>
      <family val="2"/>
    </font>
    <font>
      <b/>
      <sz val="10"/>
      <color theme="1"/>
      <name val="Verdana"/>
      <family val="2"/>
    </font>
    <font>
      <b/>
      <sz val="10"/>
      <color rgb="FFFF0000"/>
      <name val="Verdana"/>
      <family val="2"/>
    </font>
    <font>
      <u/>
      <sz val="10"/>
      <color theme="10"/>
      <name val="Verdana"/>
      <family val="2"/>
    </font>
    <font>
      <u/>
      <sz val="10"/>
      <color theme="11"/>
      <name val="Verdana"/>
      <family val="2"/>
    </font>
    <font>
      <sz val="12"/>
      <color rgb="FF9C0006"/>
      <name val="Calibri"/>
      <family val="2"/>
      <scheme val="minor"/>
    </font>
    <font>
      <sz val="10"/>
      <color rgb="FF9C0006"/>
      <name val="Verdana"/>
      <family val="2"/>
    </font>
    <font>
      <sz val="11"/>
      <color rgb="FF000000"/>
      <name val="Calibri"/>
      <family val="2"/>
    </font>
    <font>
      <sz val="10"/>
      <name val="Arial"/>
      <family val="2"/>
    </font>
    <font>
      <sz val="10"/>
      <name val="Verdana"/>
      <family val="2"/>
    </font>
    <font>
      <sz val="9"/>
      <color rgb="FFFF0000"/>
      <name val="Helvetica"/>
      <family val="2"/>
    </font>
  </fonts>
  <fills count="9">
    <fill>
      <patternFill patternType="none"/>
    </fill>
    <fill>
      <patternFill patternType="gray125"/>
    </fill>
    <fill>
      <patternFill patternType="solid">
        <fgColor indexed="45"/>
        <bgColor indexed="64"/>
      </patternFill>
    </fill>
    <fill>
      <patternFill patternType="solid">
        <fgColor indexed="13"/>
        <bgColor indexed="64"/>
      </patternFill>
    </fill>
    <fill>
      <patternFill patternType="solid">
        <fgColor indexed="47"/>
        <bgColor indexed="64"/>
      </patternFill>
    </fill>
    <fill>
      <patternFill patternType="solid">
        <fgColor rgb="FFFFEB9C"/>
      </patternFill>
    </fill>
    <fill>
      <patternFill patternType="solid">
        <fgColor rgb="FFFFC7CE"/>
      </patternFill>
    </fill>
    <fill>
      <patternFill patternType="solid">
        <fgColor rgb="FFFFFF00"/>
        <bgColor indexed="64"/>
      </patternFill>
    </fill>
    <fill>
      <patternFill patternType="solid">
        <fgColor indexed="9"/>
        <bgColor indexed="64"/>
      </patternFill>
    </fill>
  </fills>
  <borders count="1">
    <border>
      <left/>
      <right/>
      <top/>
      <bottom/>
      <diagonal/>
    </border>
  </borders>
  <cellStyleXfs count="190">
    <xf numFmtId="0" fontId="0" fillId="0" borderId="0"/>
    <xf numFmtId="0" fontId="4" fillId="5" borderId="0" applyNumberFormat="0" applyBorder="0" applyAlignment="0" applyProtection="0"/>
    <xf numFmtId="0" fontId="3"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6"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4"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 fillId="0" borderId="0"/>
  </cellStyleXfs>
  <cellXfs count="165">
    <xf numFmtId="0" fontId="0" fillId="0" borderId="0" xfId="0"/>
    <xf numFmtId="1" fontId="5" fillId="2" borderId="0" xfId="0" applyNumberFormat="1" applyFont="1" applyFill="1" applyAlignment="1">
      <alignment horizontal="center" vertical="center"/>
    </xf>
    <xf numFmtId="1" fontId="5" fillId="0" borderId="0" xfId="0" applyNumberFormat="1" applyFont="1" applyFill="1" applyAlignment="1">
      <alignment horizontal="center" vertical="center"/>
    </xf>
    <xf numFmtId="0" fontId="5" fillId="0" borderId="0" xfId="0" applyFont="1"/>
    <xf numFmtId="0" fontId="5" fillId="0" borderId="0" xfId="0" applyFont="1" applyAlignment="1">
      <alignment horizontal="center"/>
    </xf>
    <xf numFmtId="164" fontId="6" fillId="0" borderId="0" xfId="0" applyNumberFormat="1" applyFont="1" applyFill="1" applyAlignment="1">
      <alignment horizontal="center" vertical="center"/>
    </xf>
    <xf numFmtId="1" fontId="6" fillId="2" borderId="0" xfId="0" applyNumberFormat="1" applyFont="1" applyFill="1" applyAlignment="1">
      <alignment horizontal="center" vertical="center"/>
    </xf>
    <xf numFmtId="1" fontId="6" fillId="4" borderId="0" xfId="0" applyNumberFormat="1" applyFont="1" applyFill="1" applyAlignment="1">
      <alignment horizontal="center" vertical="center"/>
    </xf>
    <xf numFmtId="1" fontId="6" fillId="0" borderId="0" xfId="0" applyNumberFormat="1" applyFont="1" applyFill="1" applyAlignment="1">
      <alignment horizontal="center" vertical="center"/>
    </xf>
    <xf numFmtId="0" fontId="5" fillId="0" borderId="0" xfId="0" applyFont="1" applyFill="1" applyAlignment="1">
      <alignment horizontal="center"/>
    </xf>
    <xf numFmtId="1" fontId="5" fillId="4" borderId="0" xfId="0" applyNumberFormat="1" applyFont="1" applyFill="1" applyAlignment="1">
      <alignment horizontal="center" vertical="center"/>
    </xf>
    <xf numFmtId="0" fontId="5" fillId="0" borderId="0" xfId="0" applyFont="1" applyFill="1" applyAlignment="1">
      <alignment vertical="center"/>
    </xf>
    <xf numFmtId="0" fontId="5" fillId="0" borderId="0" xfId="0" applyFont="1" applyAlignment="1">
      <alignment horizontal="left"/>
    </xf>
    <xf numFmtId="0" fontId="6" fillId="0" borderId="0" xfId="2" applyFont="1" applyAlignment="1">
      <alignment horizontal="center"/>
    </xf>
    <xf numFmtId="1" fontId="6" fillId="0" borderId="0" xfId="1" applyNumberFormat="1" applyFont="1" applyFill="1" applyAlignment="1">
      <alignment horizontal="center"/>
    </xf>
    <xf numFmtId="0" fontId="6" fillId="0" borderId="0" xfId="1" applyFont="1" applyFill="1" applyAlignment="1">
      <alignment horizontal="center"/>
    </xf>
    <xf numFmtId="0" fontId="6" fillId="0" borderId="0" xfId="0" applyFont="1" applyAlignment="1">
      <alignment horizontal="left" vertical="center"/>
    </xf>
    <xf numFmtId="0" fontId="7" fillId="0" borderId="0" xfId="0" applyFont="1" applyFill="1" applyAlignment="1">
      <alignment horizontal="left" vertical="center"/>
    </xf>
    <xf numFmtId="1" fontId="7" fillId="0" borderId="0" xfId="0" applyNumberFormat="1" applyFont="1" applyFill="1" applyAlignment="1">
      <alignment vertical="center"/>
    </xf>
    <xf numFmtId="1" fontId="7" fillId="0" borderId="0" xfId="0" applyNumberFormat="1" applyFont="1" applyFill="1" applyAlignment="1">
      <alignment horizontal="center" vertical="center"/>
    </xf>
    <xf numFmtId="1" fontId="7" fillId="0" borderId="0" xfId="0" applyNumberFormat="1" applyFont="1" applyFill="1" applyAlignment="1">
      <alignment horizontal="left" vertical="center"/>
    </xf>
    <xf numFmtId="164" fontId="7" fillId="0" borderId="0" xfId="0" applyNumberFormat="1" applyFont="1" applyFill="1" applyAlignment="1">
      <alignment horizontal="center" vertical="center"/>
    </xf>
    <xf numFmtId="0" fontId="7" fillId="0" borderId="0" xfId="0" applyFont="1" applyFill="1" applyAlignment="1">
      <alignment horizontal="center" vertical="center"/>
    </xf>
    <xf numFmtId="0" fontId="6" fillId="0" borderId="0" xfId="0" applyFont="1" applyFill="1" applyAlignment="1">
      <alignment horizontal="center" vertical="center"/>
    </xf>
    <xf numFmtId="0" fontId="7" fillId="0" borderId="0" xfId="0" applyFont="1" applyFill="1" applyAlignment="1">
      <alignment vertical="center"/>
    </xf>
    <xf numFmtId="1" fontId="6" fillId="0" borderId="0" xfId="0" applyNumberFormat="1" applyFont="1" applyFill="1" applyAlignment="1">
      <alignment vertical="center"/>
    </xf>
    <xf numFmtId="1" fontId="6" fillId="0" borderId="0" xfId="0" applyNumberFormat="1" applyFont="1" applyFill="1" applyBorder="1" applyAlignment="1">
      <alignment horizontal="left" vertical="center"/>
    </xf>
    <xf numFmtId="1" fontId="6" fillId="0" borderId="0" xfId="0" applyNumberFormat="1" applyFont="1" applyFill="1" applyBorder="1" applyAlignment="1">
      <alignment horizontal="center" vertical="center"/>
    </xf>
    <xf numFmtId="0" fontId="6" fillId="0" borderId="0" xfId="0" applyFont="1" applyFill="1" applyBorder="1" applyAlignment="1">
      <alignment horizontal="left" vertical="center"/>
    </xf>
    <xf numFmtId="0" fontId="6" fillId="0" borderId="0" xfId="0" applyFont="1" applyFill="1" applyBorder="1" applyAlignment="1">
      <alignment horizontal="center" vertical="center"/>
    </xf>
    <xf numFmtId="164" fontId="6" fillId="0" borderId="0" xfId="0" applyNumberFormat="1" applyFont="1" applyFill="1" applyBorder="1" applyAlignment="1">
      <alignment horizontal="center" vertical="center"/>
    </xf>
    <xf numFmtId="0" fontId="6" fillId="0" borderId="0" xfId="0" applyFont="1" applyFill="1" applyAlignment="1">
      <alignment vertical="center"/>
    </xf>
    <xf numFmtId="0" fontId="6" fillId="0" borderId="0" xfId="0" applyFont="1" applyAlignment="1">
      <alignment vertical="center"/>
    </xf>
    <xf numFmtId="0" fontId="6" fillId="0" borderId="0" xfId="0" applyFont="1"/>
    <xf numFmtId="0" fontId="6" fillId="0" borderId="0" xfId="0" applyFont="1" applyAlignment="1">
      <alignment horizontal="center"/>
    </xf>
    <xf numFmtId="0" fontId="6" fillId="0" borderId="0" xfId="0" applyFont="1" applyAlignment="1">
      <alignment horizontal="left"/>
    </xf>
    <xf numFmtId="0" fontId="6" fillId="0" borderId="0" xfId="0" applyFont="1" applyFill="1" applyAlignment="1">
      <alignment horizontal="center"/>
    </xf>
    <xf numFmtId="0" fontId="6" fillId="0" borderId="0" xfId="0" applyFont="1" applyAlignment="1">
      <alignment horizontal="center" vertical="center"/>
    </xf>
    <xf numFmtId="1" fontId="6" fillId="0" borderId="0" xfId="0" applyNumberFormat="1" applyFont="1" applyAlignment="1">
      <alignment horizontal="center" vertical="center"/>
    </xf>
    <xf numFmtId="1" fontId="6" fillId="0" borderId="0" xfId="0" applyNumberFormat="1" applyFont="1" applyAlignment="1">
      <alignment horizontal="left" vertical="center"/>
    </xf>
    <xf numFmtId="164" fontId="6" fillId="0" borderId="0" xfId="0" applyNumberFormat="1" applyFont="1" applyAlignment="1">
      <alignment horizontal="center" vertical="center"/>
    </xf>
    <xf numFmtId="0" fontId="6" fillId="0" borderId="0" xfId="0" applyFont="1" applyFill="1" applyAlignment="1">
      <alignment horizontal="left" vertical="center"/>
    </xf>
    <xf numFmtId="1" fontId="6" fillId="0" borderId="0" xfId="0" applyNumberFormat="1" applyFont="1" applyFill="1" applyAlignment="1">
      <alignment horizontal="left" vertical="center"/>
    </xf>
    <xf numFmtId="0" fontId="6" fillId="0" borderId="0" xfId="0" applyFont="1" applyFill="1" applyBorder="1" applyAlignment="1">
      <alignment vertical="center"/>
    </xf>
    <xf numFmtId="1" fontId="6" fillId="3" borderId="0" xfId="0" applyNumberFormat="1" applyFont="1" applyFill="1" applyBorder="1" applyAlignment="1">
      <alignment horizontal="left" vertical="center"/>
    </xf>
    <xf numFmtId="164" fontId="6" fillId="3" borderId="0" xfId="0" applyNumberFormat="1" applyFont="1" applyFill="1" applyBorder="1" applyAlignment="1">
      <alignment horizontal="center" vertical="center"/>
    </xf>
    <xf numFmtId="0" fontId="7" fillId="0" borderId="0" xfId="0" applyFont="1" applyAlignment="1">
      <alignment vertical="center"/>
    </xf>
    <xf numFmtId="1" fontId="6" fillId="0" borderId="0" xfId="0" applyNumberFormat="1" applyFont="1" applyAlignment="1">
      <alignment vertical="center"/>
    </xf>
    <xf numFmtId="0" fontId="6" fillId="0" borderId="0" xfId="0" applyFont="1" applyFill="1" applyAlignment="1">
      <alignment horizontal="right" vertical="center"/>
    </xf>
    <xf numFmtId="165" fontId="7" fillId="0" borderId="0" xfId="0" applyNumberFormat="1" applyFont="1" applyFill="1" applyAlignment="1">
      <alignment horizontal="center" vertical="center"/>
    </xf>
    <xf numFmtId="165" fontId="6" fillId="0" borderId="0" xfId="0" applyNumberFormat="1" applyFont="1" applyFill="1" applyBorder="1" applyAlignment="1">
      <alignment horizontal="center" vertical="center"/>
    </xf>
    <xf numFmtId="165" fontId="6" fillId="0" borderId="0" xfId="0" applyNumberFormat="1" applyFont="1" applyFill="1" applyAlignment="1">
      <alignment horizontal="center" vertical="center"/>
    </xf>
    <xf numFmtId="166" fontId="7" fillId="0" borderId="0" xfId="0" applyNumberFormat="1" applyFont="1" applyFill="1" applyAlignment="1">
      <alignment horizontal="center" vertical="center"/>
    </xf>
    <xf numFmtId="166" fontId="6" fillId="0" borderId="0" xfId="0" applyNumberFormat="1" applyFont="1" applyFill="1" applyBorder="1" applyAlignment="1">
      <alignment horizontal="center" vertical="center"/>
    </xf>
    <xf numFmtId="166" fontId="6" fillId="0" borderId="0" xfId="0" applyNumberFormat="1" applyFont="1" applyFill="1" applyAlignment="1">
      <alignment horizontal="center" vertical="center"/>
    </xf>
    <xf numFmtId="166" fontId="7" fillId="0" borderId="0" xfId="0" applyNumberFormat="1" applyFont="1" applyFill="1" applyBorder="1" applyAlignment="1">
      <alignment horizontal="center" vertical="center"/>
    </xf>
    <xf numFmtId="165" fontId="7" fillId="0" borderId="0" xfId="0" applyNumberFormat="1" applyFont="1" applyFill="1" applyBorder="1" applyAlignment="1">
      <alignment horizontal="center" vertical="center"/>
    </xf>
    <xf numFmtId="0" fontId="5" fillId="0" borderId="0" xfId="0" applyFont="1" applyFill="1" applyBorder="1" applyAlignment="1">
      <alignment horizontal="center" vertical="center"/>
    </xf>
    <xf numFmtId="0" fontId="8" fillId="0" borderId="0" xfId="0" applyFont="1" applyFill="1" applyAlignment="1">
      <alignment horizontal="center" vertical="center"/>
    </xf>
    <xf numFmtId="0" fontId="5" fillId="0" borderId="0" xfId="0" applyFont="1" applyFill="1" applyAlignment="1">
      <alignment horizontal="center" vertical="center"/>
    </xf>
    <xf numFmtId="1" fontId="5" fillId="0" borderId="0" xfId="0" applyNumberFormat="1" applyFont="1" applyFill="1" applyAlignment="1">
      <alignment vertical="center"/>
    </xf>
    <xf numFmtId="1" fontId="5" fillId="0" borderId="0" xfId="0" applyNumberFormat="1" applyFont="1" applyFill="1" applyAlignment="1">
      <alignment horizontal="left" vertical="center"/>
    </xf>
    <xf numFmtId="0" fontId="5" fillId="0" borderId="0" xfId="0" applyFont="1" applyFill="1" applyAlignment="1">
      <alignment horizontal="left" vertical="center"/>
    </xf>
    <xf numFmtId="164" fontId="5" fillId="0" borderId="0" xfId="0" applyNumberFormat="1" applyFont="1" applyFill="1" applyAlignment="1">
      <alignment horizontal="center" vertical="center"/>
    </xf>
    <xf numFmtId="1" fontId="5" fillId="0" borderId="0" xfId="0" applyNumberFormat="1" applyFont="1" applyAlignment="1">
      <alignment horizontal="center" vertical="center"/>
    </xf>
    <xf numFmtId="0" fontId="0" fillId="0" borderId="0" xfId="0" applyFont="1" applyFill="1" applyAlignment="1">
      <alignment horizontal="center" vertical="center"/>
    </xf>
    <xf numFmtId="1" fontId="0" fillId="0" borderId="0" xfId="0" applyNumberFormat="1" applyFont="1" applyFill="1" applyAlignment="1">
      <alignment horizontal="center" vertical="center"/>
    </xf>
    <xf numFmtId="1" fontId="0" fillId="0" borderId="0" xfId="0" applyNumberFormat="1" applyFont="1" applyAlignment="1">
      <alignment vertical="center"/>
    </xf>
    <xf numFmtId="1" fontId="0" fillId="0" borderId="0" xfId="0" applyNumberFormat="1" applyFont="1" applyAlignment="1">
      <alignment horizontal="center" vertical="center"/>
    </xf>
    <xf numFmtId="1" fontId="0" fillId="0" borderId="0" xfId="0" applyNumberFormat="1" applyFont="1" applyAlignment="1">
      <alignment horizontal="left" vertical="center"/>
    </xf>
    <xf numFmtId="164" fontId="0" fillId="0" borderId="0" xfId="0" applyNumberFormat="1" applyFont="1" applyAlignment="1">
      <alignment horizontal="center" vertical="center"/>
    </xf>
    <xf numFmtId="164" fontId="0" fillId="0" borderId="0" xfId="0" applyNumberFormat="1" applyFont="1" applyFill="1" applyAlignment="1">
      <alignment horizontal="center" vertical="center"/>
    </xf>
    <xf numFmtId="164" fontId="0" fillId="0" borderId="0" xfId="0" applyNumberFormat="1" applyFont="1" applyBorder="1" applyAlignment="1">
      <alignment horizontal="center" vertical="center"/>
    </xf>
    <xf numFmtId="164" fontId="0" fillId="0" borderId="0" xfId="0" applyNumberFormat="1" applyFont="1" applyFill="1" applyBorder="1" applyAlignment="1">
      <alignment horizontal="center" vertical="center"/>
    </xf>
    <xf numFmtId="1" fontId="0" fillId="2" borderId="0" xfId="0" applyNumberFormat="1" applyFont="1" applyFill="1" applyAlignment="1">
      <alignment horizontal="center" vertical="center"/>
    </xf>
    <xf numFmtId="1" fontId="0" fillId="4" borderId="0" xfId="0" applyNumberFormat="1" applyFont="1" applyFill="1" applyAlignment="1">
      <alignment horizontal="center" vertical="center"/>
    </xf>
    <xf numFmtId="1" fontId="0" fillId="0" borderId="0" xfId="0" applyNumberFormat="1" applyFont="1" applyFill="1" applyAlignment="1">
      <alignment horizontal="center"/>
    </xf>
    <xf numFmtId="0" fontId="0" fillId="0" borderId="0" xfId="0" applyFont="1" applyFill="1" applyAlignment="1">
      <alignment horizontal="left" vertical="center"/>
    </xf>
    <xf numFmtId="1" fontId="0" fillId="0" borderId="0" xfId="0" applyNumberFormat="1" applyFont="1" applyFill="1" applyAlignment="1">
      <alignment vertical="center"/>
    </xf>
    <xf numFmtId="1" fontId="0" fillId="0" borderId="0" xfId="0" applyNumberFormat="1" applyFont="1" applyFill="1" applyAlignment="1">
      <alignment horizontal="left" vertical="center"/>
    </xf>
    <xf numFmtId="164" fontId="0" fillId="3" borderId="0" xfId="0" applyNumberFormat="1" applyFont="1" applyFill="1" applyAlignment="1">
      <alignment horizontal="center" vertical="center"/>
    </xf>
    <xf numFmtId="0" fontId="0" fillId="0" borderId="0" xfId="0" applyFont="1"/>
    <xf numFmtId="0" fontId="0" fillId="0" borderId="0" xfId="0" applyFont="1" applyAlignment="1">
      <alignment horizontal="center"/>
    </xf>
    <xf numFmtId="1" fontId="5" fillId="0" borderId="0" xfId="0" applyNumberFormat="1" applyFont="1" applyAlignment="1">
      <alignment horizontal="left" vertical="center"/>
    </xf>
    <xf numFmtId="1" fontId="5" fillId="0" borderId="0" xfId="1" applyNumberFormat="1" applyFont="1" applyFill="1" applyAlignment="1">
      <alignment horizontal="center"/>
    </xf>
    <xf numFmtId="1" fontId="12" fillId="6" borderId="0" xfId="49" applyNumberFormat="1" applyFont="1" applyAlignment="1">
      <alignment horizontal="center" vertical="center"/>
    </xf>
    <xf numFmtId="0" fontId="5" fillId="0" borderId="0" xfId="0" applyFont="1" applyFill="1"/>
    <xf numFmtId="0" fontId="0" fillId="0" borderId="0" xfId="0" applyFont="1" applyFill="1" applyBorder="1" applyAlignment="1">
      <alignment horizontal="left" vertical="center"/>
    </xf>
    <xf numFmtId="0" fontId="5" fillId="0" borderId="0" xfId="0" applyFont="1" applyFill="1" applyAlignment="1">
      <alignment horizontal="left"/>
    </xf>
    <xf numFmtId="0" fontId="6" fillId="0" borderId="0" xfId="0" applyFont="1" applyFill="1" applyAlignment="1">
      <alignment horizontal="left"/>
    </xf>
    <xf numFmtId="0" fontId="5" fillId="0" borderId="0" xfId="0" applyFont="1" applyFill="1" applyBorder="1" applyAlignment="1">
      <alignment horizontal="left" vertical="center"/>
    </xf>
    <xf numFmtId="164" fontId="6" fillId="0" borderId="0" xfId="0" applyNumberFormat="1" applyFont="1" applyAlignment="1">
      <alignment horizontal="center"/>
    </xf>
    <xf numFmtId="0" fontId="5" fillId="0" borderId="0" xfId="1" applyFont="1" applyFill="1" applyAlignment="1">
      <alignment horizontal="center"/>
    </xf>
    <xf numFmtId="0" fontId="0" fillId="0" borderId="0" xfId="0" applyFont="1" applyFill="1" applyAlignment="1">
      <alignment vertical="center"/>
    </xf>
    <xf numFmtId="0" fontId="6" fillId="0" borderId="0" xfId="0" applyFont="1" applyFill="1"/>
    <xf numFmtId="0" fontId="6" fillId="0" borderId="0" xfId="0" applyFont="1" applyFill="1" applyAlignment="1"/>
    <xf numFmtId="1" fontId="6" fillId="0" borderId="0" xfId="0" applyNumberFormat="1" applyFont="1" applyFill="1" applyAlignment="1">
      <alignment horizontal="center"/>
    </xf>
    <xf numFmtId="49" fontId="0" fillId="0" borderId="0" xfId="0" applyNumberFormat="1" applyFont="1" applyFill="1" applyAlignment="1">
      <alignment horizontal="left" vertical="center"/>
    </xf>
    <xf numFmtId="49" fontId="6" fillId="0" borderId="0" xfId="0" applyNumberFormat="1" applyFont="1" applyFill="1" applyAlignment="1">
      <alignment horizontal="left" vertical="center"/>
    </xf>
    <xf numFmtId="1" fontId="0" fillId="3" borderId="0" xfId="0" applyNumberFormat="1" applyFont="1" applyFill="1" applyAlignment="1">
      <alignment horizontal="left" vertical="center"/>
    </xf>
    <xf numFmtId="1" fontId="5" fillId="0" borderId="0" xfId="0" applyNumberFormat="1" applyFont="1" applyAlignment="1">
      <alignment vertical="center"/>
    </xf>
    <xf numFmtId="164" fontId="5" fillId="0" borderId="0" xfId="0" applyNumberFormat="1" applyFont="1" applyAlignment="1">
      <alignment horizontal="center" vertical="center"/>
    </xf>
    <xf numFmtId="164" fontId="5" fillId="0" borderId="0" xfId="0" applyNumberFormat="1" applyFont="1" applyBorder="1" applyAlignment="1">
      <alignment horizontal="center" vertical="center"/>
    </xf>
    <xf numFmtId="164" fontId="5" fillId="0" borderId="0" xfId="0" applyNumberFormat="1" applyFont="1" applyFill="1" applyBorder="1" applyAlignment="1">
      <alignment horizontal="center" vertical="center"/>
    </xf>
    <xf numFmtId="1" fontId="5" fillId="0" borderId="0" xfId="0" applyNumberFormat="1" applyFont="1" applyFill="1" applyAlignment="1">
      <alignment horizontal="center"/>
    </xf>
    <xf numFmtId="0" fontId="5" fillId="0" borderId="0" xfId="0" applyFont="1" applyAlignment="1">
      <alignment vertical="center"/>
    </xf>
    <xf numFmtId="1" fontId="0" fillId="7" borderId="0" xfId="0" applyNumberFormat="1" applyFont="1" applyFill="1" applyAlignment="1">
      <alignment horizontal="center" vertical="center"/>
    </xf>
    <xf numFmtId="1" fontId="5" fillId="7" borderId="0" xfId="0" applyNumberFormat="1" applyFont="1" applyFill="1" applyAlignment="1">
      <alignment horizontal="center" vertical="center"/>
    </xf>
    <xf numFmtId="0" fontId="0" fillId="0" borderId="0" xfId="0" applyFont="1" applyAlignment="1">
      <alignment vertical="center"/>
    </xf>
    <xf numFmtId="1" fontId="6" fillId="0" borderId="0" xfId="0" applyNumberFormat="1" applyFont="1" applyAlignment="1">
      <alignment vertical="top"/>
    </xf>
    <xf numFmtId="164" fontId="6" fillId="0" borderId="0" xfId="0" applyNumberFormat="1" applyFont="1" applyBorder="1" applyAlignment="1">
      <alignment horizontal="center" vertical="center"/>
    </xf>
    <xf numFmtId="1" fontId="6" fillId="3" borderId="0" xfId="0" applyNumberFormat="1" applyFont="1" applyFill="1" applyAlignment="1">
      <alignment horizontal="left" vertical="center"/>
    </xf>
    <xf numFmtId="0" fontId="6" fillId="0" borderId="0" xfId="0" applyFont="1" applyFill="1" applyAlignment="1">
      <alignment horizontal="left" vertical="top"/>
    </xf>
    <xf numFmtId="1" fontId="6" fillId="3" borderId="0" xfId="0" applyNumberFormat="1" applyFont="1" applyFill="1" applyAlignment="1">
      <alignment vertical="top"/>
    </xf>
    <xf numFmtId="164" fontId="6" fillId="3" borderId="0" xfId="0" applyNumberFormat="1" applyFont="1" applyFill="1" applyAlignment="1">
      <alignment horizontal="center" vertical="center"/>
    </xf>
    <xf numFmtId="1" fontId="6" fillId="3" borderId="0" xfId="0" applyNumberFormat="1" applyFont="1" applyFill="1" applyAlignment="1">
      <alignment vertical="center"/>
    </xf>
    <xf numFmtId="0" fontId="6" fillId="0" borderId="0" xfId="0" applyFont="1" applyAlignment="1">
      <alignment vertical="top"/>
    </xf>
    <xf numFmtId="1" fontId="6" fillId="0" borderId="0" xfId="0" applyNumberFormat="1" applyFont="1" applyFill="1" applyAlignment="1">
      <alignment vertical="top"/>
    </xf>
    <xf numFmtId="1" fontId="6" fillId="3" borderId="0" xfId="0" applyNumberFormat="1" applyFont="1" applyFill="1" applyAlignment="1">
      <alignment horizontal="center" vertical="center"/>
    </xf>
    <xf numFmtId="1" fontId="6" fillId="8" borderId="0" xfId="0" applyNumberFormat="1" applyFont="1" applyFill="1" applyAlignment="1">
      <alignment vertical="center"/>
    </xf>
    <xf numFmtId="1" fontId="5" fillId="0" borderId="0" xfId="0" applyNumberFormat="1" applyFont="1" applyAlignment="1">
      <alignment vertical="top"/>
    </xf>
    <xf numFmtId="1" fontId="5" fillId="0" borderId="0" xfId="0" applyNumberFormat="1" applyFont="1" applyFill="1" applyBorder="1" applyAlignment="1">
      <alignment horizontal="center" vertical="center"/>
    </xf>
    <xf numFmtId="1" fontId="6" fillId="3" borderId="0" xfId="0" applyNumberFormat="1" applyFont="1" applyFill="1" applyBorder="1" applyAlignment="1">
      <alignment horizontal="left" vertical="top"/>
    </xf>
    <xf numFmtId="1" fontId="6" fillId="0" borderId="0" xfId="0" applyNumberFormat="1" applyFont="1" applyAlignment="1">
      <alignment horizontal="left" vertical="top"/>
    </xf>
    <xf numFmtId="0" fontId="5" fillId="0" borderId="0" xfId="0" applyFont="1" applyFill="1" applyAlignment="1">
      <alignment horizontal="left" vertical="top"/>
    </xf>
    <xf numFmtId="0" fontId="5" fillId="0" borderId="0" xfId="0" applyFont="1" applyFill="1" applyAlignment="1">
      <alignment horizontal="left" vertical="center" wrapText="1"/>
    </xf>
    <xf numFmtId="0" fontId="5" fillId="0" borderId="0" xfId="0" applyFont="1" applyFill="1" applyAlignment="1">
      <alignment vertical="center" wrapText="1"/>
    </xf>
    <xf numFmtId="49" fontId="5" fillId="0" borderId="0" xfId="0" applyNumberFormat="1" applyFont="1" applyFill="1" applyAlignment="1">
      <alignment horizontal="left" vertical="center"/>
    </xf>
    <xf numFmtId="1" fontId="5" fillId="0" borderId="0" xfId="1" applyNumberFormat="1" applyFont="1" applyFill="1" applyAlignment="1">
      <alignment horizontal="center" vertical="center"/>
    </xf>
    <xf numFmtId="1" fontId="5" fillId="0" borderId="0" xfId="0" applyNumberFormat="1" applyFont="1" applyFill="1" applyAlignment="1">
      <alignment vertical="center" wrapText="1"/>
    </xf>
    <xf numFmtId="1" fontId="5" fillId="0" borderId="0" xfId="0" applyNumberFormat="1" applyFont="1" applyFill="1" applyAlignment="1">
      <alignment horizontal="center" vertical="center" wrapText="1"/>
    </xf>
    <xf numFmtId="0" fontId="13" fillId="0" borderId="0" xfId="0" applyFont="1"/>
    <xf numFmtId="164" fontId="6" fillId="7" borderId="0" xfId="0" applyNumberFormat="1" applyFont="1" applyFill="1" applyBorder="1" applyAlignment="1">
      <alignment horizontal="center" vertical="center"/>
    </xf>
    <xf numFmtId="1" fontId="6" fillId="7" borderId="0" xfId="0" applyNumberFormat="1" applyFont="1" applyFill="1" applyBorder="1" applyAlignment="1">
      <alignment horizontal="center" vertical="center"/>
    </xf>
    <xf numFmtId="0" fontId="5" fillId="0" borderId="0" xfId="0" applyFont="1" applyFill="1" applyAlignment="1">
      <alignment horizontal="left" vertical="top" wrapText="1"/>
    </xf>
    <xf numFmtId="0" fontId="5" fillId="0" borderId="0" xfId="0" applyFont="1" applyAlignment="1">
      <alignment horizontal="center" vertical="center"/>
    </xf>
    <xf numFmtId="0" fontId="0" fillId="7" borderId="0" xfId="0" applyFont="1" applyFill="1" applyAlignment="1">
      <alignment horizontal="center" vertical="center"/>
    </xf>
    <xf numFmtId="0" fontId="5" fillId="0" borderId="0" xfId="0" applyFont="1" applyFill="1" applyAlignment="1">
      <alignment horizontal="center" vertical="top" wrapText="1"/>
    </xf>
    <xf numFmtId="1" fontId="6" fillId="0" borderId="0" xfId="0" applyNumberFormat="1" applyFont="1" applyBorder="1" applyAlignment="1">
      <alignment horizontal="center" vertical="center"/>
    </xf>
    <xf numFmtId="1" fontId="5" fillId="0" borderId="0" xfId="0" applyNumberFormat="1" applyFont="1" applyFill="1" applyAlignment="1">
      <alignment vertical="top"/>
    </xf>
    <xf numFmtId="1" fontId="7" fillId="0" borderId="0" xfId="0" applyNumberFormat="1" applyFont="1" applyFill="1" applyAlignment="1">
      <alignment vertical="center" wrapText="1"/>
    </xf>
    <xf numFmtId="0" fontId="5" fillId="0" borderId="0" xfId="0" applyFont="1" applyAlignment="1">
      <alignment vertical="center" wrapText="1"/>
    </xf>
    <xf numFmtId="0" fontId="5" fillId="0" borderId="0" xfId="0" applyFont="1" applyFill="1" applyBorder="1" applyAlignment="1">
      <alignment horizontal="left" vertical="center" wrapText="1"/>
    </xf>
    <xf numFmtId="0" fontId="5" fillId="0" borderId="0" xfId="0" applyFont="1" applyAlignment="1">
      <alignment wrapText="1"/>
    </xf>
    <xf numFmtId="0" fontId="5" fillId="0" borderId="0" xfId="0" applyFont="1" applyFill="1" applyBorder="1" applyAlignment="1">
      <alignment vertical="center" wrapText="1"/>
    </xf>
    <xf numFmtId="0" fontId="8" fillId="0" borderId="0" xfId="0" applyFont="1" applyAlignment="1">
      <alignment vertical="center" wrapText="1"/>
    </xf>
    <xf numFmtId="0" fontId="6" fillId="0" borderId="0" xfId="0" applyFont="1" applyFill="1" applyAlignment="1">
      <alignment vertical="center" wrapText="1"/>
    </xf>
    <xf numFmtId="1" fontId="0" fillId="0" borderId="0" xfId="0" applyNumberFormat="1" applyFont="1" applyAlignment="1">
      <alignment vertical="center" wrapText="1"/>
    </xf>
    <xf numFmtId="1" fontId="0" fillId="0" borderId="0" xfId="0" applyNumberFormat="1" applyFont="1" applyFill="1" applyAlignment="1">
      <alignment vertical="center" wrapText="1"/>
    </xf>
    <xf numFmtId="0" fontId="0" fillId="0" borderId="0" xfId="0" applyFont="1" applyFill="1" applyAlignment="1">
      <alignment horizontal="left" vertical="center" wrapText="1"/>
    </xf>
    <xf numFmtId="0" fontId="0" fillId="0" borderId="0" xfId="0" applyFont="1" applyFill="1" applyAlignment="1">
      <alignment vertical="center" wrapText="1"/>
    </xf>
    <xf numFmtId="1" fontId="5" fillId="0" borderId="0" xfId="0" applyNumberFormat="1" applyFont="1" applyAlignment="1">
      <alignment vertical="center" wrapText="1"/>
    </xf>
    <xf numFmtId="1" fontId="15" fillId="0" borderId="0" xfId="0" applyNumberFormat="1" applyFont="1" applyAlignment="1">
      <alignment vertical="center" wrapText="1"/>
    </xf>
    <xf numFmtId="1" fontId="6" fillId="0" borderId="0" xfId="0" applyNumberFormat="1" applyFont="1" applyAlignment="1">
      <alignment vertical="center" wrapText="1"/>
    </xf>
    <xf numFmtId="0" fontId="6" fillId="0" borderId="0" xfId="0" applyFont="1" applyAlignment="1">
      <alignment wrapText="1"/>
    </xf>
    <xf numFmtId="0" fontId="0" fillId="0" borderId="0" xfId="0" applyFont="1" applyAlignment="1">
      <alignment vertical="center" wrapText="1"/>
    </xf>
    <xf numFmtId="0" fontId="5" fillId="0" borderId="0" xfId="0" applyFont="1" applyFill="1" applyAlignment="1">
      <alignment wrapText="1"/>
    </xf>
    <xf numFmtId="1" fontId="6" fillId="0" borderId="0" xfId="0" applyNumberFormat="1" applyFont="1" applyFill="1" applyAlignment="1">
      <alignment vertical="center" wrapText="1"/>
    </xf>
    <xf numFmtId="0" fontId="6" fillId="0" borderId="0" xfId="0" applyFont="1" applyAlignment="1">
      <alignment horizontal="left" vertical="center" wrapText="1"/>
    </xf>
    <xf numFmtId="0" fontId="6" fillId="0" borderId="0" xfId="0" applyFont="1" applyFill="1" applyBorder="1" applyAlignment="1">
      <alignment horizontal="left" vertical="center" wrapText="1"/>
    </xf>
    <xf numFmtId="0" fontId="15" fillId="0" borderId="0" xfId="0" applyFont="1" applyAlignment="1">
      <alignment vertical="center"/>
    </xf>
    <xf numFmtId="0" fontId="15" fillId="0" borderId="0" xfId="0" applyFont="1" applyFill="1" applyAlignment="1">
      <alignment vertical="center"/>
    </xf>
    <xf numFmtId="0" fontId="15" fillId="0" borderId="0" xfId="0" applyFont="1" applyFill="1" applyBorder="1" applyAlignment="1">
      <alignment horizontal="left" vertical="center"/>
    </xf>
    <xf numFmtId="0" fontId="15" fillId="0" borderId="0" xfId="0" applyFont="1" applyFill="1" applyAlignment="1">
      <alignment horizontal="left" vertical="center"/>
    </xf>
    <xf numFmtId="0" fontId="16" fillId="0" borderId="0" xfId="0" applyFont="1"/>
  </cellXfs>
  <cellStyles count="190">
    <cellStyle name="Bad" xfId="49" builtinId="27"/>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Neutral 2" xfId="1" xr:uid="{00000000-0005-0000-0000-0000BA000000}"/>
    <cellStyle name="Normal" xfId="0" builtinId="0"/>
    <cellStyle name="Normal 2" xfId="2" xr:uid="{00000000-0005-0000-0000-0000BC000000}"/>
    <cellStyle name="Normal 3" xfId="88" xr:uid="{00000000-0005-0000-0000-0000BD000000}"/>
    <cellStyle name="Normal 4" xfId="189" xr:uid="{00000000-0005-0000-0000-0000BE000000}"/>
  </cellStyles>
  <dxfs count="0"/>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W103"/>
  <sheetViews>
    <sheetView tabSelected="1" workbookViewId="0">
      <pane xSplit="2" ySplit="1" topLeftCell="AM90" activePane="bottomRight" state="frozen"/>
      <selection pane="topRight" activeCell="C1" sqref="C1"/>
      <selection pane="bottomLeft" activeCell="A2" sqref="A2"/>
      <selection pane="bottomRight" activeCell="AU87" sqref="AU87"/>
    </sheetView>
  </sheetViews>
  <sheetFormatPr baseColWidth="10" defaultColWidth="25.33203125" defaultRowHeight="13" x14ac:dyDescent="0.15"/>
  <cols>
    <col min="1" max="1" width="21.6640625" style="48" customWidth="1"/>
    <col min="2" max="2" width="27.1640625" style="25" customWidth="1"/>
    <col min="3" max="3" width="7.6640625" style="8" customWidth="1"/>
    <col min="4" max="4" width="11" style="42" customWidth="1"/>
    <col min="5" max="5" width="8.33203125" style="42" customWidth="1"/>
    <col min="6" max="6" width="4.33203125" style="8" customWidth="1"/>
    <col min="7" max="7" width="5.83203125" style="5" customWidth="1"/>
    <col min="8" max="8" width="6.33203125" style="5" customWidth="1"/>
    <col min="9" max="9" width="3.6640625" style="8" customWidth="1"/>
    <col min="10" max="10" width="7.33203125" style="8" customWidth="1"/>
    <col min="11" max="11" width="6.33203125" style="54" customWidth="1"/>
    <col min="12" max="12" width="5.33203125" style="51" customWidth="1"/>
    <col min="13" max="13" width="5.83203125" style="51" customWidth="1"/>
    <col min="14" max="14" width="7.33203125" style="5" customWidth="1"/>
    <col min="15" max="15" width="8.33203125" style="5" customWidth="1"/>
    <col min="16" max="16" width="5.83203125" style="50" customWidth="1"/>
    <col min="17" max="17" width="6.33203125" style="53" customWidth="1"/>
    <col min="18" max="18" width="5.5" style="5" customWidth="1"/>
    <col min="19" max="20" width="5.33203125" style="5" customWidth="1"/>
    <col min="21" max="21" width="6.6640625" style="8" customWidth="1"/>
    <col min="22" max="22" width="6" style="8" customWidth="1"/>
    <col min="23" max="32" width="3.6640625" style="23" customWidth="1"/>
    <col min="33" max="33" width="4.5" style="23" customWidth="1"/>
    <col min="34" max="34" width="6.33203125" style="23" customWidth="1"/>
    <col min="35" max="35" width="11.1640625" style="8" customWidth="1"/>
    <col min="36" max="36" width="8.33203125" style="8" customWidth="1"/>
    <col min="37" max="37" width="8.5" style="8" customWidth="1"/>
    <col min="38" max="38" width="26.6640625" style="41" customWidth="1"/>
    <col min="39" max="39" width="23.5" style="25" customWidth="1"/>
    <col min="40" max="40" width="16" style="25" customWidth="1"/>
    <col min="41" max="41" width="6.6640625" style="8" customWidth="1"/>
    <col min="42" max="42" width="15.5" style="25" customWidth="1"/>
    <col min="43" max="43" width="7.6640625" style="8" customWidth="1"/>
    <col min="44" max="44" width="12.33203125" style="42" customWidth="1"/>
    <col min="45" max="45" width="35.6640625" style="157" customWidth="1"/>
    <col min="46" max="46" width="17.6640625" style="146" customWidth="1"/>
    <col min="47" max="47" width="23.5" style="31" customWidth="1"/>
    <col min="48" max="48" width="19" style="31" customWidth="1"/>
    <col min="49" max="16384" width="25.33203125" style="31"/>
  </cols>
  <sheetData>
    <row r="1" spans="1:49" s="24" customFormat="1" ht="28" x14ac:dyDescent="0.15">
      <c r="A1" s="17" t="s">
        <v>3</v>
      </c>
      <c r="B1" s="18" t="s">
        <v>31</v>
      </c>
      <c r="C1" s="19">
        <v>-10.3</v>
      </c>
      <c r="D1" s="20" t="s">
        <v>2</v>
      </c>
      <c r="E1" s="20" t="s">
        <v>4</v>
      </c>
      <c r="F1" s="19" t="s">
        <v>5</v>
      </c>
      <c r="G1" s="21" t="s">
        <v>6</v>
      </c>
      <c r="H1" s="21" t="s">
        <v>7</v>
      </c>
      <c r="I1" s="19" t="s">
        <v>8</v>
      </c>
      <c r="J1" s="19" t="s">
        <v>9</v>
      </c>
      <c r="K1" s="52" t="s">
        <v>29</v>
      </c>
      <c r="L1" s="49" t="s">
        <v>30</v>
      </c>
      <c r="M1" s="49" t="s">
        <v>0</v>
      </c>
      <c r="N1" s="21" t="s">
        <v>14</v>
      </c>
      <c r="O1" s="21" t="s">
        <v>15</v>
      </c>
      <c r="P1" s="56" t="s">
        <v>16</v>
      </c>
      <c r="Q1" s="55" t="s">
        <v>17</v>
      </c>
      <c r="R1" s="21" t="s">
        <v>18</v>
      </c>
      <c r="S1" s="21" t="s">
        <v>19</v>
      </c>
      <c r="T1" s="21" t="s">
        <v>42</v>
      </c>
      <c r="U1" s="19" t="s">
        <v>10</v>
      </c>
      <c r="V1" s="19" t="s">
        <v>20</v>
      </c>
      <c r="W1" s="22">
        <v>40</v>
      </c>
      <c r="X1" s="23">
        <v>24</v>
      </c>
      <c r="Y1" s="23">
        <v>10</v>
      </c>
      <c r="Z1" s="23">
        <v>16</v>
      </c>
      <c r="AA1" s="22">
        <v>2</v>
      </c>
      <c r="AB1" s="22">
        <v>3</v>
      </c>
      <c r="AC1" s="22">
        <v>4</v>
      </c>
      <c r="AD1" s="22">
        <v>5</v>
      </c>
      <c r="AE1" s="22">
        <v>6</v>
      </c>
      <c r="AF1" s="58">
        <v>7</v>
      </c>
      <c r="AG1" s="58" t="s">
        <v>53</v>
      </c>
      <c r="AH1" s="22" t="s">
        <v>73</v>
      </c>
      <c r="AI1" s="19" t="s">
        <v>45</v>
      </c>
      <c r="AJ1" s="19" t="s">
        <v>50</v>
      </c>
      <c r="AK1" s="19" t="s">
        <v>51</v>
      </c>
      <c r="AL1" s="20" t="s">
        <v>46</v>
      </c>
      <c r="AM1" s="18" t="s">
        <v>31</v>
      </c>
      <c r="AN1" s="18" t="s">
        <v>554</v>
      </c>
      <c r="AO1" s="19" t="s">
        <v>24</v>
      </c>
      <c r="AP1" s="18" t="s">
        <v>25</v>
      </c>
      <c r="AQ1" s="19" t="s">
        <v>26</v>
      </c>
      <c r="AR1" s="20" t="s">
        <v>21</v>
      </c>
      <c r="AS1" s="140" t="s">
        <v>22</v>
      </c>
      <c r="AT1" s="140" t="s">
        <v>555</v>
      </c>
      <c r="AU1" s="19" t="s">
        <v>556</v>
      </c>
      <c r="AV1" s="18" t="s">
        <v>557</v>
      </c>
      <c r="AW1" s="24" t="s">
        <v>572</v>
      </c>
    </row>
    <row r="2" spans="1:49" s="108" customFormat="1" ht="56" x14ac:dyDescent="0.15">
      <c r="A2" s="47" t="s">
        <v>447</v>
      </c>
      <c r="B2" s="109" t="s">
        <v>448</v>
      </c>
      <c r="C2" s="38">
        <v>2629</v>
      </c>
      <c r="D2" s="69" t="s">
        <v>449</v>
      </c>
      <c r="E2" s="69" t="s">
        <v>450</v>
      </c>
      <c r="F2" s="68">
        <v>0</v>
      </c>
      <c r="G2" s="70">
        <v>48</v>
      </c>
      <c r="H2" s="70">
        <v>279.90000199999997</v>
      </c>
      <c r="I2" s="68">
        <v>18</v>
      </c>
      <c r="J2" s="68">
        <v>84</v>
      </c>
      <c r="K2" s="71">
        <v>330</v>
      </c>
      <c r="L2" s="70">
        <v>71</v>
      </c>
      <c r="M2" s="70">
        <f t="shared" ref="M2:M28" si="0">ABS(L2)</f>
        <v>71</v>
      </c>
      <c r="N2" s="70">
        <v>139</v>
      </c>
      <c r="O2" s="70">
        <v>3</v>
      </c>
      <c r="P2" s="72">
        <v>69</v>
      </c>
      <c r="Q2" s="73">
        <v>227</v>
      </c>
      <c r="R2" s="70">
        <v>4.5</v>
      </c>
      <c r="S2" s="70">
        <v>5.2</v>
      </c>
      <c r="T2" s="70">
        <f t="shared" ref="T2:T17" si="1">SQRT(R2*S2)</f>
        <v>4.8373546489791304</v>
      </c>
      <c r="U2" s="68" t="s">
        <v>451</v>
      </c>
      <c r="V2" s="68">
        <v>3</v>
      </c>
      <c r="W2" s="74">
        <f t="shared" ref="W2:W24" si="2">IF(((AK2-AJ2)/2)&gt;MIN($W$1,((AK2+AJ2)/2)*$W$1/1000),0,1)</f>
        <v>1</v>
      </c>
      <c r="X2" s="75">
        <f t="shared" ref="X2:X20" si="3">IF(J2&gt;$X$1,1,0)</f>
        <v>1</v>
      </c>
      <c r="Y2" s="75">
        <f t="shared" ref="Y2:Y20" si="4">IF(N2&gt;($Y$1-0.001),1,0)</f>
        <v>1</v>
      </c>
      <c r="Z2" s="75">
        <f t="shared" ref="Z2:Z20" si="5">IF(O2&lt;($Z$1+0.001),1,0)</f>
        <v>1</v>
      </c>
      <c r="AA2" s="66">
        <f t="shared" ref="AA2:AA18" si="6">X2*Y2*Z2</f>
        <v>1</v>
      </c>
      <c r="AB2" s="66">
        <v>1</v>
      </c>
      <c r="AC2" s="66">
        <v>1</v>
      </c>
      <c r="AD2" s="76">
        <v>1</v>
      </c>
      <c r="AE2" s="66">
        <f>IF(OR(U2="0or100",U2=0,U2=100),0,1)</f>
        <v>1</v>
      </c>
      <c r="AF2" s="2">
        <v>0</v>
      </c>
      <c r="AG2" s="6">
        <f t="shared" ref="AG2:AG33" si="7">W2+SUM(AA2:AF2)</f>
        <v>6</v>
      </c>
      <c r="AH2" s="66" t="s">
        <v>71</v>
      </c>
      <c r="AI2" s="14">
        <f t="shared" ref="AI2:AI17" si="8">AVERAGE(AJ2:AK2)</f>
        <v>2676</v>
      </c>
      <c r="AJ2" s="66">
        <v>2671</v>
      </c>
      <c r="AK2" s="66">
        <v>2681</v>
      </c>
      <c r="AL2" s="79" t="s">
        <v>452</v>
      </c>
      <c r="AM2" s="67" t="s">
        <v>448</v>
      </c>
      <c r="AN2" s="78" t="s">
        <v>453</v>
      </c>
      <c r="AO2" s="66">
        <v>1975</v>
      </c>
      <c r="AP2" s="78" t="s">
        <v>94</v>
      </c>
      <c r="AQ2" s="66" t="s">
        <v>454</v>
      </c>
      <c r="AR2" s="79" t="s">
        <v>455</v>
      </c>
      <c r="AS2" s="147" t="s">
        <v>456</v>
      </c>
      <c r="AT2" s="141" t="s">
        <v>457</v>
      </c>
      <c r="AU2" s="160" t="s">
        <v>567</v>
      </c>
    </row>
    <row r="3" spans="1:49" s="105" customFormat="1" ht="28" x14ac:dyDescent="0.15">
      <c r="A3" s="47" t="s">
        <v>447</v>
      </c>
      <c r="B3" s="109" t="s">
        <v>458</v>
      </c>
      <c r="C3" s="38" t="s">
        <v>66</v>
      </c>
      <c r="D3" s="69"/>
      <c r="E3" s="69"/>
      <c r="F3" s="68">
        <v>0</v>
      </c>
      <c r="G3" s="70">
        <v>54</v>
      </c>
      <c r="H3" s="70">
        <v>287</v>
      </c>
      <c r="I3" s="68">
        <v>3</v>
      </c>
      <c r="J3" s="68">
        <v>18</v>
      </c>
      <c r="K3" s="71">
        <v>49.6</v>
      </c>
      <c r="L3" s="70">
        <v>46.1</v>
      </c>
      <c r="M3" s="70">
        <f t="shared" si="0"/>
        <v>46.1</v>
      </c>
      <c r="N3" s="80">
        <v>0.1</v>
      </c>
      <c r="O3" s="80">
        <v>1000</v>
      </c>
      <c r="P3" s="72">
        <v>-45.3</v>
      </c>
      <c r="Q3" s="73">
        <v>213</v>
      </c>
      <c r="R3" s="70">
        <v>13.8</v>
      </c>
      <c r="S3" s="70">
        <v>13.8</v>
      </c>
      <c r="T3" s="70">
        <f t="shared" si="1"/>
        <v>13.8</v>
      </c>
      <c r="U3" s="68" t="s">
        <v>149</v>
      </c>
      <c r="V3" s="68">
        <v>3</v>
      </c>
      <c r="W3" s="74">
        <f t="shared" si="2"/>
        <v>1</v>
      </c>
      <c r="X3" s="75">
        <f t="shared" si="3"/>
        <v>0</v>
      </c>
      <c r="Y3" s="75">
        <f t="shared" si="4"/>
        <v>0</v>
      </c>
      <c r="Z3" s="75">
        <f t="shared" si="5"/>
        <v>0</v>
      </c>
      <c r="AA3" s="66">
        <f t="shared" si="6"/>
        <v>0</v>
      </c>
      <c r="AB3" s="66">
        <v>1</v>
      </c>
      <c r="AC3" s="66">
        <v>0</v>
      </c>
      <c r="AD3" s="76">
        <v>1</v>
      </c>
      <c r="AE3" s="66">
        <v>0</v>
      </c>
      <c r="AF3" s="2">
        <v>1</v>
      </c>
      <c r="AG3" s="6">
        <f t="shared" si="7"/>
        <v>4</v>
      </c>
      <c r="AH3" s="66" t="s">
        <v>71</v>
      </c>
      <c r="AI3" s="14">
        <f t="shared" si="8"/>
        <v>2505</v>
      </c>
      <c r="AJ3" s="66">
        <v>2503</v>
      </c>
      <c r="AK3" s="66">
        <v>2507</v>
      </c>
      <c r="AL3" s="79" t="s">
        <v>459</v>
      </c>
      <c r="AM3" s="67" t="s">
        <v>460</v>
      </c>
      <c r="AN3" s="78" t="s">
        <v>461</v>
      </c>
      <c r="AO3" s="66">
        <v>2010</v>
      </c>
      <c r="AP3" s="78" t="s">
        <v>1</v>
      </c>
      <c r="AQ3" s="66">
        <v>183</v>
      </c>
      <c r="AR3" s="79" t="s">
        <v>462</v>
      </c>
      <c r="AS3" s="147" t="s">
        <v>463</v>
      </c>
      <c r="AT3" s="126"/>
      <c r="AU3" s="161" t="s">
        <v>565</v>
      </c>
    </row>
    <row r="4" spans="1:49" s="108" customFormat="1" ht="28" x14ac:dyDescent="0.15">
      <c r="A4" s="47" t="s">
        <v>447</v>
      </c>
      <c r="B4" s="109" t="s">
        <v>464</v>
      </c>
      <c r="C4" s="38" t="s">
        <v>66</v>
      </c>
      <c r="D4" s="69"/>
      <c r="E4" s="69" t="s">
        <v>148</v>
      </c>
      <c r="F4" s="68">
        <v>0</v>
      </c>
      <c r="G4" s="70">
        <v>48</v>
      </c>
      <c r="H4" s="70">
        <v>278</v>
      </c>
      <c r="I4" s="106"/>
      <c r="J4" s="80">
        <v>1000</v>
      </c>
      <c r="K4" s="71">
        <v>207.6</v>
      </c>
      <c r="L4" s="70">
        <v>-16.600000000000001</v>
      </c>
      <c r="M4" s="70">
        <f t="shared" si="0"/>
        <v>16.600000000000001</v>
      </c>
      <c r="N4" s="80">
        <v>1000</v>
      </c>
      <c r="O4" s="80">
        <v>0.1</v>
      </c>
      <c r="P4" s="72">
        <v>-44.1</v>
      </c>
      <c r="Q4" s="73">
        <v>238.3</v>
      </c>
      <c r="R4" s="70">
        <v>1.6</v>
      </c>
      <c r="S4" s="70">
        <v>1.6</v>
      </c>
      <c r="T4" s="70">
        <f t="shared" si="1"/>
        <v>1.6</v>
      </c>
      <c r="U4" s="68" t="s">
        <v>149</v>
      </c>
      <c r="V4" s="68">
        <v>4</v>
      </c>
      <c r="W4" s="74">
        <f t="shared" si="2"/>
        <v>1</v>
      </c>
      <c r="X4" s="75">
        <f t="shared" si="3"/>
        <v>1</v>
      </c>
      <c r="Y4" s="75">
        <f t="shared" si="4"/>
        <v>1</v>
      </c>
      <c r="Z4" s="75">
        <f t="shared" si="5"/>
        <v>1</v>
      </c>
      <c r="AA4" s="66">
        <f t="shared" si="6"/>
        <v>1</v>
      </c>
      <c r="AB4" s="66">
        <v>1</v>
      </c>
      <c r="AC4" s="66">
        <v>1</v>
      </c>
      <c r="AD4" s="76">
        <v>1</v>
      </c>
      <c r="AE4" s="66">
        <v>0</v>
      </c>
      <c r="AF4" s="2">
        <v>1</v>
      </c>
      <c r="AG4" s="6">
        <f t="shared" si="7"/>
        <v>6</v>
      </c>
      <c r="AH4" s="66" t="s">
        <v>67</v>
      </c>
      <c r="AI4" s="14">
        <f t="shared" si="8"/>
        <v>2466</v>
      </c>
      <c r="AJ4" s="66">
        <v>2443</v>
      </c>
      <c r="AK4" s="66">
        <v>2489</v>
      </c>
      <c r="AL4" s="79" t="s">
        <v>465</v>
      </c>
      <c r="AM4" s="67" t="s">
        <v>464</v>
      </c>
      <c r="AN4" s="78" t="s">
        <v>461</v>
      </c>
      <c r="AO4" s="66">
        <v>2010</v>
      </c>
      <c r="AP4" s="78" t="s">
        <v>69</v>
      </c>
      <c r="AQ4" s="66">
        <v>183</v>
      </c>
      <c r="AR4" s="79" t="s">
        <v>462</v>
      </c>
      <c r="AS4" s="147" t="s">
        <v>463</v>
      </c>
      <c r="AT4" s="141"/>
      <c r="AU4" s="161" t="s">
        <v>565</v>
      </c>
    </row>
    <row r="5" spans="1:49" s="108" customFormat="1" ht="28" x14ac:dyDescent="0.15">
      <c r="A5" s="47" t="s">
        <v>447</v>
      </c>
      <c r="B5" s="109" t="s">
        <v>466</v>
      </c>
      <c r="C5" s="38" t="s">
        <v>66</v>
      </c>
      <c r="D5" s="69"/>
      <c r="E5" s="69" t="s">
        <v>148</v>
      </c>
      <c r="F5" s="68">
        <v>0</v>
      </c>
      <c r="G5" s="70">
        <v>48</v>
      </c>
      <c r="H5" s="70">
        <v>278</v>
      </c>
      <c r="I5" s="106"/>
      <c r="J5" s="80">
        <v>1000</v>
      </c>
      <c r="K5" s="71">
        <v>23.3</v>
      </c>
      <c r="L5" s="70">
        <v>29.1</v>
      </c>
      <c r="M5" s="70">
        <f t="shared" si="0"/>
        <v>29.1</v>
      </c>
      <c r="N5" s="80">
        <v>1000</v>
      </c>
      <c r="O5" s="80">
        <v>0.1</v>
      </c>
      <c r="P5" s="72">
        <v>-52.3</v>
      </c>
      <c r="Q5" s="73">
        <v>239.5</v>
      </c>
      <c r="R5" s="70">
        <v>2.4</v>
      </c>
      <c r="S5" s="70">
        <v>2.4</v>
      </c>
      <c r="T5" s="70">
        <f t="shared" si="1"/>
        <v>2.4</v>
      </c>
      <c r="U5" s="68" t="s">
        <v>149</v>
      </c>
      <c r="V5" s="68">
        <v>4</v>
      </c>
      <c r="W5" s="74">
        <f t="shared" si="2"/>
        <v>1</v>
      </c>
      <c r="X5" s="75">
        <f t="shared" si="3"/>
        <v>1</v>
      </c>
      <c r="Y5" s="75">
        <f t="shared" si="4"/>
        <v>1</v>
      </c>
      <c r="Z5" s="75">
        <f t="shared" si="5"/>
        <v>1</v>
      </c>
      <c r="AA5" s="66">
        <f t="shared" si="6"/>
        <v>1</v>
      </c>
      <c r="AB5" s="66">
        <v>1</v>
      </c>
      <c r="AC5" s="66">
        <v>1</v>
      </c>
      <c r="AD5" s="76">
        <v>1</v>
      </c>
      <c r="AE5" s="66">
        <v>0</v>
      </c>
      <c r="AF5" s="2">
        <v>1</v>
      </c>
      <c r="AG5" s="6">
        <f t="shared" si="7"/>
        <v>6</v>
      </c>
      <c r="AH5" s="66" t="s">
        <v>67</v>
      </c>
      <c r="AI5" s="14">
        <f t="shared" si="8"/>
        <v>2446</v>
      </c>
      <c r="AJ5" s="66">
        <v>2443</v>
      </c>
      <c r="AK5" s="66">
        <v>2449</v>
      </c>
      <c r="AL5" s="79" t="s">
        <v>467</v>
      </c>
      <c r="AM5" s="67" t="s">
        <v>466</v>
      </c>
      <c r="AN5" s="78" t="s">
        <v>461</v>
      </c>
      <c r="AO5" s="66">
        <v>2010</v>
      </c>
      <c r="AP5" s="78" t="s">
        <v>69</v>
      </c>
      <c r="AQ5" s="66">
        <v>183</v>
      </c>
      <c r="AR5" s="79" t="s">
        <v>462</v>
      </c>
      <c r="AS5" s="147" t="s">
        <v>463</v>
      </c>
      <c r="AT5" s="126"/>
      <c r="AU5" s="161" t="s">
        <v>565</v>
      </c>
    </row>
    <row r="6" spans="1:49" s="108" customFormat="1" ht="84" x14ac:dyDescent="0.15">
      <c r="A6" s="47" t="s">
        <v>447</v>
      </c>
      <c r="B6" s="109" t="s">
        <v>603</v>
      </c>
      <c r="C6" s="38" t="s">
        <v>469</v>
      </c>
      <c r="D6" s="69"/>
      <c r="E6" s="69" t="s">
        <v>148</v>
      </c>
      <c r="F6" s="68">
        <v>0</v>
      </c>
      <c r="G6" s="70">
        <v>49</v>
      </c>
      <c r="H6" s="70">
        <v>283</v>
      </c>
      <c r="I6" s="68">
        <v>6</v>
      </c>
      <c r="J6" s="80">
        <v>1000</v>
      </c>
      <c r="K6" s="71">
        <v>358.6</v>
      </c>
      <c r="L6" s="70">
        <v>-43.9</v>
      </c>
      <c r="M6" s="70">
        <f t="shared" si="0"/>
        <v>43.9</v>
      </c>
      <c r="N6" s="80">
        <v>1000</v>
      </c>
      <c r="O6" s="80">
        <v>0.1</v>
      </c>
      <c r="P6" s="72">
        <v>-15.3</v>
      </c>
      <c r="Q6" s="73">
        <v>284.3</v>
      </c>
      <c r="R6" s="101">
        <v>4.4000000000000004</v>
      </c>
      <c r="S6" s="101">
        <v>7</v>
      </c>
      <c r="T6" s="70">
        <f t="shared" si="1"/>
        <v>5.5497747702046434</v>
      </c>
      <c r="U6" s="68" t="s">
        <v>70</v>
      </c>
      <c r="V6" s="68">
        <v>4</v>
      </c>
      <c r="W6" s="74">
        <f t="shared" si="2"/>
        <v>1</v>
      </c>
      <c r="X6" s="75">
        <f t="shared" si="3"/>
        <v>1</v>
      </c>
      <c r="Y6" s="75">
        <f t="shared" si="4"/>
        <v>1</v>
      </c>
      <c r="Z6" s="75">
        <f t="shared" si="5"/>
        <v>1</v>
      </c>
      <c r="AA6" s="66">
        <f t="shared" si="6"/>
        <v>1</v>
      </c>
      <c r="AB6" s="66">
        <v>1</v>
      </c>
      <c r="AC6" s="66">
        <v>1</v>
      </c>
      <c r="AD6" s="76">
        <v>1</v>
      </c>
      <c r="AE6" s="66">
        <v>1</v>
      </c>
      <c r="AF6" s="2">
        <v>1</v>
      </c>
      <c r="AG6" s="6">
        <f t="shared" si="7"/>
        <v>7</v>
      </c>
      <c r="AH6" s="66" t="s">
        <v>67</v>
      </c>
      <c r="AI6" s="14">
        <f t="shared" si="8"/>
        <v>2218</v>
      </c>
      <c r="AJ6" s="66">
        <v>2212</v>
      </c>
      <c r="AK6" s="66">
        <v>2224</v>
      </c>
      <c r="AL6" s="79" t="s">
        <v>470</v>
      </c>
      <c r="AM6" s="67" t="s">
        <v>468</v>
      </c>
      <c r="AN6" s="78" t="s">
        <v>151</v>
      </c>
      <c r="AO6" s="66">
        <v>1993</v>
      </c>
      <c r="AP6" s="78" t="s">
        <v>308</v>
      </c>
      <c r="AQ6" s="66">
        <v>30</v>
      </c>
      <c r="AR6" s="79" t="s">
        <v>471</v>
      </c>
      <c r="AS6" s="152" t="s">
        <v>472</v>
      </c>
      <c r="AT6" s="141"/>
      <c r="AU6" s="160" t="s">
        <v>570</v>
      </c>
      <c r="AW6" s="160" t="s">
        <v>569</v>
      </c>
    </row>
    <row r="7" spans="1:49" s="108" customFormat="1" ht="56" x14ac:dyDescent="0.15">
      <c r="A7" s="47" t="s">
        <v>447</v>
      </c>
      <c r="B7" s="109" t="s">
        <v>602</v>
      </c>
      <c r="C7" s="38" t="s">
        <v>146</v>
      </c>
      <c r="D7" s="69"/>
      <c r="E7" s="69" t="s">
        <v>148</v>
      </c>
      <c r="F7" s="68">
        <v>0</v>
      </c>
      <c r="G7" s="70">
        <v>47</v>
      </c>
      <c r="H7" s="70">
        <v>279</v>
      </c>
      <c r="I7" s="106"/>
      <c r="J7" s="80">
        <v>1000</v>
      </c>
      <c r="K7" s="71">
        <v>7.4</v>
      </c>
      <c r="L7" s="70">
        <v>-43.9</v>
      </c>
      <c r="M7" s="70">
        <f t="shared" si="0"/>
        <v>43.9</v>
      </c>
      <c r="N7" s="80">
        <v>1000</v>
      </c>
      <c r="O7" s="80">
        <v>0.1</v>
      </c>
      <c r="P7" s="72">
        <v>-17</v>
      </c>
      <c r="Q7" s="73">
        <v>272</v>
      </c>
      <c r="R7" s="70">
        <v>10</v>
      </c>
      <c r="S7" s="70">
        <v>10</v>
      </c>
      <c r="T7" s="70">
        <f t="shared" si="1"/>
        <v>10</v>
      </c>
      <c r="U7" s="68" t="s">
        <v>70</v>
      </c>
      <c r="V7" s="68">
        <v>4</v>
      </c>
      <c r="W7" s="74">
        <f t="shared" si="2"/>
        <v>1</v>
      </c>
      <c r="X7" s="75">
        <f t="shared" si="3"/>
        <v>1</v>
      </c>
      <c r="Y7" s="75">
        <f t="shared" si="4"/>
        <v>1</v>
      </c>
      <c r="Z7" s="75">
        <f t="shared" si="5"/>
        <v>1</v>
      </c>
      <c r="AA7" s="66">
        <f t="shared" si="6"/>
        <v>1</v>
      </c>
      <c r="AB7" s="66">
        <v>1</v>
      </c>
      <c r="AC7" s="66">
        <v>1</v>
      </c>
      <c r="AD7" s="76">
        <v>1</v>
      </c>
      <c r="AE7" s="66">
        <v>1</v>
      </c>
      <c r="AF7" s="2">
        <v>1</v>
      </c>
      <c r="AG7" s="6">
        <f t="shared" si="7"/>
        <v>7</v>
      </c>
      <c r="AH7" s="66" t="s">
        <v>67</v>
      </c>
      <c r="AI7" s="14">
        <f t="shared" si="8"/>
        <v>2217</v>
      </c>
      <c r="AJ7" s="66">
        <v>2213</v>
      </c>
      <c r="AK7" s="66">
        <v>2221</v>
      </c>
      <c r="AL7" s="79" t="s">
        <v>474</v>
      </c>
      <c r="AM7" s="67" t="s">
        <v>473</v>
      </c>
      <c r="AN7" s="78" t="s">
        <v>151</v>
      </c>
      <c r="AO7" s="66">
        <v>2000</v>
      </c>
      <c r="AP7" s="78" t="s">
        <v>35</v>
      </c>
      <c r="AQ7" s="66">
        <v>319</v>
      </c>
      <c r="AR7" s="79" t="s">
        <v>152</v>
      </c>
      <c r="AS7" s="147" t="s">
        <v>153</v>
      </c>
      <c r="AT7" s="141"/>
      <c r="AU7" s="160" t="s">
        <v>568</v>
      </c>
    </row>
    <row r="8" spans="1:49" s="108" customFormat="1" ht="28" x14ac:dyDescent="0.15">
      <c r="A8" s="47" t="s">
        <v>447</v>
      </c>
      <c r="B8" s="109" t="s">
        <v>601</v>
      </c>
      <c r="C8" s="38" t="s">
        <v>66</v>
      </c>
      <c r="D8" s="69"/>
      <c r="E8" s="69" t="s">
        <v>148</v>
      </c>
      <c r="F8" s="68">
        <v>0</v>
      </c>
      <c r="G8" s="70">
        <v>48</v>
      </c>
      <c r="H8" s="70">
        <v>280</v>
      </c>
      <c r="I8" s="68">
        <v>12</v>
      </c>
      <c r="J8" s="80">
        <v>1000</v>
      </c>
      <c r="K8" s="71">
        <v>263.89999999999998</v>
      </c>
      <c r="L8" s="70">
        <v>60.4</v>
      </c>
      <c r="M8" s="70">
        <f t="shared" si="0"/>
        <v>60.4</v>
      </c>
      <c r="N8" s="80">
        <v>1000</v>
      </c>
      <c r="O8" s="80">
        <v>0.1</v>
      </c>
      <c r="P8" s="72">
        <v>26</v>
      </c>
      <c r="Q8" s="73">
        <v>223.9</v>
      </c>
      <c r="R8" s="70">
        <v>7</v>
      </c>
      <c r="S8" s="70">
        <v>7</v>
      </c>
      <c r="T8" s="70">
        <f t="shared" si="1"/>
        <v>7</v>
      </c>
      <c r="U8" s="68" t="s">
        <v>149</v>
      </c>
      <c r="V8" s="68">
        <v>4</v>
      </c>
      <c r="W8" s="74">
        <f t="shared" si="2"/>
        <v>1</v>
      </c>
      <c r="X8" s="75">
        <f t="shared" si="3"/>
        <v>1</v>
      </c>
      <c r="Y8" s="75">
        <f t="shared" si="4"/>
        <v>1</v>
      </c>
      <c r="Z8" s="75">
        <f t="shared" si="5"/>
        <v>1</v>
      </c>
      <c r="AA8" s="66">
        <f t="shared" si="6"/>
        <v>1</v>
      </c>
      <c r="AB8" s="66">
        <v>1</v>
      </c>
      <c r="AC8" s="66">
        <v>1</v>
      </c>
      <c r="AD8" s="76">
        <v>1</v>
      </c>
      <c r="AE8" s="66">
        <v>0</v>
      </c>
      <c r="AF8" s="2">
        <v>1</v>
      </c>
      <c r="AG8" s="6">
        <f t="shared" si="7"/>
        <v>6</v>
      </c>
      <c r="AH8" s="66" t="s">
        <v>67</v>
      </c>
      <c r="AI8" s="14">
        <f t="shared" si="8"/>
        <v>2169.5</v>
      </c>
      <c r="AJ8" s="66">
        <v>2167</v>
      </c>
      <c r="AK8" s="66">
        <v>2172</v>
      </c>
      <c r="AL8" s="79" t="s">
        <v>476</v>
      </c>
      <c r="AM8" s="67" t="s">
        <v>475</v>
      </c>
      <c r="AN8" s="78" t="s">
        <v>461</v>
      </c>
      <c r="AO8" s="66">
        <v>2010</v>
      </c>
      <c r="AP8" s="78" t="s">
        <v>69</v>
      </c>
      <c r="AQ8" s="66">
        <v>183</v>
      </c>
      <c r="AR8" s="79" t="s">
        <v>462</v>
      </c>
      <c r="AS8" s="147" t="s">
        <v>463</v>
      </c>
      <c r="AT8" s="141"/>
      <c r="AU8" s="161" t="s">
        <v>565</v>
      </c>
    </row>
    <row r="9" spans="1:49" s="33" customFormat="1" ht="28" x14ac:dyDescent="0.15">
      <c r="A9" s="47" t="s">
        <v>447</v>
      </c>
      <c r="B9" s="109" t="s">
        <v>477</v>
      </c>
      <c r="C9" s="38" t="s">
        <v>66</v>
      </c>
      <c r="D9" s="69"/>
      <c r="E9" s="69"/>
      <c r="F9" s="68">
        <v>0</v>
      </c>
      <c r="G9" s="70">
        <v>53</v>
      </c>
      <c r="H9" s="70">
        <v>282</v>
      </c>
      <c r="I9" s="68">
        <v>8</v>
      </c>
      <c r="J9" s="68">
        <v>82</v>
      </c>
      <c r="K9" s="71">
        <v>146.9</v>
      </c>
      <c r="L9" s="70">
        <v>-56.4</v>
      </c>
      <c r="M9" s="70">
        <f t="shared" si="0"/>
        <v>56.4</v>
      </c>
      <c r="N9" s="80">
        <v>1000</v>
      </c>
      <c r="O9" s="80">
        <v>0.1</v>
      </c>
      <c r="P9" s="72">
        <v>62</v>
      </c>
      <c r="Q9" s="73">
        <v>170.5</v>
      </c>
      <c r="R9" s="70">
        <v>6.4</v>
      </c>
      <c r="S9" s="70">
        <v>6.4</v>
      </c>
      <c r="T9" s="70">
        <f t="shared" si="1"/>
        <v>6.4</v>
      </c>
      <c r="U9" s="68" t="s">
        <v>149</v>
      </c>
      <c r="V9" s="68">
        <v>4</v>
      </c>
      <c r="W9" s="74">
        <f t="shared" si="2"/>
        <v>1</v>
      </c>
      <c r="X9" s="75">
        <f t="shared" si="3"/>
        <v>1</v>
      </c>
      <c r="Y9" s="75">
        <f t="shared" si="4"/>
        <v>1</v>
      </c>
      <c r="Z9" s="75">
        <f t="shared" si="5"/>
        <v>1</v>
      </c>
      <c r="AA9" s="66">
        <f t="shared" si="6"/>
        <v>1</v>
      </c>
      <c r="AB9" s="66">
        <v>1</v>
      </c>
      <c r="AC9" s="66">
        <v>0</v>
      </c>
      <c r="AD9" s="76">
        <v>1</v>
      </c>
      <c r="AE9" s="66">
        <v>0</v>
      </c>
      <c r="AF9" s="2">
        <v>1</v>
      </c>
      <c r="AG9" s="6">
        <f t="shared" si="7"/>
        <v>5</v>
      </c>
      <c r="AH9" s="66" t="s">
        <v>67</v>
      </c>
      <c r="AI9" s="14">
        <f t="shared" si="8"/>
        <v>2069</v>
      </c>
      <c r="AJ9" s="66">
        <v>2068</v>
      </c>
      <c r="AK9" s="66">
        <v>2070</v>
      </c>
      <c r="AL9" s="79" t="s">
        <v>478</v>
      </c>
      <c r="AM9" s="67" t="s">
        <v>477</v>
      </c>
      <c r="AN9" s="78" t="s">
        <v>461</v>
      </c>
      <c r="AO9" s="66">
        <v>2010</v>
      </c>
      <c r="AP9" s="78" t="s">
        <v>69</v>
      </c>
      <c r="AQ9" s="66">
        <v>183</v>
      </c>
      <c r="AR9" s="79" t="s">
        <v>462</v>
      </c>
      <c r="AS9" s="147" t="s">
        <v>463</v>
      </c>
      <c r="AT9" s="141" t="s">
        <v>457</v>
      </c>
      <c r="AU9" s="161" t="s">
        <v>565</v>
      </c>
    </row>
    <row r="10" spans="1:49" s="33" customFormat="1" ht="28" x14ac:dyDescent="0.15">
      <c r="A10" s="47" t="s">
        <v>447</v>
      </c>
      <c r="B10" s="109" t="s">
        <v>479</v>
      </c>
      <c r="C10" s="38" t="s">
        <v>66</v>
      </c>
      <c r="D10" s="69"/>
      <c r="E10" s="69"/>
      <c r="F10" s="68">
        <v>0</v>
      </c>
      <c r="G10" s="70">
        <v>57</v>
      </c>
      <c r="H10" s="70">
        <v>285</v>
      </c>
      <c r="I10" s="68">
        <v>6</v>
      </c>
      <c r="J10" s="68">
        <v>44</v>
      </c>
      <c r="K10" s="71">
        <v>130</v>
      </c>
      <c r="L10" s="70">
        <v>-37.200000000000003</v>
      </c>
      <c r="M10" s="70">
        <f t="shared" si="0"/>
        <v>37.200000000000003</v>
      </c>
      <c r="N10" s="80">
        <v>1000</v>
      </c>
      <c r="O10" s="80">
        <v>0.1</v>
      </c>
      <c r="P10" s="72">
        <v>38.700000000000003</v>
      </c>
      <c r="Q10" s="73">
        <v>171.5</v>
      </c>
      <c r="R10" s="70">
        <v>13.1</v>
      </c>
      <c r="S10" s="70">
        <v>13.1</v>
      </c>
      <c r="T10" s="70">
        <f t="shared" si="1"/>
        <v>13.1</v>
      </c>
      <c r="U10" s="68" t="s">
        <v>70</v>
      </c>
      <c r="V10" s="68">
        <v>4</v>
      </c>
      <c r="W10" s="74">
        <f t="shared" si="2"/>
        <v>1</v>
      </c>
      <c r="X10" s="75">
        <f t="shared" si="3"/>
        <v>1</v>
      </c>
      <c r="Y10" s="75">
        <f t="shared" si="4"/>
        <v>1</v>
      </c>
      <c r="Z10" s="75">
        <f t="shared" si="5"/>
        <v>1</v>
      </c>
      <c r="AA10" s="66">
        <f t="shared" si="6"/>
        <v>1</v>
      </c>
      <c r="AB10" s="66">
        <v>1</v>
      </c>
      <c r="AC10" s="66">
        <v>0</v>
      </c>
      <c r="AD10" s="76">
        <v>1</v>
      </c>
      <c r="AE10" s="66">
        <v>1</v>
      </c>
      <c r="AF10" s="2">
        <v>0</v>
      </c>
      <c r="AG10" s="6">
        <f t="shared" si="7"/>
        <v>5</v>
      </c>
      <c r="AH10" s="66" t="s">
        <v>67</v>
      </c>
      <c r="AI10" s="14">
        <f t="shared" si="8"/>
        <v>1998</v>
      </c>
      <c r="AJ10" s="66">
        <v>1996</v>
      </c>
      <c r="AK10" s="66">
        <v>2000</v>
      </c>
      <c r="AL10" s="79" t="s">
        <v>480</v>
      </c>
      <c r="AM10" s="67" t="s">
        <v>479</v>
      </c>
      <c r="AN10" s="78" t="s">
        <v>461</v>
      </c>
      <c r="AO10" s="66">
        <v>2010</v>
      </c>
      <c r="AP10" s="78" t="s">
        <v>69</v>
      </c>
      <c r="AQ10" s="66">
        <v>183</v>
      </c>
      <c r="AR10" s="79" t="s">
        <v>462</v>
      </c>
      <c r="AS10" s="147" t="s">
        <v>463</v>
      </c>
      <c r="AT10" s="126" t="s">
        <v>386</v>
      </c>
      <c r="AU10" s="161" t="s">
        <v>565</v>
      </c>
    </row>
    <row r="11" spans="1:49" ht="70" x14ac:dyDescent="0.15">
      <c r="A11" s="47" t="s">
        <v>481</v>
      </c>
      <c r="B11" s="109" t="s">
        <v>482</v>
      </c>
      <c r="C11" s="38" t="s">
        <v>483</v>
      </c>
      <c r="D11" s="69"/>
      <c r="E11" s="69"/>
      <c r="F11" s="68">
        <v>0</v>
      </c>
      <c r="G11" s="70">
        <v>49</v>
      </c>
      <c r="H11" s="70">
        <v>275</v>
      </c>
      <c r="I11" s="106"/>
      <c r="J11" s="80">
        <v>1000</v>
      </c>
      <c r="K11" s="71">
        <v>296.89999999999998</v>
      </c>
      <c r="L11" s="70">
        <v>59.2</v>
      </c>
      <c r="M11" s="70">
        <f t="shared" si="0"/>
        <v>59.2</v>
      </c>
      <c r="N11" s="80">
        <v>1000</v>
      </c>
      <c r="O11" s="80">
        <v>0.1</v>
      </c>
      <c r="P11" s="72">
        <v>45.4</v>
      </c>
      <c r="Q11" s="73">
        <v>198.2</v>
      </c>
      <c r="R11" s="70">
        <v>7.7</v>
      </c>
      <c r="S11" s="70">
        <v>7.7</v>
      </c>
      <c r="T11" s="70">
        <f t="shared" si="1"/>
        <v>7.7</v>
      </c>
      <c r="U11" s="68" t="s">
        <v>149</v>
      </c>
      <c r="V11" s="68">
        <v>4</v>
      </c>
      <c r="W11" s="74">
        <f t="shared" si="2"/>
        <v>1</v>
      </c>
      <c r="X11" s="75">
        <f t="shared" si="3"/>
        <v>1</v>
      </c>
      <c r="Y11" s="75">
        <f t="shared" si="4"/>
        <v>1</v>
      </c>
      <c r="Z11" s="75">
        <f t="shared" si="5"/>
        <v>1</v>
      </c>
      <c r="AA11" s="66">
        <f t="shared" si="6"/>
        <v>1</v>
      </c>
      <c r="AB11" s="66">
        <v>1</v>
      </c>
      <c r="AC11" s="66">
        <v>0</v>
      </c>
      <c r="AD11" s="76">
        <v>1</v>
      </c>
      <c r="AE11" s="66">
        <v>0</v>
      </c>
      <c r="AF11" s="2">
        <v>0</v>
      </c>
      <c r="AG11" s="6">
        <f t="shared" si="7"/>
        <v>4</v>
      </c>
      <c r="AH11" s="66" t="s">
        <v>67</v>
      </c>
      <c r="AI11" s="14">
        <f t="shared" si="8"/>
        <v>2123.5</v>
      </c>
      <c r="AJ11" s="66">
        <v>2121</v>
      </c>
      <c r="AK11" s="66">
        <v>2126</v>
      </c>
      <c r="AL11" s="79" t="s">
        <v>484</v>
      </c>
      <c r="AM11" s="67" t="s">
        <v>482</v>
      </c>
      <c r="AN11" s="78" t="s">
        <v>485</v>
      </c>
      <c r="AO11" s="66">
        <v>2008</v>
      </c>
      <c r="AP11" s="78" t="s">
        <v>69</v>
      </c>
      <c r="AQ11" s="66">
        <v>162</v>
      </c>
      <c r="AR11" s="79" t="s">
        <v>486</v>
      </c>
      <c r="AS11" s="147" t="s">
        <v>487</v>
      </c>
      <c r="AT11" s="126" t="s">
        <v>386</v>
      </c>
      <c r="AU11" s="161" t="s">
        <v>566</v>
      </c>
    </row>
    <row r="12" spans="1:49" s="33" customFormat="1" ht="70" x14ac:dyDescent="0.15">
      <c r="A12" s="47" t="s">
        <v>481</v>
      </c>
      <c r="B12" s="109" t="s">
        <v>488</v>
      </c>
      <c r="C12" s="38" t="s">
        <v>483</v>
      </c>
      <c r="D12" s="69"/>
      <c r="E12" s="69" t="s">
        <v>148</v>
      </c>
      <c r="F12" s="68">
        <v>0</v>
      </c>
      <c r="G12" s="70">
        <v>49</v>
      </c>
      <c r="H12" s="70">
        <v>275</v>
      </c>
      <c r="I12" s="106"/>
      <c r="J12" s="80">
        <v>1000</v>
      </c>
      <c r="K12" s="71">
        <v>134.4</v>
      </c>
      <c r="L12" s="70">
        <v>-56.4</v>
      </c>
      <c r="M12" s="70">
        <f t="shared" si="0"/>
        <v>56.4</v>
      </c>
      <c r="N12" s="80">
        <v>1000</v>
      </c>
      <c r="O12" s="80">
        <v>0.1</v>
      </c>
      <c r="P12" s="72">
        <v>55.1</v>
      </c>
      <c r="Q12" s="73">
        <v>182.2</v>
      </c>
      <c r="R12" s="70">
        <v>7.5</v>
      </c>
      <c r="S12" s="70">
        <v>7.5</v>
      </c>
      <c r="T12" s="70">
        <f t="shared" si="1"/>
        <v>7.5</v>
      </c>
      <c r="U12" s="68" t="s">
        <v>149</v>
      </c>
      <c r="V12" s="68">
        <v>4</v>
      </c>
      <c r="W12" s="74">
        <f t="shared" si="2"/>
        <v>1</v>
      </c>
      <c r="X12" s="75">
        <f t="shared" si="3"/>
        <v>1</v>
      </c>
      <c r="Y12" s="75">
        <f t="shared" si="4"/>
        <v>1</v>
      </c>
      <c r="Z12" s="75">
        <f t="shared" si="5"/>
        <v>1</v>
      </c>
      <c r="AA12" s="66">
        <f t="shared" si="6"/>
        <v>1</v>
      </c>
      <c r="AB12" s="66">
        <v>1</v>
      </c>
      <c r="AC12" s="66">
        <v>1</v>
      </c>
      <c r="AD12" s="76">
        <v>1</v>
      </c>
      <c r="AE12" s="66">
        <v>0</v>
      </c>
      <c r="AF12" s="2">
        <v>0</v>
      </c>
      <c r="AG12" s="6">
        <f t="shared" si="7"/>
        <v>5</v>
      </c>
      <c r="AH12" s="66" t="s">
        <v>67</v>
      </c>
      <c r="AI12" s="14">
        <f t="shared" si="8"/>
        <v>2103.5</v>
      </c>
      <c r="AJ12" s="66">
        <v>2101</v>
      </c>
      <c r="AK12" s="66">
        <v>2106</v>
      </c>
      <c r="AL12" s="79" t="s">
        <v>489</v>
      </c>
      <c r="AM12" s="67" t="s">
        <v>488</v>
      </c>
      <c r="AN12" s="78" t="s">
        <v>485</v>
      </c>
      <c r="AO12" s="66">
        <v>2008</v>
      </c>
      <c r="AP12" s="78" t="s">
        <v>69</v>
      </c>
      <c r="AQ12" s="66">
        <v>162</v>
      </c>
      <c r="AR12" s="79" t="s">
        <v>486</v>
      </c>
      <c r="AS12" s="147" t="s">
        <v>487</v>
      </c>
      <c r="AT12" s="126" t="s">
        <v>490</v>
      </c>
      <c r="AU12" s="161" t="s">
        <v>566</v>
      </c>
    </row>
    <row r="13" spans="1:49" ht="28" x14ac:dyDescent="0.15">
      <c r="A13" s="47" t="s">
        <v>481</v>
      </c>
      <c r="B13" s="109" t="s">
        <v>491</v>
      </c>
      <c r="C13" s="38" t="s">
        <v>66</v>
      </c>
      <c r="D13" s="69"/>
      <c r="E13" s="69" t="s">
        <v>148</v>
      </c>
      <c r="F13" s="68">
        <v>0</v>
      </c>
      <c r="G13" s="70">
        <v>56</v>
      </c>
      <c r="H13" s="70">
        <v>263</v>
      </c>
      <c r="I13" s="106"/>
      <c r="J13" s="80">
        <v>1000</v>
      </c>
      <c r="K13" s="71">
        <v>123.3</v>
      </c>
      <c r="L13" s="70">
        <v>-63.9</v>
      </c>
      <c r="M13" s="70">
        <f t="shared" si="0"/>
        <v>63.9</v>
      </c>
      <c r="N13" s="80">
        <v>1000</v>
      </c>
      <c r="O13" s="80">
        <v>0.1</v>
      </c>
      <c r="P13" s="72">
        <v>53.8</v>
      </c>
      <c r="Q13" s="73">
        <v>180.9</v>
      </c>
      <c r="R13" s="70">
        <v>7.7</v>
      </c>
      <c r="S13" s="70">
        <v>7.7</v>
      </c>
      <c r="T13" s="70">
        <f t="shared" si="1"/>
        <v>7.7</v>
      </c>
      <c r="U13" s="68" t="s">
        <v>149</v>
      </c>
      <c r="V13" s="68">
        <v>4</v>
      </c>
      <c r="W13" s="74">
        <f t="shared" si="2"/>
        <v>1</v>
      </c>
      <c r="X13" s="75">
        <f t="shared" si="3"/>
        <v>1</v>
      </c>
      <c r="Y13" s="75">
        <f t="shared" si="4"/>
        <v>1</v>
      </c>
      <c r="Z13" s="75">
        <f t="shared" si="5"/>
        <v>1</v>
      </c>
      <c r="AA13" s="66">
        <f t="shared" si="6"/>
        <v>1</v>
      </c>
      <c r="AB13" s="66">
        <v>1</v>
      </c>
      <c r="AC13" s="66">
        <v>1</v>
      </c>
      <c r="AD13" s="76">
        <v>1</v>
      </c>
      <c r="AE13" s="66">
        <v>0</v>
      </c>
      <c r="AF13" s="2">
        <v>0</v>
      </c>
      <c r="AG13" s="6">
        <f t="shared" si="7"/>
        <v>5</v>
      </c>
      <c r="AH13" s="66" t="s">
        <v>67</v>
      </c>
      <c r="AI13" s="14">
        <f t="shared" si="8"/>
        <v>2091</v>
      </c>
      <c r="AJ13" s="66">
        <v>2089</v>
      </c>
      <c r="AK13" s="66">
        <v>2093</v>
      </c>
      <c r="AL13" s="79" t="s">
        <v>492</v>
      </c>
      <c r="AM13" s="67" t="s">
        <v>491</v>
      </c>
      <c r="AN13" s="78" t="s">
        <v>461</v>
      </c>
      <c r="AO13" s="66">
        <v>2010</v>
      </c>
      <c r="AP13" s="78" t="s">
        <v>69</v>
      </c>
      <c r="AQ13" s="66">
        <v>183</v>
      </c>
      <c r="AR13" s="79" t="s">
        <v>462</v>
      </c>
      <c r="AS13" s="147" t="s">
        <v>463</v>
      </c>
      <c r="AT13" s="126" t="s">
        <v>490</v>
      </c>
      <c r="AU13" s="161" t="s">
        <v>565</v>
      </c>
    </row>
    <row r="14" spans="1:49" s="33" customFormat="1" ht="28" x14ac:dyDescent="0.15">
      <c r="A14" s="47" t="s">
        <v>481</v>
      </c>
      <c r="B14" s="109" t="s">
        <v>493</v>
      </c>
      <c r="C14" s="38" t="s">
        <v>66</v>
      </c>
      <c r="D14" s="69"/>
      <c r="E14" s="69"/>
      <c r="F14" s="68">
        <v>0</v>
      </c>
      <c r="G14" s="70">
        <v>48</v>
      </c>
      <c r="H14" s="70">
        <v>266</v>
      </c>
      <c r="I14" s="106"/>
      <c r="J14" s="80">
        <v>1000</v>
      </c>
      <c r="K14" s="71">
        <v>117.2</v>
      </c>
      <c r="L14" s="70">
        <v>-54.8</v>
      </c>
      <c r="M14" s="70">
        <f t="shared" si="0"/>
        <v>54.8</v>
      </c>
      <c r="N14" s="80">
        <v>1000</v>
      </c>
      <c r="O14" s="80">
        <v>0.1</v>
      </c>
      <c r="P14" s="72">
        <v>42.8</v>
      </c>
      <c r="Q14" s="73">
        <v>184.6</v>
      </c>
      <c r="R14" s="70">
        <v>6.1</v>
      </c>
      <c r="S14" s="70">
        <v>6.1</v>
      </c>
      <c r="T14" s="70">
        <f t="shared" si="1"/>
        <v>6.1</v>
      </c>
      <c r="U14" s="68" t="s">
        <v>149</v>
      </c>
      <c r="V14" s="68">
        <v>3</v>
      </c>
      <c r="W14" s="74">
        <f t="shared" si="2"/>
        <v>1</v>
      </c>
      <c r="X14" s="75">
        <f t="shared" si="3"/>
        <v>1</v>
      </c>
      <c r="Y14" s="75">
        <f t="shared" si="4"/>
        <v>1</v>
      </c>
      <c r="Z14" s="75">
        <f t="shared" si="5"/>
        <v>1</v>
      </c>
      <c r="AA14" s="66">
        <f t="shared" si="6"/>
        <v>1</v>
      </c>
      <c r="AB14" s="66">
        <v>1</v>
      </c>
      <c r="AC14" s="66">
        <v>0</v>
      </c>
      <c r="AD14" s="76">
        <v>1</v>
      </c>
      <c r="AE14" s="66">
        <v>0</v>
      </c>
      <c r="AF14" s="2">
        <v>0</v>
      </c>
      <c r="AG14" s="6">
        <f t="shared" si="7"/>
        <v>4</v>
      </c>
      <c r="AH14" s="66" t="s">
        <v>67</v>
      </c>
      <c r="AI14" s="14">
        <f t="shared" si="8"/>
        <v>2076.5</v>
      </c>
      <c r="AJ14" s="66">
        <v>2072</v>
      </c>
      <c r="AK14" s="66">
        <v>2081</v>
      </c>
      <c r="AL14" s="79" t="s">
        <v>494</v>
      </c>
      <c r="AM14" s="67" t="s">
        <v>493</v>
      </c>
      <c r="AN14" s="78" t="s">
        <v>461</v>
      </c>
      <c r="AO14" s="66">
        <v>2010</v>
      </c>
      <c r="AP14" s="78" t="s">
        <v>69</v>
      </c>
      <c r="AQ14" s="66">
        <v>183</v>
      </c>
      <c r="AR14" s="79" t="s">
        <v>462</v>
      </c>
      <c r="AS14" s="147" t="s">
        <v>463</v>
      </c>
      <c r="AT14" s="126" t="s">
        <v>386</v>
      </c>
      <c r="AU14" s="161" t="s">
        <v>565</v>
      </c>
    </row>
    <row r="15" spans="1:49" s="94" customFormat="1" ht="28" x14ac:dyDescent="0.15">
      <c r="A15" s="25" t="s">
        <v>481</v>
      </c>
      <c r="B15" s="117" t="s">
        <v>495</v>
      </c>
      <c r="C15" s="8" t="s">
        <v>66</v>
      </c>
      <c r="D15" s="79"/>
      <c r="E15" s="79" t="s">
        <v>148</v>
      </c>
      <c r="F15" s="66">
        <v>0</v>
      </c>
      <c r="G15" s="71">
        <v>55</v>
      </c>
      <c r="H15" s="71">
        <v>262</v>
      </c>
      <c r="I15" s="66"/>
      <c r="J15" s="71">
        <v>1000</v>
      </c>
      <c r="K15" s="71">
        <v>248.6</v>
      </c>
      <c r="L15" s="71">
        <v>66.7</v>
      </c>
      <c r="M15" s="71">
        <f t="shared" si="0"/>
        <v>66.7</v>
      </c>
      <c r="N15" s="71">
        <v>1000</v>
      </c>
      <c r="O15" s="71">
        <v>0.1</v>
      </c>
      <c r="P15" s="73">
        <v>28.9</v>
      </c>
      <c r="Q15" s="73">
        <v>218</v>
      </c>
      <c r="R15" s="71">
        <v>3.8</v>
      </c>
      <c r="S15" s="71">
        <v>3.8</v>
      </c>
      <c r="T15" s="71">
        <f t="shared" si="1"/>
        <v>3.8</v>
      </c>
      <c r="U15" s="66" t="s">
        <v>70</v>
      </c>
      <c r="V15" s="66">
        <v>4</v>
      </c>
      <c r="W15" s="66">
        <f t="shared" si="2"/>
        <v>1</v>
      </c>
      <c r="X15" s="66">
        <f t="shared" si="3"/>
        <v>1</v>
      </c>
      <c r="Y15" s="66">
        <f t="shared" si="4"/>
        <v>1</v>
      </c>
      <c r="Z15" s="66">
        <f t="shared" si="5"/>
        <v>1</v>
      </c>
      <c r="AA15" s="66">
        <f t="shared" si="6"/>
        <v>1</v>
      </c>
      <c r="AB15" s="66">
        <v>1</v>
      </c>
      <c r="AC15" s="66">
        <v>1</v>
      </c>
      <c r="AD15" s="76">
        <v>1</v>
      </c>
      <c r="AE15" s="66">
        <v>1</v>
      </c>
      <c r="AF15" s="2">
        <v>1</v>
      </c>
      <c r="AG15" s="8">
        <f t="shared" si="7"/>
        <v>7</v>
      </c>
      <c r="AH15" s="66" t="s">
        <v>67</v>
      </c>
      <c r="AI15" s="14">
        <f t="shared" si="8"/>
        <v>1878.5</v>
      </c>
      <c r="AJ15" s="66">
        <v>1873</v>
      </c>
      <c r="AK15" s="66">
        <v>1884</v>
      </c>
      <c r="AL15" s="79" t="s">
        <v>496</v>
      </c>
      <c r="AM15" s="78" t="s">
        <v>495</v>
      </c>
      <c r="AN15" s="78" t="s">
        <v>461</v>
      </c>
      <c r="AO15" s="66">
        <v>2010</v>
      </c>
      <c r="AP15" s="78" t="s">
        <v>69</v>
      </c>
      <c r="AQ15" s="66">
        <v>183</v>
      </c>
      <c r="AR15" s="79" t="s">
        <v>462</v>
      </c>
      <c r="AS15" s="148" t="s">
        <v>463</v>
      </c>
      <c r="AT15" s="126"/>
      <c r="AU15" s="161" t="s">
        <v>565</v>
      </c>
    </row>
    <row r="16" spans="1:49" s="94" customFormat="1" x14ac:dyDescent="0.15">
      <c r="A16" s="25" t="s">
        <v>443</v>
      </c>
      <c r="B16" s="117" t="s">
        <v>644</v>
      </c>
      <c r="C16" s="8" t="s">
        <v>66</v>
      </c>
      <c r="D16" s="79" t="s">
        <v>445</v>
      </c>
      <c r="E16" s="79" t="s">
        <v>68</v>
      </c>
      <c r="F16" s="66">
        <v>100</v>
      </c>
      <c r="G16" s="71">
        <v>56</v>
      </c>
      <c r="H16" s="71">
        <v>279</v>
      </c>
      <c r="I16" s="66">
        <v>27</v>
      </c>
      <c r="J16" s="66">
        <v>100</v>
      </c>
      <c r="K16" s="71">
        <v>38.700000000000003</v>
      </c>
      <c r="L16" s="71">
        <v>-47.8</v>
      </c>
      <c r="M16" s="71">
        <f t="shared" si="0"/>
        <v>47.8</v>
      </c>
      <c r="N16" s="71">
        <v>1000</v>
      </c>
      <c r="O16" s="71">
        <v>0.1</v>
      </c>
      <c r="P16" s="73">
        <v>1</v>
      </c>
      <c r="Q16" s="73">
        <v>245.8</v>
      </c>
      <c r="R16" s="71">
        <v>3.9</v>
      </c>
      <c r="S16" s="71">
        <v>3.9</v>
      </c>
      <c r="T16" s="71">
        <f t="shared" si="1"/>
        <v>3.9</v>
      </c>
      <c r="U16" s="66" t="s">
        <v>70</v>
      </c>
      <c r="V16" s="66">
        <v>3</v>
      </c>
      <c r="W16" s="66">
        <f t="shared" si="2"/>
        <v>1</v>
      </c>
      <c r="X16" s="66">
        <f t="shared" si="3"/>
        <v>1</v>
      </c>
      <c r="Y16" s="66">
        <f t="shared" si="4"/>
        <v>1</v>
      </c>
      <c r="Z16" s="66">
        <f t="shared" si="5"/>
        <v>1</v>
      </c>
      <c r="AA16" s="66">
        <f t="shared" si="6"/>
        <v>1</v>
      </c>
      <c r="AB16" s="66">
        <v>1</v>
      </c>
      <c r="AC16" s="66">
        <v>1</v>
      </c>
      <c r="AD16" s="76">
        <v>1</v>
      </c>
      <c r="AE16" s="66">
        <f>IF(OR(U16="0or100",U16=0,U16=100),0,1)</f>
        <v>1</v>
      </c>
      <c r="AF16" s="2">
        <v>1</v>
      </c>
      <c r="AG16" s="8">
        <f t="shared" si="7"/>
        <v>7</v>
      </c>
      <c r="AH16" s="66" t="s">
        <v>71</v>
      </c>
      <c r="AI16" s="14">
        <f t="shared" si="8"/>
        <v>1870</v>
      </c>
      <c r="AJ16" s="66">
        <v>1869</v>
      </c>
      <c r="AK16" s="66">
        <v>1871</v>
      </c>
      <c r="AL16" s="79" t="s">
        <v>446</v>
      </c>
      <c r="AM16" s="78" t="s">
        <v>444</v>
      </c>
      <c r="AN16" s="77" t="s">
        <v>49</v>
      </c>
      <c r="AO16" s="65">
        <v>2009</v>
      </c>
      <c r="AP16" s="77"/>
      <c r="AQ16" s="65"/>
      <c r="AR16" s="77"/>
      <c r="AS16" s="149"/>
      <c r="AT16" s="126"/>
      <c r="AU16" s="31" t="s">
        <v>649</v>
      </c>
    </row>
    <row r="17" spans="1:49" s="33" customFormat="1" ht="19" customHeight="1" x14ac:dyDescent="0.15">
      <c r="A17" s="47" t="s">
        <v>530</v>
      </c>
      <c r="B17" s="112" t="s">
        <v>531</v>
      </c>
      <c r="C17" s="23" t="s">
        <v>121</v>
      </c>
      <c r="D17" s="77"/>
      <c r="E17" s="77"/>
      <c r="F17" s="136"/>
      <c r="G17" s="71">
        <v>45.2</v>
      </c>
      <c r="H17" s="71">
        <v>249.2</v>
      </c>
      <c r="I17" s="136"/>
      <c r="J17" s="65">
        <v>74</v>
      </c>
      <c r="K17" s="71">
        <v>171</v>
      </c>
      <c r="L17" s="71">
        <v>-63</v>
      </c>
      <c r="M17" s="71">
        <f t="shared" si="0"/>
        <v>63</v>
      </c>
      <c r="N17" s="71">
        <v>32</v>
      </c>
      <c r="O17" s="71">
        <v>2.9</v>
      </c>
      <c r="P17" s="73">
        <v>-83.6</v>
      </c>
      <c r="Q17" s="73">
        <v>335.8</v>
      </c>
      <c r="R17" s="71">
        <f>2*O17/(1+3*(COS(RADIANS(L17)))^2)</f>
        <v>3.5839589181444294</v>
      </c>
      <c r="S17" s="71">
        <f>O17*SIN(RADIANS(DEGREES(ATAN(2/TAN(RADIANS(ABS(L17)))))))/COS(RADIANS(L17))</f>
        <v>4.5592720608928019</v>
      </c>
      <c r="T17" s="71">
        <f t="shared" si="1"/>
        <v>4.0423067378519768</v>
      </c>
      <c r="U17" s="65">
        <v>100</v>
      </c>
      <c r="V17" s="65">
        <v>4</v>
      </c>
      <c r="W17" s="74">
        <f t="shared" si="2"/>
        <v>1</v>
      </c>
      <c r="X17" s="75">
        <f t="shared" si="3"/>
        <v>1</v>
      </c>
      <c r="Y17" s="75">
        <f t="shared" si="4"/>
        <v>1</v>
      </c>
      <c r="Z17" s="75">
        <f t="shared" si="5"/>
        <v>1</v>
      </c>
      <c r="AA17" s="66">
        <f t="shared" si="6"/>
        <v>1</v>
      </c>
      <c r="AB17" s="66">
        <v>1</v>
      </c>
      <c r="AC17" s="66">
        <v>0</v>
      </c>
      <c r="AD17" s="66">
        <v>1</v>
      </c>
      <c r="AE17" s="66">
        <f>IF(OR(U17="0or100",U17=0,U17=100),0,1)</f>
        <v>0</v>
      </c>
      <c r="AF17" s="2">
        <v>0</v>
      </c>
      <c r="AG17" s="6">
        <f t="shared" si="7"/>
        <v>4</v>
      </c>
      <c r="AH17" s="66" t="s">
        <v>67</v>
      </c>
      <c r="AI17" s="14">
        <f t="shared" si="8"/>
        <v>2705</v>
      </c>
      <c r="AJ17" s="66">
        <v>2701</v>
      </c>
      <c r="AK17" s="66">
        <v>2709</v>
      </c>
      <c r="AL17" s="87" t="s">
        <v>532</v>
      </c>
      <c r="AM17" s="77" t="s">
        <v>531</v>
      </c>
      <c r="AN17" s="93" t="s">
        <v>533</v>
      </c>
      <c r="AO17" s="66">
        <v>2008</v>
      </c>
      <c r="AP17" s="93" t="s">
        <v>534</v>
      </c>
      <c r="AQ17" s="65">
        <v>9</v>
      </c>
      <c r="AR17" s="97" t="s">
        <v>535</v>
      </c>
      <c r="AS17" s="150" t="s">
        <v>536</v>
      </c>
      <c r="AT17" s="142" t="s">
        <v>537</v>
      </c>
      <c r="AU17" s="162" t="s">
        <v>564</v>
      </c>
    </row>
    <row r="18" spans="1:49" ht="33" customHeight="1" x14ac:dyDescent="0.15">
      <c r="A18" s="100" t="s">
        <v>530</v>
      </c>
      <c r="B18" s="124" t="s">
        <v>538</v>
      </c>
      <c r="C18" s="59" t="s">
        <v>34</v>
      </c>
      <c r="D18" s="62"/>
      <c r="E18" s="134" t="s">
        <v>539</v>
      </c>
      <c r="F18" s="59">
        <v>100</v>
      </c>
      <c r="G18" s="63">
        <v>43.9</v>
      </c>
      <c r="H18" s="63">
        <f>360-107.2</f>
        <v>252.8</v>
      </c>
      <c r="I18" s="59">
        <v>13</v>
      </c>
      <c r="J18" s="59">
        <v>81</v>
      </c>
      <c r="K18" s="63">
        <v>212.8</v>
      </c>
      <c r="L18" s="63">
        <v>-59</v>
      </c>
      <c r="M18" s="63">
        <f t="shared" si="0"/>
        <v>59</v>
      </c>
      <c r="N18" s="63">
        <v>48.5</v>
      </c>
      <c r="O18" s="63">
        <v>6</v>
      </c>
      <c r="P18" s="103">
        <v>65.5</v>
      </c>
      <c r="Q18" s="103">
        <v>339.2</v>
      </c>
      <c r="R18" s="63">
        <v>7.6</v>
      </c>
      <c r="S18" s="63">
        <v>7.6</v>
      </c>
      <c r="T18" s="63">
        <v>7.6</v>
      </c>
      <c r="U18" s="137" t="s">
        <v>540</v>
      </c>
      <c r="V18" s="59">
        <v>4</v>
      </c>
      <c r="W18" s="1">
        <f t="shared" si="2"/>
        <v>1</v>
      </c>
      <c r="X18" s="10">
        <f t="shared" si="3"/>
        <v>1</v>
      </c>
      <c r="Y18" s="10">
        <f t="shared" si="4"/>
        <v>1</v>
      </c>
      <c r="Z18" s="10">
        <f t="shared" si="5"/>
        <v>1</v>
      </c>
      <c r="AA18" s="2">
        <f t="shared" si="6"/>
        <v>1</v>
      </c>
      <c r="AB18" s="2">
        <v>1</v>
      </c>
      <c r="AC18" s="2">
        <v>1</v>
      </c>
      <c r="AD18" s="2">
        <v>1</v>
      </c>
      <c r="AE18" s="2">
        <v>1</v>
      </c>
      <c r="AF18" s="2">
        <v>1</v>
      </c>
      <c r="AG18" s="6">
        <f t="shared" si="7"/>
        <v>7</v>
      </c>
      <c r="AH18" s="2" t="s">
        <v>27</v>
      </c>
      <c r="AI18" s="90">
        <v>2160</v>
      </c>
      <c r="AJ18" s="84">
        <v>2152</v>
      </c>
      <c r="AK18" s="2">
        <v>2171</v>
      </c>
      <c r="AL18" s="125" t="s">
        <v>541</v>
      </c>
      <c r="AM18" s="125" t="s">
        <v>538</v>
      </c>
      <c r="AN18" s="126" t="s">
        <v>542</v>
      </c>
      <c r="AO18" s="2">
        <v>2015</v>
      </c>
      <c r="AP18" s="11" t="s">
        <v>543</v>
      </c>
      <c r="AQ18" s="59">
        <v>424</v>
      </c>
      <c r="AR18" s="127" t="s">
        <v>544</v>
      </c>
      <c r="AS18" s="126" t="s">
        <v>545</v>
      </c>
      <c r="AT18" s="142"/>
      <c r="AU18" s="90" t="s">
        <v>563</v>
      </c>
    </row>
    <row r="19" spans="1:49" ht="21.5" customHeight="1" x14ac:dyDescent="0.15">
      <c r="A19" s="100" t="s">
        <v>530</v>
      </c>
      <c r="B19" s="120" t="s">
        <v>546</v>
      </c>
      <c r="C19" s="59" t="s">
        <v>34</v>
      </c>
      <c r="D19" s="83"/>
      <c r="E19" s="105" t="s">
        <v>106</v>
      </c>
      <c r="F19" s="135">
        <v>0</v>
      </c>
      <c r="G19" s="135">
        <v>44.7</v>
      </c>
      <c r="H19" s="135">
        <v>-108.3</v>
      </c>
      <c r="I19" s="135">
        <v>16</v>
      </c>
      <c r="J19" s="135">
        <v>109</v>
      </c>
      <c r="K19" s="135">
        <v>65.099999999999994</v>
      </c>
      <c r="L19" s="135">
        <v>75.2</v>
      </c>
      <c r="M19" s="101">
        <f t="shared" si="0"/>
        <v>75.2</v>
      </c>
      <c r="N19" s="135">
        <v>21.8</v>
      </c>
      <c r="O19" s="135">
        <v>4.7</v>
      </c>
      <c r="P19" s="135">
        <v>49.2</v>
      </c>
      <c r="Q19" s="135">
        <v>292</v>
      </c>
      <c r="R19" s="135">
        <v>8.1</v>
      </c>
      <c r="S19" s="135">
        <v>8.1</v>
      </c>
      <c r="T19" s="135">
        <v>8.1</v>
      </c>
      <c r="U19" s="135" t="s">
        <v>547</v>
      </c>
      <c r="V19" s="64">
        <v>4</v>
      </c>
      <c r="W19" s="1">
        <f t="shared" si="2"/>
        <v>1</v>
      </c>
      <c r="X19" s="10">
        <f t="shared" si="3"/>
        <v>1</v>
      </c>
      <c r="Y19" s="10">
        <f t="shared" si="4"/>
        <v>1</v>
      </c>
      <c r="Z19" s="10">
        <f t="shared" si="5"/>
        <v>1</v>
      </c>
      <c r="AA19" s="2">
        <v>1</v>
      </c>
      <c r="AB19" s="2">
        <v>1</v>
      </c>
      <c r="AC19" s="2">
        <v>1</v>
      </c>
      <c r="AD19" s="2">
        <v>1</v>
      </c>
      <c r="AE19" s="2">
        <v>1</v>
      </c>
      <c r="AF19" s="2">
        <v>0</v>
      </c>
      <c r="AG19" s="6">
        <f t="shared" si="7"/>
        <v>6</v>
      </c>
      <c r="AH19" s="2" t="s">
        <v>27</v>
      </c>
      <c r="AI19" s="128">
        <v>1899</v>
      </c>
      <c r="AJ19" s="2">
        <f>1899-5</f>
        <v>1894</v>
      </c>
      <c r="AK19" s="2">
        <f>1899+5</f>
        <v>1904</v>
      </c>
      <c r="AL19" s="125" t="s">
        <v>548</v>
      </c>
      <c r="AM19" s="100" t="s">
        <v>546</v>
      </c>
      <c r="AN19" s="129" t="s">
        <v>549</v>
      </c>
      <c r="AO19" s="130" t="s">
        <v>550</v>
      </c>
      <c r="AP19" s="60" t="s">
        <v>179</v>
      </c>
      <c r="AQ19" s="2">
        <v>44</v>
      </c>
      <c r="AR19" s="61" t="s">
        <v>551</v>
      </c>
      <c r="AS19" s="151" t="s">
        <v>552</v>
      </c>
      <c r="AT19" s="142" t="s">
        <v>553</v>
      </c>
      <c r="AU19" s="90" t="s">
        <v>562</v>
      </c>
    </row>
    <row r="20" spans="1:49" ht="70" x14ac:dyDescent="0.15">
      <c r="A20" s="25" t="s">
        <v>511</v>
      </c>
      <c r="B20" s="117" t="s">
        <v>512</v>
      </c>
      <c r="C20" s="8">
        <v>8359</v>
      </c>
      <c r="D20" s="79"/>
      <c r="E20" s="79" t="s">
        <v>513</v>
      </c>
      <c r="F20" s="66">
        <v>0</v>
      </c>
      <c r="G20" s="71">
        <v>54.700001</v>
      </c>
      <c r="H20" s="71">
        <v>258.09999800000003</v>
      </c>
      <c r="I20" s="66">
        <v>18</v>
      </c>
      <c r="J20" s="66">
        <v>90</v>
      </c>
      <c r="K20" s="71">
        <v>46.700001</v>
      </c>
      <c r="L20" s="71">
        <v>83.199996999999996</v>
      </c>
      <c r="M20" s="71">
        <f t="shared" si="0"/>
        <v>83.199996999999996</v>
      </c>
      <c r="N20" s="71">
        <v>72</v>
      </c>
      <c r="O20" s="71">
        <v>4.0999999999999996</v>
      </c>
      <c r="P20" s="73">
        <v>62.400002000000001</v>
      </c>
      <c r="Q20" s="103">
        <v>275.39999999999998</v>
      </c>
      <c r="R20" s="71">
        <v>7.9</v>
      </c>
      <c r="S20" s="71">
        <v>8</v>
      </c>
      <c r="T20" s="71">
        <f t="shared" ref="T20:T28" si="9">SQRT(R20*S20)</f>
        <v>7.9498427657407165</v>
      </c>
      <c r="U20" s="66">
        <v>6</v>
      </c>
      <c r="V20" s="66">
        <v>4</v>
      </c>
      <c r="W20" s="66">
        <f t="shared" si="2"/>
        <v>1</v>
      </c>
      <c r="X20" s="66">
        <f t="shared" si="3"/>
        <v>1</v>
      </c>
      <c r="Y20" s="66">
        <f t="shared" si="4"/>
        <v>1</v>
      </c>
      <c r="Z20" s="66">
        <f t="shared" si="5"/>
        <v>1</v>
      </c>
      <c r="AA20" s="66">
        <f t="shared" ref="AA20:AA28" si="10">X20*Y20*Z20</f>
        <v>1</v>
      </c>
      <c r="AB20" s="66">
        <v>1</v>
      </c>
      <c r="AC20" s="66">
        <v>1</v>
      </c>
      <c r="AD20" s="76">
        <v>0</v>
      </c>
      <c r="AE20" s="66">
        <f t="shared" ref="AE20:AE25" si="11">IF(OR(U20="0or100",U20=0,U20=100),0,1)</f>
        <v>1</v>
      </c>
      <c r="AF20" s="2">
        <v>1</v>
      </c>
      <c r="AG20" s="8">
        <f t="shared" si="7"/>
        <v>6</v>
      </c>
      <c r="AH20" s="66" t="s">
        <v>71</v>
      </c>
      <c r="AI20" s="14">
        <f t="shared" ref="AI20:AI28" si="12">AVERAGE(AJ20:AK20)</f>
        <v>1838</v>
      </c>
      <c r="AJ20" s="66">
        <v>1837</v>
      </c>
      <c r="AK20" s="66">
        <v>1839</v>
      </c>
      <c r="AL20" s="77" t="s">
        <v>64</v>
      </c>
      <c r="AM20" s="78" t="s">
        <v>512</v>
      </c>
      <c r="AN20" s="78" t="s">
        <v>514</v>
      </c>
      <c r="AO20" s="66">
        <v>1999</v>
      </c>
      <c r="AP20" s="78" t="s">
        <v>515</v>
      </c>
      <c r="AQ20" s="66" t="s">
        <v>108</v>
      </c>
      <c r="AR20" s="79" t="s">
        <v>516</v>
      </c>
      <c r="AS20" s="148" t="s">
        <v>517</v>
      </c>
      <c r="AT20" s="126"/>
      <c r="AU20" s="161" t="s">
        <v>561</v>
      </c>
    </row>
    <row r="21" spans="1:49" ht="56" x14ac:dyDescent="0.15">
      <c r="A21" s="47" t="s">
        <v>511</v>
      </c>
      <c r="B21" s="109" t="s">
        <v>518</v>
      </c>
      <c r="C21" s="38">
        <v>8889</v>
      </c>
      <c r="D21" s="69"/>
      <c r="E21" s="69"/>
      <c r="F21" s="68">
        <v>0</v>
      </c>
      <c r="G21" s="70">
        <v>54.900002000000001</v>
      </c>
      <c r="H21" s="70">
        <v>256.699997</v>
      </c>
      <c r="I21" s="68">
        <v>18</v>
      </c>
      <c r="J21" s="68">
        <v>168</v>
      </c>
      <c r="K21" s="71">
        <v>28.299999</v>
      </c>
      <c r="L21" s="70">
        <v>82.099997999999999</v>
      </c>
      <c r="M21" s="70">
        <f t="shared" si="0"/>
        <v>82.099997999999999</v>
      </c>
      <c r="N21" s="70">
        <v>77.5</v>
      </c>
      <c r="O21" s="70">
        <v>4</v>
      </c>
      <c r="P21" s="72">
        <v>67.5</v>
      </c>
      <c r="Q21" s="73">
        <v>276</v>
      </c>
      <c r="R21" s="70">
        <v>7.6</v>
      </c>
      <c r="S21" s="70">
        <v>7.8</v>
      </c>
      <c r="T21" s="70">
        <f t="shared" si="9"/>
        <v>7.6993506219680627</v>
      </c>
      <c r="U21" s="68" t="s">
        <v>33</v>
      </c>
      <c r="V21" s="68">
        <v>4</v>
      </c>
      <c r="W21" s="74">
        <f t="shared" si="2"/>
        <v>1</v>
      </c>
      <c r="X21" s="75">
        <f t="shared" ref="X21:X52" si="13">IF(J21&gt;$X$1,1,0)</f>
        <v>1</v>
      </c>
      <c r="Y21" s="75">
        <f t="shared" ref="Y21:Y52" si="14">IF(N21&gt;($Y$1-0.001),1,0)</f>
        <v>1</v>
      </c>
      <c r="Z21" s="75">
        <f t="shared" ref="Z21:Z52" si="15">IF(O21&lt;($Z$1+0.001),1,0)</f>
        <v>1</v>
      </c>
      <c r="AA21" s="66">
        <f t="shared" si="10"/>
        <v>1</v>
      </c>
      <c r="AB21" s="66">
        <v>1</v>
      </c>
      <c r="AC21" s="66">
        <v>0</v>
      </c>
      <c r="AD21" s="76">
        <v>1</v>
      </c>
      <c r="AE21" s="66">
        <f t="shared" si="11"/>
        <v>0</v>
      </c>
      <c r="AF21" s="2">
        <v>1</v>
      </c>
      <c r="AG21" s="6">
        <f t="shared" si="7"/>
        <v>5</v>
      </c>
      <c r="AH21" s="66" t="s">
        <v>71</v>
      </c>
      <c r="AI21" s="14">
        <f t="shared" si="12"/>
        <v>1766</v>
      </c>
      <c r="AJ21" s="66">
        <v>1761</v>
      </c>
      <c r="AK21" s="66">
        <v>1771</v>
      </c>
      <c r="AL21" s="77" t="s">
        <v>64</v>
      </c>
      <c r="AM21" s="67" t="s">
        <v>518</v>
      </c>
      <c r="AN21" s="78" t="s">
        <v>519</v>
      </c>
      <c r="AO21" s="66">
        <v>2000</v>
      </c>
      <c r="AP21" s="78" t="s">
        <v>520</v>
      </c>
      <c r="AQ21" s="66" t="s">
        <v>60</v>
      </c>
      <c r="AR21" s="79" t="s">
        <v>521</v>
      </c>
      <c r="AS21" s="152" t="s">
        <v>522</v>
      </c>
      <c r="AT21" s="141"/>
      <c r="AU21" s="160" t="s">
        <v>560</v>
      </c>
      <c r="AV21" s="31" t="s">
        <v>558</v>
      </c>
    </row>
    <row r="22" spans="1:49" s="33" customFormat="1" ht="28" x14ac:dyDescent="0.15">
      <c r="A22" s="47" t="s">
        <v>511</v>
      </c>
      <c r="B22" s="109" t="s">
        <v>523</v>
      </c>
      <c r="C22" s="38" t="s">
        <v>66</v>
      </c>
      <c r="D22" s="69" t="s">
        <v>524</v>
      </c>
      <c r="E22" s="69"/>
      <c r="F22" s="68">
        <v>0</v>
      </c>
      <c r="G22" s="70">
        <v>54.900002000000001</v>
      </c>
      <c r="H22" s="70">
        <v>257.199997</v>
      </c>
      <c r="I22" s="68">
        <v>10</v>
      </c>
      <c r="J22" s="80">
        <v>1000</v>
      </c>
      <c r="K22" s="71">
        <v>166.7</v>
      </c>
      <c r="L22" s="70">
        <v>73.2</v>
      </c>
      <c r="M22" s="70">
        <f t="shared" si="0"/>
        <v>73.2</v>
      </c>
      <c r="N22" s="70">
        <v>27.6</v>
      </c>
      <c r="O22" s="70">
        <v>10</v>
      </c>
      <c r="P22" s="72">
        <v>24.3</v>
      </c>
      <c r="Q22" s="73">
        <v>264.3</v>
      </c>
      <c r="R22" s="70">
        <v>16</v>
      </c>
      <c r="S22" s="70">
        <v>17.899999999999999</v>
      </c>
      <c r="T22" s="70">
        <f t="shared" si="9"/>
        <v>16.923356641044943</v>
      </c>
      <c r="U22" s="68">
        <v>0</v>
      </c>
      <c r="V22" s="68">
        <v>4</v>
      </c>
      <c r="W22" s="74">
        <f t="shared" si="2"/>
        <v>1</v>
      </c>
      <c r="X22" s="75">
        <f t="shared" si="13"/>
        <v>1</v>
      </c>
      <c r="Y22" s="75">
        <f t="shared" si="14"/>
        <v>1</v>
      </c>
      <c r="Z22" s="75">
        <f t="shared" si="15"/>
        <v>1</v>
      </c>
      <c r="AA22" s="66">
        <f t="shared" si="10"/>
        <v>1</v>
      </c>
      <c r="AB22" s="66">
        <v>1</v>
      </c>
      <c r="AC22" s="66">
        <v>0</v>
      </c>
      <c r="AD22" s="76">
        <v>0</v>
      </c>
      <c r="AE22" s="66">
        <f t="shared" si="11"/>
        <v>0</v>
      </c>
      <c r="AF22" s="2">
        <v>0</v>
      </c>
      <c r="AG22" s="6">
        <f t="shared" si="7"/>
        <v>3</v>
      </c>
      <c r="AH22" s="66" t="s">
        <v>71</v>
      </c>
      <c r="AI22" s="14">
        <f t="shared" si="12"/>
        <v>1758</v>
      </c>
      <c r="AJ22" s="66">
        <v>1757</v>
      </c>
      <c r="AK22" s="66">
        <v>1759</v>
      </c>
      <c r="AL22" s="163" t="s">
        <v>525</v>
      </c>
      <c r="AM22" s="67" t="s">
        <v>523</v>
      </c>
      <c r="AN22" s="78" t="s">
        <v>526</v>
      </c>
      <c r="AO22" s="66">
        <v>1995</v>
      </c>
      <c r="AP22" s="78" t="s">
        <v>527</v>
      </c>
      <c r="AQ22" s="66"/>
      <c r="AR22" s="79" t="s">
        <v>528</v>
      </c>
      <c r="AS22" s="152" t="s">
        <v>529</v>
      </c>
      <c r="AT22" s="142"/>
      <c r="AU22" s="162" t="s">
        <v>571</v>
      </c>
      <c r="AV22" s="33" t="s">
        <v>559</v>
      </c>
      <c r="AW22" s="33" t="s">
        <v>573</v>
      </c>
    </row>
    <row r="23" spans="1:49" s="33" customFormat="1" ht="56" x14ac:dyDescent="0.15">
      <c r="A23" s="47" t="s">
        <v>358</v>
      </c>
      <c r="B23" s="109" t="s">
        <v>359</v>
      </c>
      <c r="C23" s="38">
        <v>8429</v>
      </c>
      <c r="D23" s="39" t="s">
        <v>360</v>
      </c>
      <c r="E23" s="39"/>
      <c r="F23" s="38">
        <v>0</v>
      </c>
      <c r="G23" s="40">
        <v>57.099997999999999</v>
      </c>
      <c r="H23" s="40">
        <v>251.599998</v>
      </c>
      <c r="I23" s="38">
        <v>8</v>
      </c>
      <c r="J23" s="38">
        <v>115</v>
      </c>
      <c r="K23" s="5">
        <v>112.300003</v>
      </c>
      <c r="L23" s="40">
        <v>38</v>
      </c>
      <c r="M23" s="40">
        <f t="shared" si="0"/>
        <v>38</v>
      </c>
      <c r="N23" s="40">
        <v>315.79998799999998</v>
      </c>
      <c r="O23" s="40">
        <v>3.1</v>
      </c>
      <c r="P23" s="110">
        <v>6.5</v>
      </c>
      <c r="Q23" s="30">
        <v>311.79998799999998</v>
      </c>
      <c r="R23" s="40">
        <v>2.2000000000000002</v>
      </c>
      <c r="S23" s="40">
        <v>3.7</v>
      </c>
      <c r="T23" s="40">
        <f t="shared" si="9"/>
        <v>2.8530685235374214</v>
      </c>
      <c r="U23" s="38">
        <v>0</v>
      </c>
      <c r="V23" s="38">
        <v>4</v>
      </c>
      <c r="W23" s="6">
        <f t="shared" si="2"/>
        <v>1</v>
      </c>
      <c r="X23" s="7">
        <f t="shared" si="13"/>
        <v>1</v>
      </c>
      <c r="Y23" s="7">
        <f t="shared" si="14"/>
        <v>1</v>
      </c>
      <c r="Z23" s="7">
        <f t="shared" si="15"/>
        <v>1</v>
      </c>
      <c r="AA23" s="8">
        <f t="shared" si="10"/>
        <v>1</v>
      </c>
      <c r="AB23" s="8">
        <v>1</v>
      </c>
      <c r="AC23" s="8">
        <v>0</v>
      </c>
      <c r="AD23" s="96">
        <v>0</v>
      </c>
      <c r="AE23" s="8">
        <f t="shared" si="11"/>
        <v>0</v>
      </c>
      <c r="AF23" s="2">
        <v>1</v>
      </c>
      <c r="AG23" s="6">
        <f t="shared" si="7"/>
        <v>4</v>
      </c>
      <c r="AH23" s="8" t="s">
        <v>71</v>
      </c>
      <c r="AI23" s="14">
        <f t="shared" si="12"/>
        <v>1917</v>
      </c>
      <c r="AJ23" s="8">
        <v>1910</v>
      </c>
      <c r="AK23" s="8">
        <v>1924</v>
      </c>
      <c r="AL23" s="41" t="s">
        <v>361</v>
      </c>
      <c r="AM23" s="47" t="s">
        <v>359</v>
      </c>
      <c r="AN23" s="25" t="s">
        <v>362</v>
      </c>
      <c r="AO23" s="8">
        <v>1999</v>
      </c>
      <c r="AP23" s="25" t="s">
        <v>35</v>
      </c>
      <c r="AQ23" s="8" t="s">
        <v>363</v>
      </c>
      <c r="AR23" s="42" t="s">
        <v>364</v>
      </c>
      <c r="AS23" s="153" t="s">
        <v>365</v>
      </c>
      <c r="AT23" s="126"/>
      <c r="AU23" s="31" t="s">
        <v>575</v>
      </c>
      <c r="AV23" s="33" t="s">
        <v>574</v>
      </c>
    </row>
    <row r="24" spans="1:49" ht="42" x14ac:dyDescent="0.15">
      <c r="A24" s="47" t="s">
        <v>358</v>
      </c>
      <c r="B24" s="109" t="s">
        <v>366</v>
      </c>
      <c r="C24" s="38">
        <v>2642</v>
      </c>
      <c r="D24" s="39"/>
      <c r="E24" s="39" t="s">
        <v>367</v>
      </c>
      <c r="F24" s="38">
        <v>0</v>
      </c>
      <c r="G24" s="40">
        <v>61.599997999999999</v>
      </c>
      <c r="H24" s="40">
        <v>250.199997</v>
      </c>
      <c r="I24" s="38">
        <v>10</v>
      </c>
      <c r="J24" s="38">
        <v>54</v>
      </c>
      <c r="K24" s="5">
        <v>131</v>
      </c>
      <c r="L24" s="40">
        <v>51</v>
      </c>
      <c r="M24" s="40">
        <f t="shared" si="0"/>
        <v>51</v>
      </c>
      <c r="N24" s="40">
        <v>50</v>
      </c>
      <c r="O24" s="40">
        <v>7</v>
      </c>
      <c r="P24" s="110">
        <v>12</v>
      </c>
      <c r="Q24" s="30">
        <v>291</v>
      </c>
      <c r="R24" s="40">
        <v>6.6</v>
      </c>
      <c r="S24" s="40">
        <v>9.4</v>
      </c>
      <c r="T24" s="40">
        <f t="shared" si="9"/>
        <v>7.8765474670060867</v>
      </c>
      <c r="U24" s="38">
        <v>20</v>
      </c>
      <c r="V24" s="38">
        <v>3</v>
      </c>
      <c r="W24" s="6">
        <f t="shared" si="2"/>
        <v>1</v>
      </c>
      <c r="X24" s="7">
        <f t="shared" si="13"/>
        <v>1</v>
      </c>
      <c r="Y24" s="7">
        <f t="shared" si="14"/>
        <v>1</v>
      </c>
      <c r="Z24" s="7">
        <f t="shared" si="15"/>
        <v>1</v>
      </c>
      <c r="AA24" s="8">
        <f t="shared" si="10"/>
        <v>1</v>
      </c>
      <c r="AB24" s="8">
        <v>1</v>
      </c>
      <c r="AC24" s="8">
        <v>0</v>
      </c>
      <c r="AD24" s="96">
        <v>1</v>
      </c>
      <c r="AE24" s="8">
        <f t="shared" si="11"/>
        <v>1</v>
      </c>
      <c r="AF24" s="2">
        <v>0</v>
      </c>
      <c r="AG24" s="6">
        <f t="shared" si="7"/>
        <v>5</v>
      </c>
      <c r="AH24" s="8" t="s">
        <v>71</v>
      </c>
      <c r="AI24" s="14">
        <f t="shared" si="12"/>
        <v>1827</v>
      </c>
      <c r="AJ24" s="8">
        <v>1823</v>
      </c>
      <c r="AK24" s="8">
        <v>1831</v>
      </c>
      <c r="AL24" s="41" t="s">
        <v>368</v>
      </c>
      <c r="AM24" s="47" t="s">
        <v>366</v>
      </c>
      <c r="AN24" s="25" t="s">
        <v>369</v>
      </c>
      <c r="AO24" s="8">
        <v>1974</v>
      </c>
      <c r="AP24" s="25" t="s">
        <v>94</v>
      </c>
      <c r="AQ24" s="8" t="s">
        <v>370</v>
      </c>
      <c r="AR24" s="42" t="s">
        <v>371</v>
      </c>
      <c r="AS24" s="153" t="s">
        <v>372</v>
      </c>
      <c r="AT24" s="141" t="s">
        <v>373</v>
      </c>
      <c r="AU24" s="32" t="s">
        <v>576</v>
      </c>
    </row>
    <row r="25" spans="1:49" s="28" customFormat="1" ht="42" x14ac:dyDescent="0.15">
      <c r="A25" s="47" t="s">
        <v>358</v>
      </c>
      <c r="B25" s="109" t="s">
        <v>374</v>
      </c>
      <c r="C25" s="38">
        <v>2659</v>
      </c>
      <c r="D25" s="39"/>
      <c r="E25" s="39" t="s">
        <v>57</v>
      </c>
      <c r="F25" s="38">
        <v>100</v>
      </c>
      <c r="G25" s="40">
        <v>59.599997999999999</v>
      </c>
      <c r="H25" s="40">
        <v>251.400002</v>
      </c>
      <c r="I25" s="38">
        <v>15</v>
      </c>
      <c r="J25" s="38">
        <v>56</v>
      </c>
      <c r="K25" s="5">
        <v>322.5</v>
      </c>
      <c r="L25" s="40">
        <v>-29.4</v>
      </c>
      <c r="M25" s="40">
        <f t="shared" si="0"/>
        <v>29.4</v>
      </c>
      <c r="N25" s="40">
        <v>15</v>
      </c>
      <c r="O25" s="40">
        <v>10.4</v>
      </c>
      <c r="P25" s="110">
        <v>-9</v>
      </c>
      <c r="Q25" s="30">
        <v>288</v>
      </c>
      <c r="R25" s="40">
        <v>6.3</v>
      </c>
      <c r="S25" s="40">
        <v>11.5</v>
      </c>
      <c r="T25" s="40">
        <f t="shared" si="9"/>
        <v>8.5117565754666646</v>
      </c>
      <c r="U25" s="38">
        <v>60</v>
      </c>
      <c r="V25" s="38">
        <v>2</v>
      </c>
      <c r="W25" s="6">
        <f t="shared" ref="W25:W57" si="16">IF(((AK25-AJ25)/2)&gt;MIN($W$1,((AK25+AJ25)/2)*$W$1/1000),0,1)</f>
        <v>1</v>
      </c>
      <c r="X25" s="7">
        <f t="shared" si="13"/>
        <v>1</v>
      </c>
      <c r="Y25" s="7">
        <f t="shared" si="14"/>
        <v>1</v>
      </c>
      <c r="Z25" s="7">
        <f t="shared" si="15"/>
        <v>1</v>
      </c>
      <c r="AA25" s="8">
        <f t="shared" si="10"/>
        <v>1</v>
      </c>
      <c r="AB25" s="8">
        <v>0</v>
      </c>
      <c r="AC25" s="8">
        <v>1</v>
      </c>
      <c r="AD25" s="96">
        <v>1</v>
      </c>
      <c r="AE25" s="8">
        <f t="shared" si="11"/>
        <v>1</v>
      </c>
      <c r="AF25" s="2">
        <v>0</v>
      </c>
      <c r="AG25" s="6">
        <f t="shared" si="7"/>
        <v>5</v>
      </c>
      <c r="AH25" s="8" t="s">
        <v>67</v>
      </c>
      <c r="AI25" s="14">
        <f t="shared" si="12"/>
        <v>1818</v>
      </c>
      <c r="AJ25" s="8">
        <v>1814</v>
      </c>
      <c r="AK25" s="8">
        <v>1822</v>
      </c>
      <c r="AL25" s="41" t="s">
        <v>375</v>
      </c>
      <c r="AM25" s="47" t="s">
        <v>374</v>
      </c>
      <c r="AN25" s="25" t="s">
        <v>376</v>
      </c>
      <c r="AO25" s="8">
        <v>1973</v>
      </c>
      <c r="AP25" s="25" t="s">
        <v>94</v>
      </c>
      <c r="AQ25" s="8" t="s">
        <v>377</v>
      </c>
      <c r="AR25" s="42" t="s">
        <v>378</v>
      </c>
      <c r="AS25" s="153" t="s">
        <v>379</v>
      </c>
      <c r="AT25" s="141" t="s">
        <v>373</v>
      </c>
      <c r="AU25" s="32" t="s">
        <v>577</v>
      </c>
    </row>
    <row r="26" spans="1:49" s="28" customFormat="1" ht="42" x14ac:dyDescent="0.15">
      <c r="A26" s="47" t="s">
        <v>390</v>
      </c>
      <c r="B26" s="116" t="s">
        <v>391</v>
      </c>
      <c r="C26" s="34" t="s">
        <v>34</v>
      </c>
      <c r="D26" s="35"/>
      <c r="E26" s="33" t="s">
        <v>41</v>
      </c>
      <c r="F26" s="34">
        <v>0</v>
      </c>
      <c r="G26" s="34">
        <v>62.5</v>
      </c>
      <c r="H26" s="34">
        <v>245.5</v>
      </c>
      <c r="I26" s="34">
        <v>5</v>
      </c>
      <c r="J26" s="34">
        <v>58</v>
      </c>
      <c r="K26" s="34">
        <v>2</v>
      </c>
      <c r="L26" s="34">
        <v>-47</v>
      </c>
      <c r="M26" s="34">
        <f t="shared" si="0"/>
        <v>47</v>
      </c>
      <c r="N26" s="34">
        <v>30</v>
      </c>
      <c r="O26" s="34">
        <v>14</v>
      </c>
      <c r="P26" s="34">
        <v>-1</v>
      </c>
      <c r="Q26" s="34">
        <v>64</v>
      </c>
      <c r="R26" s="34">
        <v>15</v>
      </c>
      <c r="S26" s="34">
        <v>15</v>
      </c>
      <c r="T26" s="34">
        <f t="shared" si="9"/>
        <v>15</v>
      </c>
      <c r="U26" s="34">
        <v>0</v>
      </c>
      <c r="V26" s="34">
        <v>4</v>
      </c>
      <c r="W26" s="6">
        <f t="shared" si="16"/>
        <v>1</v>
      </c>
      <c r="X26" s="7">
        <f t="shared" si="13"/>
        <v>1</v>
      </c>
      <c r="Y26" s="7">
        <f t="shared" si="14"/>
        <v>1</v>
      </c>
      <c r="Z26" s="7">
        <f t="shared" si="15"/>
        <v>1</v>
      </c>
      <c r="AA26" s="8">
        <f t="shared" si="10"/>
        <v>1</v>
      </c>
      <c r="AB26" s="36">
        <v>1</v>
      </c>
      <c r="AC26" s="8">
        <v>1</v>
      </c>
      <c r="AD26" s="36">
        <v>1</v>
      </c>
      <c r="AE26" s="8">
        <v>0</v>
      </c>
      <c r="AF26" s="2">
        <v>0</v>
      </c>
      <c r="AG26" s="6">
        <f t="shared" si="7"/>
        <v>5</v>
      </c>
      <c r="AH26" s="15" t="s">
        <v>8</v>
      </c>
      <c r="AI26" s="14">
        <f t="shared" si="12"/>
        <v>2625</v>
      </c>
      <c r="AJ26" s="34">
        <v>2620</v>
      </c>
      <c r="AK26" s="34">
        <v>2630</v>
      </c>
      <c r="AL26" s="33" t="s">
        <v>392</v>
      </c>
      <c r="AM26" s="33" t="s">
        <v>391</v>
      </c>
      <c r="AN26" s="33" t="s">
        <v>393</v>
      </c>
      <c r="AO26" s="8">
        <v>2014</v>
      </c>
      <c r="AP26" s="33" t="s">
        <v>43</v>
      </c>
      <c r="AQ26" s="34">
        <v>314</v>
      </c>
      <c r="AR26" s="35" t="s">
        <v>394</v>
      </c>
      <c r="AS26" s="154" t="s">
        <v>395</v>
      </c>
      <c r="AT26" s="141"/>
      <c r="AU26" s="32" t="s">
        <v>578</v>
      </c>
      <c r="AV26" s="32" t="s">
        <v>579</v>
      </c>
    </row>
    <row r="27" spans="1:49" s="28" customFormat="1" ht="70" x14ac:dyDescent="0.15">
      <c r="A27" s="47" t="s">
        <v>390</v>
      </c>
      <c r="B27" s="116" t="s">
        <v>396</v>
      </c>
      <c r="C27" s="34">
        <v>13555</v>
      </c>
      <c r="D27" s="35"/>
      <c r="E27" s="33" t="s">
        <v>41</v>
      </c>
      <c r="F27" s="34">
        <v>0</v>
      </c>
      <c r="G27" s="34">
        <v>64.2</v>
      </c>
      <c r="H27" s="34">
        <v>249.8</v>
      </c>
      <c r="I27" s="34">
        <v>9</v>
      </c>
      <c r="J27" s="34">
        <v>45</v>
      </c>
      <c r="K27" s="34">
        <v>138.30000000000001</v>
      </c>
      <c r="L27" s="34">
        <v>-53.8</v>
      </c>
      <c r="M27" s="34">
        <f t="shared" si="0"/>
        <v>53.8</v>
      </c>
      <c r="N27" s="34">
        <v>81</v>
      </c>
      <c r="O27" s="34">
        <v>5.8</v>
      </c>
      <c r="P27" s="34">
        <v>-50.8</v>
      </c>
      <c r="Q27" s="34">
        <v>310</v>
      </c>
      <c r="R27" s="34">
        <v>6.7</v>
      </c>
      <c r="S27" s="34">
        <v>6.7</v>
      </c>
      <c r="T27" s="34">
        <f t="shared" si="9"/>
        <v>6.7</v>
      </c>
      <c r="U27" s="34">
        <v>0</v>
      </c>
      <c r="V27" s="34">
        <v>4</v>
      </c>
      <c r="W27" s="6">
        <f t="shared" si="16"/>
        <v>1</v>
      </c>
      <c r="X27" s="7">
        <f t="shared" si="13"/>
        <v>1</v>
      </c>
      <c r="Y27" s="7">
        <f t="shared" si="14"/>
        <v>1</v>
      </c>
      <c r="Z27" s="7">
        <f t="shared" si="15"/>
        <v>1</v>
      </c>
      <c r="AA27" s="8">
        <f t="shared" si="10"/>
        <v>1</v>
      </c>
      <c r="AB27" s="36">
        <v>1</v>
      </c>
      <c r="AC27" s="8">
        <v>1</v>
      </c>
      <c r="AD27" s="36">
        <v>1</v>
      </c>
      <c r="AE27" s="8">
        <v>0</v>
      </c>
      <c r="AF27" s="2">
        <v>0</v>
      </c>
      <c r="AG27" s="6">
        <f t="shared" si="7"/>
        <v>5</v>
      </c>
      <c r="AH27" s="13" t="s">
        <v>27</v>
      </c>
      <c r="AI27" s="14">
        <f t="shared" si="12"/>
        <v>2231</v>
      </c>
      <c r="AJ27" s="8">
        <v>2229</v>
      </c>
      <c r="AK27" s="8">
        <v>2233</v>
      </c>
      <c r="AL27" s="33" t="s">
        <v>397</v>
      </c>
      <c r="AM27" s="33" t="s">
        <v>396</v>
      </c>
      <c r="AN27" s="33" t="s">
        <v>398</v>
      </c>
      <c r="AO27" s="8">
        <v>2012</v>
      </c>
      <c r="AP27" s="33" t="s">
        <v>308</v>
      </c>
      <c r="AQ27" s="34">
        <v>49</v>
      </c>
      <c r="AR27" s="35" t="s">
        <v>399</v>
      </c>
      <c r="AS27" s="146" t="s">
        <v>400</v>
      </c>
      <c r="AT27" s="141" t="s">
        <v>401</v>
      </c>
      <c r="AU27" s="28" t="s">
        <v>583</v>
      </c>
      <c r="AV27" s="31" t="s">
        <v>582</v>
      </c>
    </row>
    <row r="28" spans="1:49" s="28" customFormat="1" ht="42" x14ac:dyDescent="0.15">
      <c r="A28" s="47" t="s">
        <v>390</v>
      </c>
      <c r="B28" s="116" t="s">
        <v>402</v>
      </c>
      <c r="C28" s="4">
        <v>9406</v>
      </c>
      <c r="D28" s="35"/>
      <c r="E28" s="33" t="s">
        <v>28</v>
      </c>
      <c r="F28" s="34">
        <v>0</v>
      </c>
      <c r="G28" s="34">
        <v>62.5</v>
      </c>
      <c r="H28" s="34">
        <v>245.5</v>
      </c>
      <c r="I28" s="34">
        <v>14</v>
      </c>
      <c r="J28" s="34">
        <v>134</v>
      </c>
      <c r="K28" s="34">
        <v>302</v>
      </c>
      <c r="L28" s="34">
        <v>33</v>
      </c>
      <c r="M28" s="34">
        <f t="shared" si="0"/>
        <v>33</v>
      </c>
      <c r="N28" s="34">
        <v>34</v>
      </c>
      <c r="O28" s="34">
        <v>7</v>
      </c>
      <c r="P28" s="34">
        <v>-31</v>
      </c>
      <c r="Q28" s="34">
        <v>315</v>
      </c>
      <c r="R28" s="34">
        <v>7</v>
      </c>
      <c r="S28" s="34">
        <v>7</v>
      </c>
      <c r="T28" s="34">
        <f t="shared" si="9"/>
        <v>7</v>
      </c>
      <c r="U28" s="34">
        <v>0</v>
      </c>
      <c r="V28" s="34">
        <v>4</v>
      </c>
      <c r="W28" s="6">
        <f t="shared" si="16"/>
        <v>1</v>
      </c>
      <c r="X28" s="7">
        <f t="shared" si="13"/>
        <v>1</v>
      </c>
      <c r="Y28" s="7">
        <f t="shared" si="14"/>
        <v>1</v>
      </c>
      <c r="Z28" s="7">
        <f t="shared" si="15"/>
        <v>1</v>
      </c>
      <c r="AA28" s="8">
        <f t="shared" si="10"/>
        <v>1</v>
      </c>
      <c r="AB28" s="36">
        <v>1</v>
      </c>
      <c r="AC28" s="8">
        <v>1</v>
      </c>
      <c r="AD28" s="36">
        <v>1</v>
      </c>
      <c r="AE28" s="8">
        <v>0</v>
      </c>
      <c r="AF28" s="2">
        <v>1</v>
      </c>
      <c r="AG28" s="6">
        <f t="shared" si="7"/>
        <v>6</v>
      </c>
      <c r="AH28" s="15" t="s">
        <v>27</v>
      </c>
      <c r="AI28" s="14">
        <f t="shared" si="12"/>
        <v>2193</v>
      </c>
      <c r="AJ28" s="34">
        <v>2191</v>
      </c>
      <c r="AK28" s="34">
        <v>2195</v>
      </c>
      <c r="AL28" s="33" t="s">
        <v>403</v>
      </c>
      <c r="AM28" s="33" t="s">
        <v>402</v>
      </c>
      <c r="AN28" s="33" t="s">
        <v>393</v>
      </c>
      <c r="AO28" s="8">
        <v>2014</v>
      </c>
      <c r="AP28" s="33" t="s">
        <v>43</v>
      </c>
      <c r="AQ28" s="34">
        <v>314</v>
      </c>
      <c r="AR28" s="35" t="s">
        <v>394</v>
      </c>
      <c r="AS28" s="154" t="s">
        <v>395</v>
      </c>
      <c r="AT28" s="141"/>
      <c r="AU28" s="32" t="s">
        <v>578</v>
      </c>
      <c r="AV28" s="32" t="s">
        <v>585</v>
      </c>
    </row>
    <row r="29" spans="1:49" ht="98" x14ac:dyDescent="0.15">
      <c r="A29" s="100" t="s">
        <v>390</v>
      </c>
      <c r="B29" s="120" t="s">
        <v>404</v>
      </c>
      <c r="C29" s="4">
        <v>9484</v>
      </c>
      <c r="D29" s="12"/>
      <c r="E29" s="3" t="s">
        <v>28</v>
      </c>
      <c r="F29" s="4">
        <v>0</v>
      </c>
      <c r="G29" s="4">
        <v>62.5</v>
      </c>
      <c r="H29" s="4">
        <v>245.6</v>
      </c>
      <c r="I29" s="4">
        <v>18</v>
      </c>
      <c r="J29" s="107">
        <v>1000</v>
      </c>
      <c r="K29" s="4">
        <v>300</v>
      </c>
      <c r="L29" s="4">
        <v>-70</v>
      </c>
      <c r="M29" s="4">
        <v>70</v>
      </c>
      <c r="N29" s="4">
        <v>62</v>
      </c>
      <c r="O29" s="4">
        <v>4</v>
      </c>
      <c r="P29" s="4">
        <v>-36</v>
      </c>
      <c r="Q29" s="4">
        <f>76+180</f>
        <v>256</v>
      </c>
      <c r="R29" s="4">
        <v>7</v>
      </c>
      <c r="S29" s="4">
        <v>7</v>
      </c>
      <c r="T29" s="4">
        <v>7</v>
      </c>
      <c r="U29" s="4" t="s">
        <v>38</v>
      </c>
      <c r="V29" s="4">
        <v>4</v>
      </c>
      <c r="W29" s="1">
        <f t="shared" si="16"/>
        <v>1</v>
      </c>
      <c r="X29" s="10">
        <f t="shared" si="13"/>
        <v>1</v>
      </c>
      <c r="Y29" s="10">
        <f t="shared" si="14"/>
        <v>1</v>
      </c>
      <c r="Z29" s="10">
        <f t="shared" si="15"/>
        <v>1</v>
      </c>
      <c r="AA29" s="2">
        <v>1</v>
      </c>
      <c r="AB29" s="9">
        <v>1</v>
      </c>
      <c r="AC29" s="2">
        <v>1</v>
      </c>
      <c r="AD29" s="9">
        <v>1</v>
      </c>
      <c r="AE29" s="2">
        <v>1</v>
      </c>
      <c r="AF29" s="2">
        <v>1</v>
      </c>
      <c r="AG29" s="1">
        <f t="shared" si="7"/>
        <v>7</v>
      </c>
      <c r="AH29" s="92" t="s">
        <v>27</v>
      </c>
      <c r="AI29" s="84">
        <v>2126</v>
      </c>
      <c r="AJ29" s="4">
        <v>2108</v>
      </c>
      <c r="AK29" s="4">
        <v>2129</v>
      </c>
      <c r="AL29" s="3" t="s">
        <v>405</v>
      </c>
      <c r="AM29" s="3" t="s">
        <v>406</v>
      </c>
      <c r="AN29" s="3" t="s">
        <v>407</v>
      </c>
      <c r="AO29" s="2">
        <v>2016</v>
      </c>
      <c r="AP29" s="3" t="s">
        <v>408</v>
      </c>
      <c r="AQ29" s="4">
        <v>275</v>
      </c>
      <c r="AR29" s="12" t="s">
        <v>409</v>
      </c>
      <c r="AS29" s="143" t="s">
        <v>410</v>
      </c>
      <c r="AT29" s="141"/>
      <c r="AU29" s="105" t="s">
        <v>584</v>
      </c>
      <c r="AV29" s="31" t="s">
        <v>586</v>
      </c>
    </row>
    <row r="30" spans="1:49" s="28" customFormat="1" ht="84" x14ac:dyDescent="0.15">
      <c r="A30" s="47" t="s">
        <v>390</v>
      </c>
      <c r="B30" s="117" t="s">
        <v>411</v>
      </c>
      <c r="C30" s="34">
        <v>100035</v>
      </c>
      <c r="D30" s="69"/>
      <c r="E30" s="69" t="s">
        <v>412</v>
      </c>
      <c r="F30" s="68">
        <v>0</v>
      </c>
      <c r="G30" s="70">
        <v>64.400000000000006</v>
      </c>
      <c r="H30" s="70">
        <v>249.6</v>
      </c>
      <c r="I30" s="68">
        <v>10</v>
      </c>
      <c r="J30" s="68">
        <v>54</v>
      </c>
      <c r="K30" s="71">
        <v>338.2</v>
      </c>
      <c r="L30" s="70">
        <v>-55.3</v>
      </c>
      <c r="M30" s="70">
        <f>ABS(L30)</f>
        <v>55.3</v>
      </c>
      <c r="N30" s="70">
        <v>68</v>
      </c>
      <c r="O30" s="70">
        <v>5.9</v>
      </c>
      <c r="P30" s="72">
        <v>11.8</v>
      </c>
      <c r="Q30" s="73">
        <v>267.89999999999998</v>
      </c>
      <c r="R30" s="70">
        <v>6</v>
      </c>
      <c r="S30" s="70">
        <v>8.4</v>
      </c>
      <c r="T30" s="70">
        <f>SQRT(R30*S30)</f>
        <v>7.0992957397195395</v>
      </c>
      <c r="U30" s="68" t="s">
        <v>149</v>
      </c>
      <c r="V30" s="68">
        <v>4</v>
      </c>
      <c r="W30" s="74">
        <f t="shared" si="16"/>
        <v>1</v>
      </c>
      <c r="X30" s="75">
        <f t="shared" si="13"/>
        <v>1</v>
      </c>
      <c r="Y30" s="75">
        <f t="shared" si="14"/>
        <v>1</v>
      </c>
      <c r="Z30" s="75">
        <f t="shared" si="15"/>
        <v>1</v>
      </c>
      <c r="AA30" s="66">
        <f t="shared" ref="AA30:AA62" si="17">X30*Y30*Z30</f>
        <v>1</v>
      </c>
      <c r="AB30" s="66">
        <v>1</v>
      </c>
      <c r="AC30" s="66">
        <v>1</v>
      </c>
      <c r="AD30" s="76">
        <v>1</v>
      </c>
      <c r="AE30" s="66">
        <f t="shared" ref="AE30:AE56" si="18">IF(OR(U30="0or100",U30=0,U30=100),0,1)</f>
        <v>0</v>
      </c>
      <c r="AF30" s="2">
        <v>1</v>
      </c>
      <c r="AG30" s="6">
        <f t="shared" si="7"/>
        <v>6</v>
      </c>
      <c r="AH30" s="66" t="s">
        <v>67</v>
      </c>
      <c r="AI30" s="14">
        <f>AVERAGE(AJ30:AK30)</f>
        <v>2026</v>
      </c>
      <c r="AJ30" s="66">
        <v>2021</v>
      </c>
      <c r="AK30" s="66">
        <v>2031</v>
      </c>
      <c r="AL30" s="77" t="s">
        <v>413</v>
      </c>
      <c r="AM30" s="78" t="s">
        <v>411</v>
      </c>
      <c r="AN30" s="78" t="s">
        <v>414</v>
      </c>
      <c r="AO30" s="66">
        <v>2009</v>
      </c>
      <c r="AP30" s="78" t="s">
        <v>415</v>
      </c>
      <c r="AQ30" s="66">
        <v>46</v>
      </c>
      <c r="AR30" s="79" t="s">
        <v>416</v>
      </c>
      <c r="AS30" s="155" t="s">
        <v>417</v>
      </c>
      <c r="AT30" s="141"/>
      <c r="AU30" s="32" t="s">
        <v>580</v>
      </c>
      <c r="AV30" s="32" t="s">
        <v>581</v>
      </c>
    </row>
    <row r="31" spans="1:49" s="28" customFormat="1" ht="56" x14ac:dyDescent="0.15">
      <c r="A31" s="47" t="s">
        <v>390</v>
      </c>
      <c r="B31" s="117" t="s">
        <v>418</v>
      </c>
      <c r="C31" s="38">
        <v>5915</v>
      </c>
      <c r="D31" s="69"/>
      <c r="E31" s="99" t="s">
        <v>419</v>
      </c>
      <c r="F31" s="68">
        <v>100</v>
      </c>
      <c r="G31" s="70">
        <v>65.900002000000001</v>
      </c>
      <c r="H31" s="70">
        <v>252.900002</v>
      </c>
      <c r="I31" s="68">
        <v>22</v>
      </c>
      <c r="J31" s="68">
        <v>65</v>
      </c>
      <c r="K31" s="71">
        <v>86</v>
      </c>
      <c r="L31" s="70">
        <v>25</v>
      </c>
      <c r="M31" s="70">
        <f>ABS(L31)</f>
        <v>25</v>
      </c>
      <c r="N31" s="70">
        <v>12</v>
      </c>
      <c r="O31" s="70">
        <v>9</v>
      </c>
      <c r="P31" s="72">
        <v>14</v>
      </c>
      <c r="Q31" s="73">
        <v>341</v>
      </c>
      <c r="R31" s="70">
        <v>6</v>
      </c>
      <c r="S31" s="70">
        <v>10</v>
      </c>
      <c r="T31" s="70">
        <f>SQRT(R31*S31)</f>
        <v>7.745966692414834</v>
      </c>
      <c r="U31" s="68">
        <v>23</v>
      </c>
      <c r="V31" s="68">
        <v>3</v>
      </c>
      <c r="W31" s="74">
        <f t="shared" si="16"/>
        <v>1</v>
      </c>
      <c r="X31" s="75">
        <f t="shared" si="13"/>
        <v>1</v>
      </c>
      <c r="Y31" s="75">
        <f t="shared" si="14"/>
        <v>1</v>
      </c>
      <c r="Z31" s="75">
        <f t="shared" si="15"/>
        <v>1</v>
      </c>
      <c r="AA31" s="66">
        <f t="shared" si="17"/>
        <v>1</v>
      </c>
      <c r="AB31" s="66">
        <v>1</v>
      </c>
      <c r="AC31" s="66">
        <v>1</v>
      </c>
      <c r="AD31" s="76">
        <v>1</v>
      </c>
      <c r="AE31" s="66">
        <f t="shared" si="18"/>
        <v>1</v>
      </c>
      <c r="AF31" s="2">
        <v>0</v>
      </c>
      <c r="AG31" s="6">
        <f t="shared" si="7"/>
        <v>6</v>
      </c>
      <c r="AH31" s="66" t="s">
        <v>71</v>
      </c>
      <c r="AI31" s="14">
        <f>AVERAGE(AJ31:AK31)</f>
        <v>1963</v>
      </c>
      <c r="AJ31" s="66">
        <v>1957</v>
      </c>
      <c r="AK31" s="66">
        <v>1969</v>
      </c>
      <c r="AL31" s="77" t="s">
        <v>420</v>
      </c>
      <c r="AM31" s="78" t="s">
        <v>418</v>
      </c>
      <c r="AN31" s="78" t="s">
        <v>421</v>
      </c>
      <c r="AO31" s="66">
        <v>1981</v>
      </c>
      <c r="AP31" s="78" t="s">
        <v>422</v>
      </c>
      <c r="AQ31" s="66"/>
      <c r="AR31" s="79" t="s">
        <v>423</v>
      </c>
      <c r="AS31" s="148" t="s">
        <v>424</v>
      </c>
      <c r="AT31" s="141"/>
      <c r="AU31" s="108" t="s">
        <v>590</v>
      </c>
    </row>
    <row r="32" spans="1:49" ht="18.5" customHeight="1" x14ac:dyDescent="0.15">
      <c r="A32" s="60" t="s">
        <v>390</v>
      </c>
      <c r="B32" s="139" t="s">
        <v>425</v>
      </c>
      <c r="C32" s="9" t="s">
        <v>34</v>
      </c>
      <c r="D32" s="61"/>
      <c r="E32" s="86" t="s">
        <v>28</v>
      </c>
      <c r="F32" s="9">
        <v>0</v>
      </c>
      <c r="G32" s="63">
        <v>62.6</v>
      </c>
      <c r="H32" s="63">
        <v>244.6</v>
      </c>
      <c r="I32" s="2">
        <v>23</v>
      </c>
      <c r="J32" s="2">
        <v>1000</v>
      </c>
      <c r="K32" s="63">
        <v>350</v>
      </c>
      <c r="L32" s="63">
        <v>-48</v>
      </c>
      <c r="M32" s="63">
        <v>48</v>
      </c>
      <c r="N32" s="63">
        <v>32</v>
      </c>
      <c r="O32" s="63">
        <v>5</v>
      </c>
      <c r="P32" s="103">
        <v>-2</v>
      </c>
      <c r="Q32" s="103">
        <f>106+180</f>
        <v>286</v>
      </c>
      <c r="R32" s="63">
        <v>6</v>
      </c>
      <c r="S32" s="63">
        <v>6</v>
      </c>
      <c r="T32" s="63">
        <v>6</v>
      </c>
      <c r="U32" s="2">
        <v>74</v>
      </c>
      <c r="V32" s="2">
        <v>4</v>
      </c>
      <c r="W32" s="2">
        <f t="shared" si="16"/>
        <v>1</v>
      </c>
      <c r="X32" s="2">
        <f t="shared" si="13"/>
        <v>1</v>
      </c>
      <c r="Y32" s="2">
        <f t="shared" si="14"/>
        <v>1</v>
      </c>
      <c r="Z32" s="2">
        <f t="shared" si="15"/>
        <v>1</v>
      </c>
      <c r="AA32" s="2">
        <f t="shared" si="17"/>
        <v>1</v>
      </c>
      <c r="AB32" s="2">
        <v>1</v>
      </c>
      <c r="AC32" s="2">
        <v>1</v>
      </c>
      <c r="AD32" s="104">
        <v>1</v>
      </c>
      <c r="AE32" s="2">
        <f t="shared" si="18"/>
        <v>1</v>
      </c>
      <c r="AF32" s="2">
        <v>0</v>
      </c>
      <c r="AG32" s="2">
        <f t="shared" si="7"/>
        <v>6</v>
      </c>
      <c r="AH32" s="92" t="s">
        <v>27</v>
      </c>
      <c r="AI32" s="84">
        <v>1887</v>
      </c>
      <c r="AJ32" s="11">
        <v>1878</v>
      </c>
      <c r="AK32" s="2">
        <v>1892</v>
      </c>
      <c r="AL32" s="62" t="s">
        <v>426</v>
      </c>
      <c r="AM32" s="60" t="s">
        <v>425</v>
      </c>
      <c r="AN32" s="86" t="s">
        <v>407</v>
      </c>
      <c r="AO32" s="2">
        <v>2016</v>
      </c>
      <c r="AP32" s="86" t="s">
        <v>408</v>
      </c>
      <c r="AQ32" s="9">
        <v>275</v>
      </c>
      <c r="AR32" s="88" t="s">
        <v>409</v>
      </c>
      <c r="AS32" s="156" t="s">
        <v>410</v>
      </c>
      <c r="AT32" s="126" t="s">
        <v>427</v>
      </c>
      <c r="AU32" s="105" t="s">
        <v>584</v>
      </c>
    </row>
    <row r="33" spans="1:48" ht="56" x14ac:dyDescent="0.15">
      <c r="A33" s="25" t="s">
        <v>390</v>
      </c>
      <c r="B33" s="117" t="s">
        <v>636</v>
      </c>
      <c r="C33" s="8" t="s">
        <v>66</v>
      </c>
      <c r="D33" s="79"/>
      <c r="E33" s="79" t="s">
        <v>168</v>
      </c>
      <c r="F33" s="66">
        <v>100</v>
      </c>
      <c r="G33" s="71">
        <v>65</v>
      </c>
      <c r="H33" s="71">
        <v>250</v>
      </c>
      <c r="I33" s="66">
        <v>82</v>
      </c>
      <c r="J33" s="71">
        <v>1000</v>
      </c>
      <c r="K33" s="71">
        <v>169.5</v>
      </c>
      <c r="L33" s="71">
        <v>34</v>
      </c>
      <c r="M33" s="71">
        <f t="shared" ref="M33:M67" si="19">ABS(L33)</f>
        <v>34</v>
      </c>
      <c r="N33" s="71">
        <v>1000</v>
      </c>
      <c r="O33" s="71">
        <v>0.1</v>
      </c>
      <c r="P33" s="73">
        <v>-6</v>
      </c>
      <c r="Q33" s="73">
        <v>260</v>
      </c>
      <c r="R33" s="71">
        <v>4</v>
      </c>
      <c r="S33" s="71">
        <v>4</v>
      </c>
      <c r="T33" s="71">
        <f t="shared" ref="T33:T69" si="20">SQRT(R33*S33)</f>
        <v>4</v>
      </c>
      <c r="U33" s="66" t="s">
        <v>70</v>
      </c>
      <c r="V33" s="66">
        <v>3</v>
      </c>
      <c r="W33" s="66">
        <f t="shared" si="16"/>
        <v>1</v>
      </c>
      <c r="X33" s="66">
        <f t="shared" si="13"/>
        <v>1</v>
      </c>
      <c r="Y33" s="66">
        <f t="shared" si="14"/>
        <v>1</v>
      </c>
      <c r="Z33" s="66">
        <f t="shared" si="15"/>
        <v>1</v>
      </c>
      <c r="AA33" s="66">
        <f t="shared" si="17"/>
        <v>1</v>
      </c>
      <c r="AB33" s="66">
        <v>1</v>
      </c>
      <c r="AC33" s="66">
        <v>1</v>
      </c>
      <c r="AD33" s="76">
        <v>1</v>
      </c>
      <c r="AE33" s="66">
        <f t="shared" si="18"/>
        <v>1</v>
      </c>
      <c r="AF33" s="2">
        <v>1</v>
      </c>
      <c r="AG33" s="8">
        <f t="shared" si="7"/>
        <v>7</v>
      </c>
      <c r="AH33" s="66" t="s">
        <v>71</v>
      </c>
      <c r="AI33" s="14">
        <f t="shared" ref="AI33:AI68" si="21">AVERAGE(AJ33:AK33)</f>
        <v>1885</v>
      </c>
      <c r="AJ33" s="66">
        <v>1880</v>
      </c>
      <c r="AK33" s="66">
        <v>1890</v>
      </c>
      <c r="AL33" s="77" t="s">
        <v>429</v>
      </c>
      <c r="AM33" s="78" t="s">
        <v>428</v>
      </c>
      <c r="AN33" s="78" t="s">
        <v>430</v>
      </c>
      <c r="AO33" s="66">
        <v>2010</v>
      </c>
      <c r="AP33" s="78" t="s">
        <v>1</v>
      </c>
      <c r="AQ33" s="66">
        <v>179</v>
      </c>
      <c r="AR33" s="79" t="s">
        <v>431</v>
      </c>
      <c r="AS33" s="148" t="s">
        <v>432</v>
      </c>
      <c r="AT33" s="126"/>
      <c r="AU33" s="93" t="s">
        <v>587</v>
      </c>
    </row>
    <row r="34" spans="1:48" ht="56" x14ac:dyDescent="0.15">
      <c r="A34" s="25" t="s">
        <v>390</v>
      </c>
      <c r="B34" s="117" t="s">
        <v>637</v>
      </c>
      <c r="C34" s="8" t="s">
        <v>66</v>
      </c>
      <c r="D34" s="79"/>
      <c r="E34" s="79"/>
      <c r="F34" s="66">
        <v>100</v>
      </c>
      <c r="G34" s="71">
        <v>65</v>
      </c>
      <c r="H34" s="71">
        <v>250</v>
      </c>
      <c r="I34" s="66">
        <v>33</v>
      </c>
      <c r="J34" s="71">
        <v>1000</v>
      </c>
      <c r="K34" s="71">
        <v>145.4</v>
      </c>
      <c r="L34" s="71">
        <v>16.899999999999999</v>
      </c>
      <c r="M34" s="71">
        <f t="shared" si="19"/>
        <v>16.899999999999999</v>
      </c>
      <c r="N34" s="71">
        <v>1000</v>
      </c>
      <c r="O34" s="71">
        <v>0.1</v>
      </c>
      <c r="P34" s="73">
        <v>-12</v>
      </c>
      <c r="Q34" s="73">
        <v>285</v>
      </c>
      <c r="R34" s="71">
        <v>7</v>
      </c>
      <c r="S34" s="71">
        <v>7</v>
      </c>
      <c r="T34" s="71">
        <f t="shared" si="20"/>
        <v>7</v>
      </c>
      <c r="U34" s="66" t="s">
        <v>70</v>
      </c>
      <c r="V34" s="66">
        <v>2</v>
      </c>
      <c r="W34" s="66">
        <f t="shared" si="16"/>
        <v>1</v>
      </c>
      <c r="X34" s="66">
        <f t="shared" si="13"/>
        <v>1</v>
      </c>
      <c r="Y34" s="66">
        <f t="shared" si="14"/>
        <v>1</v>
      </c>
      <c r="Z34" s="66">
        <f t="shared" si="15"/>
        <v>1</v>
      </c>
      <c r="AA34" s="66">
        <f t="shared" si="17"/>
        <v>1</v>
      </c>
      <c r="AB34" s="66">
        <v>0</v>
      </c>
      <c r="AC34" s="66">
        <v>0</v>
      </c>
      <c r="AD34" s="76">
        <v>1</v>
      </c>
      <c r="AE34" s="66">
        <f t="shared" si="18"/>
        <v>1</v>
      </c>
      <c r="AF34" s="2">
        <v>1</v>
      </c>
      <c r="AG34" s="8">
        <f t="shared" ref="AG34:AG66" si="22">W34+SUM(AA34:AF34)</f>
        <v>5</v>
      </c>
      <c r="AH34" s="66" t="s">
        <v>71</v>
      </c>
      <c r="AI34" s="14">
        <f t="shared" si="21"/>
        <v>1882</v>
      </c>
      <c r="AJ34" s="66">
        <v>1878</v>
      </c>
      <c r="AK34" s="66">
        <v>1886</v>
      </c>
      <c r="AL34" s="77" t="s">
        <v>434</v>
      </c>
      <c r="AM34" s="78" t="s">
        <v>433</v>
      </c>
      <c r="AN34" s="78" t="s">
        <v>430</v>
      </c>
      <c r="AO34" s="66">
        <v>2010</v>
      </c>
      <c r="AP34" s="78" t="s">
        <v>1</v>
      </c>
      <c r="AQ34" s="66">
        <v>179</v>
      </c>
      <c r="AR34" s="79" t="s">
        <v>431</v>
      </c>
      <c r="AS34" s="148" t="s">
        <v>432</v>
      </c>
      <c r="AT34" s="126"/>
      <c r="AU34" s="93" t="s">
        <v>587</v>
      </c>
    </row>
    <row r="35" spans="1:48" s="28" customFormat="1" ht="42" x14ac:dyDescent="0.15">
      <c r="A35" s="25" t="s">
        <v>390</v>
      </c>
      <c r="B35" s="117" t="s">
        <v>435</v>
      </c>
      <c r="C35" s="8">
        <v>16</v>
      </c>
      <c r="D35" s="79" t="s">
        <v>243</v>
      </c>
      <c r="E35" s="79" t="s">
        <v>61</v>
      </c>
      <c r="F35" s="66">
        <v>100</v>
      </c>
      <c r="G35" s="71">
        <v>62.799999</v>
      </c>
      <c r="H35" s="71">
        <v>249.699997</v>
      </c>
      <c r="I35" s="66">
        <v>6</v>
      </c>
      <c r="J35" s="66">
        <v>43</v>
      </c>
      <c r="K35" s="71">
        <v>172</v>
      </c>
      <c r="L35" s="71">
        <v>18</v>
      </c>
      <c r="M35" s="71">
        <f t="shared" si="19"/>
        <v>18</v>
      </c>
      <c r="N35" s="71">
        <v>14</v>
      </c>
      <c r="O35" s="71">
        <v>19</v>
      </c>
      <c r="P35" s="73">
        <v>-18</v>
      </c>
      <c r="Q35" s="73">
        <v>258</v>
      </c>
      <c r="R35" s="71">
        <v>10.199999999999999</v>
      </c>
      <c r="S35" s="71">
        <v>19.700001</v>
      </c>
      <c r="T35" s="71">
        <f t="shared" si="20"/>
        <v>14.17533104375344</v>
      </c>
      <c r="U35" s="66">
        <v>33</v>
      </c>
      <c r="V35" s="66">
        <v>3</v>
      </c>
      <c r="W35" s="66">
        <f t="shared" si="16"/>
        <v>1</v>
      </c>
      <c r="X35" s="66">
        <f t="shared" si="13"/>
        <v>1</v>
      </c>
      <c r="Y35" s="66">
        <f t="shared" si="14"/>
        <v>1</v>
      </c>
      <c r="Z35" s="66">
        <f t="shared" si="15"/>
        <v>0</v>
      </c>
      <c r="AA35" s="66">
        <f t="shared" si="17"/>
        <v>0</v>
      </c>
      <c r="AB35" s="66">
        <v>1</v>
      </c>
      <c r="AC35" s="66">
        <v>0</v>
      </c>
      <c r="AD35" s="76">
        <v>1</v>
      </c>
      <c r="AE35" s="66">
        <f t="shared" si="18"/>
        <v>1</v>
      </c>
      <c r="AF35" s="2">
        <v>1</v>
      </c>
      <c r="AG35" s="8">
        <f t="shared" si="22"/>
        <v>5</v>
      </c>
      <c r="AH35" s="66" t="s">
        <v>71</v>
      </c>
      <c r="AI35" s="14">
        <f t="shared" si="21"/>
        <v>1876</v>
      </c>
      <c r="AJ35" s="66">
        <v>1866</v>
      </c>
      <c r="AK35" s="66">
        <v>1886</v>
      </c>
      <c r="AL35" s="77" t="s">
        <v>436</v>
      </c>
      <c r="AM35" s="78" t="s">
        <v>435</v>
      </c>
      <c r="AN35" s="78" t="s">
        <v>437</v>
      </c>
      <c r="AO35" s="66">
        <v>1979</v>
      </c>
      <c r="AP35" s="78" t="s">
        <v>54</v>
      </c>
      <c r="AQ35" s="66" t="s">
        <v>65</v>
      </c>
      <c r="AR35" s="79" t="s">
        <v>438</v>
      </c>
      <c r="AS35" s="148" t="s">
        <v>439</v>
      </c>
      <c r="AT35" s="126"/>
      <c r="AU35" s="93" t="s">
        <v>591</v>
      </c>
    </row>
    <row r="36" spans="1:48" s="28" customFormat="1" ht="42" x14ac:dyDescent="0.15">
      <c r="A36" s="25" t="s">
        <v>390</v>
      </c>
      <c r="B36" s="117" t="s">
        <v>440</v>
      </c>
      <c r="C36" s="8">
        <v>18</v>
      </c>
      <c r="D36" s="79"/>
      <c r="E36" s="79" t="s">
        <v>61</v>
      </c>
      <c r="F36" s="66">
        <v>100</v>
      </c>
      <c r="G36" s="71">
        <v>66.099997999999999</v>
      </c>
      <c r="H36" s="71">
        <v>246.900002</v>
      </c>
      <c r="I36" s="66">
        <v>17</v>
      </c>
      <c r="J36" s="66">
        <v>111</v>
      </c>
      <c r="K36" s="71">
        <v>178</v>
      </c>
      <c r="L36" s="71">
        <v>19</v>
      </c>
      <c r="M36" s="71">
        <f t="shared" si="19"/>
        <v>19</v>
      </c>
      <c r="N36" s="71">
        <v>15</v>
      </c>
      <c r="O36" s="71">
        <v>10</v>
      </c>
      <c r="P36" s="73">
        <v>-13</v>
      </c>
      <c r="Q36" s="73">
        <v>249</v>
      </c>
      <c r="R36" s="71">
        <v>8</v>
      </c>
      <c r="S36" s="71">
        <v>8</v>
      </c>
      <c r="T36" s="71">
        <f t="shared" si="20"/>
        <v>8</v>
      </c>
      <c r="U36" s="66">
        <v>18</v>
      </c>
      <c r="V36" s="66">
        <v>3</v>
      </c>
      <c r="W36" s="66">
        <f t="shared" si="16"/>
        <v>1</v>
      </c>
      <c r="X36" s="66">
        <f t="shared" si="13"/>
        <v>1</v>
      </c>
      <c r="Y36" s="66">
        <f t="shared" si="14"/>
        <v>1</v>
      </c>
      <c r="Z36" s="66">
        <f t="shared" si="15"/>
        <v>1</v>
      </c>
      <c r="AA36" s="66">
        <f t="shared" si="17"/>
        <v>1</v>
      </c>
      <c r="AB36" s="66">
        <v>1</v>
      </c>
      <c r="AC36" s="66">
        <v>0</v>
      </c>
      <c r="AD36" s="76">
        <v>1</v>
      </c>
      <c r="AE36" s="66">
        <f t="shared" si="18"/>
        <v>1</v>
      </c>
      <c r="AF36" s="2">
        <v>1</v>
      </c>
      <c r="AG36" s="8">
        <f t="shared" si="22"/>
        <v>6</v>
      </c>
      <c r="AH36" s="66" t="s">
        <v>71</v>
      </c>
      <c r="AI36" s="14">
        <f t="shared" si="21"/>
        <v>1876</v>
      </c>
      <c r="AJ36" s="66">
        <v>1866</v>
      </c>
      <c r="AK36" s="66">
        <v>1886</v>
      </c>
      <c r="AL36" s="77" t="s">
        <v>436</v>
      </c>
      <c r="AM36" s="78" t="s">
        <v>440</v>
      </c>
      <c r="AN36" s="78" t="s">
        <v>437</v>
      </c>
      <c r="AO36" s="66">
        <v>1979</v>
      </c>
      <c r="AP36" s="78" t="s">
        <v>54</v>
      </c>
      <c r="AQ36" s="66" t="s">
        <v>65</v>
      </c>
      <c r="AR36" s="79" t="s">
        <v>438</v>
      </c>
      <c r="AS36" s="148" t="s">
        <v>439</v>
      </c>
      <c r="AT36" s="126"/>
      <c r="AU36" s="93" t="s">
        <v>591</v>
      </c>
    </row>
    <row r="37" spans="1:48" ht="56" x14ac:dyDescent="0.15">
      <c r="A37" s="25" t="s">
        <v>390</v>
      </c>
      <c r="B37" s="117" t="s">
        <v>638</v>
      </c>
      <c r="C37" s="8" t="s">
        <v>66</v>
      </c>
      <c r="D37" s="79"/>
      <c r="E37" s="79" t="s">
        <v>148</v>
      </c>
      <c r="F37" s="66"/>
      <c r="G37" s="71">
        <v>65</v>
      </c>
      <c r="H37" s="71">
        <v>250</v>
      </c>
      <c r="I37" s="66">
        <v>22</v>
      </c>
      <c r="J37" s="71">
        <v>1000</v>
      </c>
      <c r="K37" s="71">
        <v>162.4</v>
      </c>
      <c r="L37" s="71">
        <v>3.5</v>
      </c>
      <c r="M37" s="71">
        <f t="shared" si="19"/>
        <v>3.5</v>
      </c>
      <c r="N37" s="71">
        <v>1000</v>
      </c>
      <c r="O37" s="71">
        <v>0.1</v>
      </c>
      <c r="P37" s="73">
        <v>-22</v>
      </c>
      <c r="Q37" s="73">
        <v>269</v>
      </c>
      <c r="R37" s="71">
        <v>6</v>
      </c>
      <c r="S37" s="71">
        <v>6</v>
      </c>
      <c r="T37" s="71">
        <f t="shared" si="20"/>
        <v>6</v>
      </c>
      <c r="U37" s="66" t="s">
        <v>70</v>
      </c>
      <c r="V37" s="66">
        <v>2</v>
      </c>
      <c r="W37" s="66">
        <f t="shared" si="16"/>
        <v>1</v>
      </c>
      <c r="X37" s="66">
        <f t="shared" si="13"/>
        <v>1</v>
      </c>
      <c r="Y37" s="66">
        <f t="shared" si="14"/>
        <v>1</v>
      </c>
      <c r="Z37" s="66">
        <f t="shared" si="15"/>
        <v>1</v>
      </c>
      <c r="AA37" s="66">
        <f t="shared" si="17"/>
        <v>1</v>
      </c>
      <c r="AB37" s="66">
        <v>0</v>
      </c>
      <c r="AC37" s="66">
        <v>1</v>
      </c>
      <c r="AD37" s="76">
        <v>1</v>
      </c>
      <c r="AE37" s="66">
        <f t="shared" si="18"/>
        <v>1</v>
      </c>
      <c r="AF37" s="2">
        <v>1</v>
      </c>
      <c r="AG37" s="8">
        <f t="shared" si="22"/>
        <v>6</v>
      </c>
      <c r="AH37" s="66" t="s">
        <v>67</v>
      </c>
      <c r="AI37" s="14">
        <f t="shared" si="21"/>
        <v>1870</v>
      </c>
      <c r="AJ37" s="66">
        <v>1866</v>
      </c>
      <c r="AK37" s="66">
        <v>1874</v>
      </c>
      <c r="AL37" s="77" t="s">
        <v>442</v>
      </c>
      <c r="AM37" s="78" t="s">
        <v>441</v>
      </c>
      <c r="AN37" s="78" t="s">
        <v>430</v>
      </c>
      <c r="AO37" s="66">
        <v>2010</v>
      </c>
      <c r="AP37" s="78" t="s">
        <v>1</v>
      </c>
      <c r="AQ37" s="66">
        <v>179</v>
      </c>
      <c r="AR37" s="79" t="s">
        <v>431</v>
      </c>
      <c r="AS37" s="148" t="s">
        <v>432</v>
      </c>
      <c r="AT37" s="126"/>
      <c r="AU37" s="93" t="s">
        <v>587</v>
      </c>
    </row>
    <row r="38" spans="1:48" s="28" customFormat="1" ht="28" x14ac:dyDescent="0.15">
      <c r="A38" s="47" t="s">
        <v>74</v>
      </c>
      <c r="B38" s="109" t="s">
        <v>75</v>
      </c>
      <c r="C38" s="38">
        <v>2737</v>
      </c>
      <c r="D38" s="39"/>
      <c r="E38" s="39" t="s">
        <v>76</v>
      </c>
      <c r="F38" s="38">
        <v>100</v>
      </c>
      <c r="G38" s="40">
        <v>64.099997999999999</v>
      </c>
      <c r="H38" s="40">
        <v>265.59999800000003</v>
      </c>
      <c r="I38" s="38">
        <v>30</v>
      </c>
      <c r="J38" s="38">
        <v>130</v>
      </c>
      <c r="K38" s="5">
        <v>347</v>
      </c>
      <c r="L38" s="40">
        <v>-50</v>
      </c>
      <c r="M38" s="40">
        <f t="shared" si="19"/>
        <v>50</v>
      </c>
      <c r="N38" s="40">
        <v>17</v>
      </c>
      <c r="O38" s="40">
        <v>7</v>
      </c>
      <c r="P38" s="110">
        <v>7</v>
      </c>
      <c r="Q38" s="30">
        <v>277</v>
      </c>
      <c r="R38" s="40">
        <v>8</v>
      </c>
      <c r="S38" s="40">
        <v>8</v>
      </c>
      <c r="T38" s="40">
        <f t="shared" si="20"/>
        <v>8</v>
      </c>
      <c r="U38" s="38">
        <v>63</v>
      </c>
      <c r="V38" s="38">
        <v>3</v>
      </c>
      <c r="W38" s="6">
        <f t="shared" si="16"/>
        <v>1</v>
      </c>
      <c r="X38" s="7">
        <f t="shared" si="13"/>
        <v>1</v>
      </c>
      <c r="Y38" s="7">
        <f t="shared" si="14"/>
        <v>1</v>
      </c>
      <c r="Z38" s="7">
        <f t="shared" si="15"/>
        <v>1</v>
      </c>
      <c r="AA38" s="8">
        <f t="shared" si="17"/>
        <v>1</v>
      </c>
      <c r="AB38" s="8">
        <v>1</v>
      </c>
      <c r="AC38" s="8">
        <v>1</v>
      </c>
      <c r="AD38" s="96">
        <v>1</v>
      </c>
      <c r="AE38" s="8">
        <f t="shared" si="18"/>
        <v>1</v>
      </c>
      <c r="AF38" s="2">
        <v>0</v>
      </c>
      <c r="AG38" s="6">
        <f t="shared" si="22"/>
        <v>6</v>
      </c>
      <c r="AH38" s="8" t="s">
        <v>71</v>
      </c>
      <c r="AI38" s="14">
        <f t="shared" si="21"/>
        <v>1785</v>
      </c>
      <c r="AJ38" s="8">
        <v>1750</v>
      </c>
      <c r="AK38" s="8">
        <v>1820</v>
      </c>
      <c r="AL38" s="41" t="s">
        <v>77</v>
      </c>
      <c r="AM38" s="47" t="s">
        <v>75</v>
      </c>
      <c r="AN38" s="25" t="s">
        <v>78</v>
      </c>
      <c r="AO38" s="8">
        <v>1973</v>
      </c>
      <c r="AP38" s="25" t="s">
        <v>23</v>
      </c>
      <c r="AQ38" s="8" t="s">
        <v>79</v>
      </c>
      <c r="AR38" s="42" t="s">
        <v>80</v>
      </c>
      <c r="AS38" s="157" t="s">
        <v>81</v>
      </c>
      <c r="AT38" s="143" t="s">
        <v>82</v>
      </c>
      <c r="AU38" s="33" t="s">
        <v>592</v>
      </c>
    </row>
    <row r="39" spans="1:48" s="28" customFormat="1" ht="56" x14ac:dyDescent="0.15">
      <c r="A39" s="47" t="s">
        <v>74</v>
      </c>
      <c r="B39" s="109" t="s">
        <v>83</v>
      </c>
      <c r="C39" s="38">
        <v>9139</v>
      </c>
      <c r="D39" s="39"/>
      <c r="E39" s="111" t="s">
        <v>84</v>
      </c>
      <c r="F39" s="38">
        <v>0</v>
      </c>
      <c r="G39" s="40">
        <v>67.5</v>
      </c>
      <c r="H39" s="40">
        <v>241.970001</v>
      </c>
      <c r="I39" s="38">
        <v>17</v>
      </c>
      <c r="J39" s="38">
        <v>102</v>
      </c>
      <c r="K39" s="5">
        <v>136.5</v>
      </c>
      <c r="L39" s="40">
        <v>57.400002000000001</v>
      </c>
      <c r="M39" s="40">
        <f t="shared" si="19"/>
        <v>57.400002000000001</v>
      </c>
      <c r="N39" s="40">
        <v>64</v>
      </c>
      <c r="O39" s="40">
        <v>4.5</v>
      </c>
      <c r="P39" s="110">
        <v>19.399999999999999</v>
      </c>
      <c r="Q39" s="30">
        <v>276.70001200000002</v>
      </c>
      <c r="R39" s="40">
        <v>6.1</v>
      </c>
      <c r="S39" s="40">
        <v>6.1</v>
      </c>
      <c r="T39" s="40">
        <f t="shared" si="20"/>
        <v>6.1</v>
      </c>
      <c r="U39" s="38" t="s">
        <v>33</v>
      </c>
      <c r="V39" s="38">
        <v>4</v>
      </c>
      <c r="W39" s="6">
        <f t="shared" si="16"/>
        <v>1</v>
      </c>
      <c r="X39" s="7">
        <f t="shared" si="13"/>
        <v>1</v>
      </c>
      <c r="Y39" s="7">
        <f t="shared" si="14"/>
        <v>1</v>
      </c>
      <c r="Z39" s="7">
        <f t="shared" si="15"/>
        <v>1</v>
      </c>
      <c r="AA39" s="8">
        <f t="shared" si="17"/>
        <v>1</v>
      </c>
      <c r="AB39" s="8">
        <v>1</v>
      </c>
      <c r="AC39" s="8">
        <v>1</v>
      </c>
      <c r="AD39" s="96">
        <v>1</v>
      </c>
      <c r="AE39" s="8">
        <f t="shared" si="18"/>
        <v>0</v>
      </c>
      <c r="AF39" s="2">
        <v>1</v>
      </c>
      <c r="AG39" s="6">
        <f t="shared" si="22"/>
        <v>6</v>
      </c>
      <c r="AH39" s="8" t="s">
        <v>67</v>
      </c>
      <c r="AI39" s="14">
        <f t="shared" si="21"/>
        <v>1740.5</v>
      </c>
      <c r="AJ39" s="8">
        <v>1736</v>
      </c>
      <c r="AK39" s="8">
        <v>1745</v>
      </c>
      <c r="AL39" s="41" t="s">
        <v>85</v>
      </c>
      <c r="AM39" s="47" t="s">
        <v>83</v>
      </c>
      <c r="AN39" s="25" t="s">
        <v>86</v>
      </c>
      <c r="AO39" s="8">
        <v>2004</v>
      </c>
      <c r="AP39" s="25" t="s">
        <v>1</v>
      </c>
      <c r="AQ39" s="8" t="s">
        <v>87</v>
      </c>
      <c r="AR39" s="42" t="s">
        <v>88</v>
      </c>
      <c r="AS39" s="157" t="s">
        <v>89</v>
      </c>
      <c r="AT39" s="143"/>
      <c r="AU39" s="33" t="s">
        <v>593</v>
      </c>
    </row>
    <row r="40" spans="1:48" s="90" customFormat="1" ht="42" x14ac:dyDescent="0.15">
      <c r="A40" s="47" t="s">
        <v>74</v>
      </c>
      <c r="B40" s="109" t="s">
        <v>90</v>
      </c>
      <c r="C40" s="38">
        <v>2669</v>
      </c>
      <c r="D40" s="39"/>
      <c r="E40" s="111" t="s">
        <v>91</v>
      </c>
      <c r="F40" s="38">
        <v>0</v>
      </c>
      <c r="G40" s="40">
        <v>66.400002000000001</v>
      </c>
      <c r="H40" s="40">
        <v>242.199997</v>
      </c>
      <c r="I40" s="38">
        <v>35</v>
      </c>
      <c r="J40" s="38">
        <v>130</v>
      </c>
      <c r="K40" s="5">
        <v>356</v>
      </c>
      <c r="L40" s="40">
        <v>-50</v>
      </c>
      <c r="M40" s="40">
        <f t="shared" si="19"/>
        <v>50</v>
      </c>
      <c r="N40" s="40">
        <v>35</v>
      </c>
      <c r="O40" s="40">
        <v>6</v>
      </c>
      <c r="P40" s="110">
        <v>9</v>
      </c>
      <c r="Q40" s="30">
        <v>245</v>
      </c>
      <c r="R40" s="40">
        <v>5.0999999999999996</v>
      </c>
      <c r="S40" s="40">
        <v>8.6</v>
      </c>
      <c r="T40" s="40">
        <f t="shared" si="20"/>
        <v>6.622688275919379</v>
      </c>
      <c r="U40" s="38">
        <v>100</v>
      </c>
      <c r="V40" s="38">
        <v>2</v>
      </c>
      <c r="W40" s="6">
        <f t="shared" si="16"/>
        <v>1</v>
      </c>
      <c r="X40" s="7">
        <f t="shared" si="13"/>
        <v>1</v>
      </c>
      <c r="Y40" s="7">
        <f t="shared" si="14"/>
        <v>1</v>
      </c>
      <c r="Z40" s="7">
        <f t="shared" si="15"/>
        <v>1</v>
      </c>
      <c r="AA40" s="8">
        <f t="shared" si="17"/>
        <v>1</v>
      </c>
      <c r="AB40" s="8">
        <v>0</v>
      </c>
      <c r="AC40" s="8">
        <v>1</v>
      </c>
      <c r="AD40" s="96">
        <v>1</v>
      </c>
      <c r="AE40" s="8">
        <f t="shared" si="18"/>
        <v>0</v>
      </c>
      <c r="AF40" s="2">
        <v>1</v>
      </c>
      <c r="AG40" s="6">
        <f t="shared" si="22"/>
        <v>5</v>
      </c>
      <c r="AH40" s="8" t="s">
        <v>67</v>
      </c>
      <c r="AI40" s="14">
        <f t="shared" si="21"/>
        <v>1590</v>
      </c>
      <c r="AJ40" s="8">
        <v>1587</v>
      </c>
      <c r="AK40" s="8">
        <v>1593</v>
      </c>
      <c r="AL40" s="41" t="s">
        <v>92</v>
      </c>
      <c r="AM40" s="47" t="s">
        <v>90</v>
      </c>
      <c r="AN40" s="25" t="s">
        <v>93</v>
      </c>
      <c r="AO40" s="8">
        <v>1972</v>
      </c>
      <c r="AP40" s="25" t="s">
        <v>94</v>
      </c>
      <c r="AQ40" s="8" t="s">
        <v>95</v>
      </c>
      <c r="AR40" s="42" t="s">
        <v>96</v>
      </c>
      <c r="AS40" s="157" t="s">
        <v>97</v>
      </c>
      <c r="AT40" s="126"/>
      <c r="AU40" s="31" t="s">
        <v>594</v>
      </c>
    </row>
    <row r="41" spans="1:48" s="90" customFormat="1" ht="154" x14ac:dyDescent="0.15">
      <c r="A41" s="47" t="s">
        <v>74</v>
      </c>
      <c r="B41" s="109" t="s">
        <v>98</v>
      </c>
      <c r="C41" s="38">
        <v>8932</v>
      </c>
      <c r="D41" s="39"/>
      <c r="E41" s="39" t="s">
        <v>99</v>
      </c>
      <c r="F41" s="38">
        <v>100</v>
      </c>
      <c r="G41" s="40">
        <v>37.5</v>
      </c>
      <c r="H41" s="40">
        <v>269.5</v>
      </c>
      <c r="I41" s="38">
        <v>18</v>
      </c>
      <c r="J41" s="38">
        <v>103</v>
      </c>
      <c r="K41" s="5">
        <v>233.39999399999999</v>
      </c>
      <c r="L41" s="40">
        <v>36.900002000000001</v>
      </c>
      <c r="M41" s="40">
        <f t="shared" si="19"/>
        <v>36.900002000000001</v>
      </c>
      <c r="N41" s="40">
        <v>27</v>
      </c>
      <c r="O41" s="40">
        <v>6.8</v>
      </c>
      <c r="P41" s="110">
        <v>-13.2</v>
      </c>
      <c r="Q41" s="30">
        <v>219</v>
      </c>
      <c r="R41" s="40">
        <v>4.7</v>
      </c>
      <c r="S41" s="40">
        <v>8</v>
      </c>
      <c r="T41" s="40">
        <f t="shared" si="20"/>
        <v>6.1318838867023571</v>
      </c>
      <c r="U41" s="38" t="s">
        <v>33</v>
      </c>
      <c r="V41" s="38">
        <v>4</v>
      </c>
      <c r="W41" s="6">
        <f t="shared" si="16"/>
        <v>1</v>
      </c>
      <c r="X41" s="7">
        <f t="shared" si="13"/>
        <v>1</v>
      </c>
      <c r="Y41" s="7">
        <f t="shared" si="14"/>
        <v>1</v>
      </c>
      <c r="Z41" s="7">
        <f t="shared" si="15"/>
        <v>1</v>
      </c>
      <c r="AA41" s="8">
        <f t="shared" si="17"/>
        <v>1</v>
      </c>
      <c r="AB41" s="8">
        <v>1</v>
      </c>
      <c r="AC41" s="8">
        <v>1</v>
      </c>
      <c r="AD41" s="96">
        <v>1</v>
      </c>
      <c r="AE41" s="8">
        <f t="shared" si="18"/>
        <v>0</v>
      </c>
      <c r="AF41" s="2">
        <v>1</v>
      </c>
      <c r="AG41" s="6">
        <f t="shared" si="22"/>
        <v>6</v>
      </c>
      <c r="AH41" s="8" t="s">
        <v>67</v>
      </c>
      <c r="AI41" s="14">
        <f t="shared" si="21"/>
        <v>1476</v>
      </c>
      <c r="AJ41" s="8">
        <v>1460</v>
      </c>
      <c r="AK41" s="8">
        <v>1492</v>
      </c>
      <c r="AL41" s="41" t="s">
        <v>85</v>
      </c>
      <c r="AM41" s="47" t="s">
        <v>98</v>
      </c>
      <c r="AN41" s="25" t="s">
        <v>100</v>
      </c>
      <c r="AO41" s="8">
        <v>2002</v>
      </c>
      <c r="AP41" s="25" t="s">
        <v>101</v>
      </c>
      <c r="AQ41" s="8" t="s">
        <v>102</v>
      </c>
      <c r="AR41" s="42" t="s">
        <v>103</v>
      </c>
      <c r="AS41" s="157" t="s">
        <v>104</v>
      </c>
      <c r="AT41" s="143"/>
      <c r="AU41" s="33" t="s">
        <v>588</v>
      </c>
      <c r="AV41" s="142" t="s">
        <v>589</v>
      </c>
    </row>
    <row r="42" spans="1:48" s="87" customFormat="1" ht="28" x14ac:dyDescent="0.15">
      <c r="A42" s="47" t="s">
        <v>74</v>
      </c>
      <c r="B42" s="109" t="s">
        <v>105</v>
      </c>
      <c r="C42" s="38">
        <v>2274</v>
      </c>
      <c r="D42" s="39" t="s">
        <v>59</v>
      </c>
      <c r="E42" s="39" t="s">
        <v>106</v>
      </c>
      <c r="F42" s="38">
        <v>0</v>
      </c>
      <c r="G42" s="40">
        <v>54.5</v>
      </c>
      <c r="H42" s="40">
        <v>296</v>
      </c>
      <c r="I42" s="38">
        <v>12</v>
      </c>
      <c r="J42" s="38">
        <v>54</v>
      </c>
      <c r="K42" s="5">
        <v>259.5</v>
      </c>
      <c r="L42" s="40">
        <v>11</v>
      </c>
      <c r="M42" s="40">
        <f t="shared" si="19"/>
        <v>11</v>
      </c>
      <c r="N42" s="40">
        <v>43</v>
      </c>
      <c r="O42" s="40">
        <v>6.5</v>
      </c>
      <c r="P42" s="110">
        <v>-1.5</v>
      </c>
      <c r="Q42" s="30">
        <v>217.5</v>
      </c>
      <c r="R42" s="40">
        <v>3.3</v>
      </c>
      <c r="S42" s="40">
        <v>6.6</v>
      </c>
      <c r="T42" s="40">
        <f t="shared" si="20"/>
        <v>4.6669047558312133</v>
      </c>
      <c r="U42" s="38">
        <v>8</v>
      </c>
      <c r="V42" s="38">
        <v>3</v>
      </c>
      <c r="W42" s="6">
        <f t="shared" si="16"/>
        <v>1</v>
      </c>
      <c r="X42" s="7">
        <f t="shared" si="13"/>
        <v>1</v>
      </c>
      <c r="Y42" s="7">
        <f t="shared" si="14"/>
        <v>1</v>
      </c>
      <c r="Z42" s="7">
        <f t="shared" si="15"/>
        <v>1</v>
      </c>
      <c r="AA42" s="8">
        <f t="shared" si="17"/>
        <v>1</v>
      </c>
      <c r="AB42" s="8">
        <v>1</v>
      </c>
      <c r="AC42" s="8">
        <v>1</v>
      </c>
      <c r="AD42" s="96">
        <v>0</v>
      </c>
      <c r="AE42" s="8">
        <f t="shared" si="18"/>
        <v>1</v>
      </c>
      <c r="AF42" s="2">
        <v>1</v>
      </c>
      <c r="AG42" s="6">
        <f t="shared" si="22"/>
        <v>6</v>
      </c>
      <c r="AH42" s="8" t="s">
        <v>67</v>
      </c>
      <c r="AI42" s="14">
        <f t="shared" si="21"/>
        <v>1460</v>
      </c>
      <c r="AJ42" s="8">
        <v>1455</v>
      </c>
      <c r="AK42" s="8">
        <v>1465</v>
      </c>
      <c r="AL42" s="41" t="s">
        <v>85</v>
      </c>
      <c r="AM42" s="47" t="s">
        <v>105</v>
      </c>
      <c r="AN42" s="25" t="s">
        <v>107</v>
      </c>
      <c r="AO42" s="8">
        <v>1976</v>
      </c>
      <c r="AP42" s="25" t="s">
        <v>94</v>
      </c>
      <c r="AQ42" s="8" t="s">
        <v>108</v>
      </c>
      <c r="AR42" s="42" t="s">
        <v>109</v>
      </c>
      <c r="AS42" s="157" t="s">
        <v>110</v>
      </c>
      <c r="AT42" s="126"/>
      <c r="AU42" s="31" t="s">
        <v>595</v>
      </c>
    </row>
    <row r="43" spans="1:48" s="87" customFormat="1" ht="84" x14ac:dyDescent="0.15">
      <c r="A43" s="47" t="s">
        <v>74</v>
      </c>
      <c r="B43" s="109" t="s">
        <v>111</v>
      </c>
      <c r="C43" s="38">
        <v>9039</v>
      </c>
      <c r="D43" s="39" t="s">
        <v>112</v>
      </c>
      <c r="E43" s="39" t="s">
        <v>11</v>
      </c>
      <c r="F43" s="38">
        <v>100</v>
      </c>
      <c r="G43" s="40">
        <v>48.200001</v>
      </c>
      <c r="H43" s="40">
        <v>246.800003</v>
      </c>
      <c r="I43" s="38">
        <v>8</v>
      </c>
      <c r="J43" s="38">
        <v>231</v>
      </c>
      <c r="K43" s="5">
        <v>206.300003</v>
      </c>
      <c r="L43" s="40">
        <v>23.700001</v>
      </c>
      <c r="M43" s="40">
        <f t="shared" si="19"/>
        <v>23.700001</v>
      </c>
      <c r="N43" s="40">
        <v>86.400002000000001</v>
      </c>
      <c r="O43" s="40">
        <v>6</v>
      </c>
      <c r="P43" s="110">
        <v>-24.799999</v>
      </c>
      <c r="Q43" s="30">
        <v>215.5</v>
      </c>
      <c r="R43" s="40">
        <v>4.7</v>
      </c>
      <c r="S43" s="40">
        <v>4.7</v>
      </c>
      <c r="T43" s="40">
        <f t="shared" si="20"/>
        <v>4.7</v>
      </c>
      <c r="U43" s="38">
        <v>0</v>
      </c>
      <c r="V43" s="38">
        <v>4</v>
      </c>
      <c r="W43" s="6">
        <f t="shared" si="16"/>
        <v>1</v>
      </c>
      <c r="X43" s="7">
        <f t="shared" si="13"/>
        <v>1</v>
      </c>
      <c r="Y43" s="7">
        <f t="shared" si="14"/>
        <v>1</v>
      </c>
      <c r="Z43" s="7">
        <f t="shared" si="15"/>
        <v>1</v>
      </c>
      <c r="AA43" s="8">
        <f t="shared" si="17"/>
        <v>1</v>
      </c>
      <c r="AB43" s="8">
        <v>1</v>
      </c>
      <c r="AC43" s="8">
        <v>1</v>
      </c>
      <c r="AD43" s="96">
        <v>1</v>
      </c>
      <c r="AE43" s="8">
        <f t="shared" si="18"/>
        <v>0</v>
      </c>
      <c r="AF43" s="2">
        <v>1</v>
      </c>
      <c r="AG43" s="6">
        <f t="shared" si="22"/>
        <v>6</v>
      </c>
      <c r="AH43" s="8" t="s">
        <v>67</v>
      </c>
      <c r="AI43" s="14">
        <f t="shared" si="21"/>
        <v>1457.5</v>
      </c>
      <c r="AJ43" s="8">
        <v>1445</v>
      </c>
      <c r="AK43" s="8">
        <v>1470</v>
      </c>
      <c r="AL43" s="41" t="s">
        <v>113</v>
      </c>
      <c r="AM43" s="47" t="s">
        <v>111</v>
      </c>
      <c r="AN43" s="25" t="s">
        <v>114</v>
      </c>
      <c r="AO43" s="8">
        <v>2002</v>
      </c>
      <c r="AP43" s="25" t="s">
        <v>23</v>
      </c>
      <c r="AQ43" s="8" t="s">
        <v>115</v>
      </c>
      <c r="AR43" s="42" t="s">
        <v>116</v>
      </c>
      <c r="AS43" s="157" t="s">
        <v>117</v>
      </c>
      <c r="AT43" s="143"/>
      <c r="AU43" s="33" t="s">
        <v>596</v>
      </c>
    </row>
    <row r="44" spans="1:48" s="93" customFormat="1" ht="84" x14ac:dyDescent="0.15">
      <c r="A44" s="47" t="s">
        <v>74</v>
      </c>
      <c r="B44" s="109" t="s">
        <v>118</v>
      </c>
      <c r="C44" s="38">
        <v>9038</v>
      </c>
      <c r="D44" s="39" t="s">
        <v>112</v>
      </c>
      <c r="E44" s="39" t="s">
        <v>57</v>
      </c>
      <c r="F44" s="38">
        <v>100</v>
      </c>
      <c r="G44" s="40">
        <v>47.900002000000001</v>
      </c>
      <c r="H44" s="40">
        <v>245.900002</v>
      </c>
      <c r="I44" s="38">
        <v>9</v>
      </c>
      <c r="J44" s="38">
        <v>295</v>
      </c>
      <c r="K44" s="5">
        <v>30.9</v>
      </c>
      <c r="L44" s="40">
        <v>-20.6</v>
      </c>
      <c r="M44" s="40">
        <f t="shared" si="19"/>
        <v>20.6</v>
      </c>
      <c r="N44" s="40">
        <v>128.800003</v>
      </c>
      <c r="O44" s="40">
        <v>4.5999999999999996</v>
      </c>
      <c r="P44" s="110">
        <v>-24.9</v>
      </c>
      <c r="Q44" s="30">
        <v>210.199997</v>
      </c>
      <c r="R44" s="40">
        <v>3.5</v>
      </c>
      <c r="S44" s="40">
        <v>3.5</v>
      </c>
      <c r="T44" s="40">
        <f t="shared" si="20"/>
        <v>3.5</v>
      </c>
      <c r="U44" s="38" t="s">
        <v>13</v>
      </c>
      <c r="V44" s="38">
        <v>4</v>
      </c>
      <c r="W44" s="6">
        <f t="shared" si="16"/>
        <v>1</v>
      </c>
      <c r="X44" s="7">
        <f t="shared" si="13"/>
        <v>1</v>
      </c>
      <c r="Y44" s="7">
        <f t="shared" si="14"/>
        <v>1</v>
      </c>
      <c r="Z44" s="7">
        <f t="shared" si="15"/>
        <v>1</v>
      </c>
      <c r="AA44" s="8">
        <f t="shared" si="17"/>
        <v>1</v>
      </c>
      <c r="AB44" s="8">
        <v>1</v>
      </c>
      <c r="AC44" s="8">
        <v>1</v>
      </c>
      <c r="AD44" s="96">
        <v>1</v>
      </c>
      <c r="AE44" s="8">
        <f t="shared" si="18"/>
        <v>1</v>
      </c>
      <c r="AF44" s="2">
        <v>1</v>
      </c>
      <c r="AG44" s="6">
        <f t="shared" si="22"/>
        <v>7</v>
      </c>
      <c r="AH44" s="8" t="s">
        <v>67</v>
      </c>
      <c r="AI44" s="14">
        <f t="shared" si="21"/>
        <v>1449.5</v>
      </c>
      <c r="AJ44" s="8">
        <v>1436</v>
      </c>
      <c r="AK44" s="8">
        <v>1463</v>
      </c>
      <c r="AL44" s="41" t="s">
        <v>119</v>
      </c>
      <c r="AM44" s="47" t="s">
        <v>118</v>
      </c>
      <c r="AN44" s="25" t="s">
        <v>114</v>
      </c>
      <c r="AO44" s="8">
        <v>2002</v>
      </c>
      <c r="AP44" s="25" t="s">
        <v>23</v>
      </c>
      <c r="AQ44" s="8" t="s">
        <v>115</v>
      </c>
      <c r="AR44" s="42" t="s">
        <v>116</v>
      </c>
      <c r="AS44" s="157" t="s">
        <v>117</v>
      </c>
      <c r="AT44" s="143"/>
      <c r="AU44" s="33" t="s">
        <v>596</v>
      </c>
    </row>
    <row r="45" spans="1:48" s="28" customFormat="1" ht="42" x14ac:dyDescent="0.15">
      <c r="A45" s="47" t="s">
        <v>74</v>
      </c>
      <c r="B45" s="112" t="s">
        <v>120</v>
      </c>
      <c r="C45" s="23" t="s">
        <v>121</v>
      </c>
      <c r="D45" s="41"/>
      <c r="E45" s="41"/>
      <c r="F45" s="23">
        <v>0</v>
      </c>
      <c r="G45" s="5">
        <v>47.4</v>
      </c>
      <c r="H45" s="5">
        <v>247.6</v>
      </c>
      <c r="I45" s="23">
        <v>14</v>
      </c>
      <c r="J45" s="23">
        <v>157</v>
      </c>
      <c r="K45" s="5">
        <v>225</v>
      </c>
      <c r="L45" s="5">
        <v>61.8</v>
      </c>
      <c r="M45" s="5">
        <f t="shared" si="19"/>
        <v>61.8</v>
      </c>
      <c r="N45" s="5">
        <v>27.9</v>
      </c>
      <c r="O45" s="5">
        <v>7.7</v>
      </c>
      <c r="P45" s="30">
        <v>8.6999999999999993</v>
      </c>
      <c r="Q45" s="30">
        <v>216.1</v>
      </c>
      <c r="R45" s="5">
        <f>2*O45/(1+3*(COS(RADIANS(L45)))^2)</f>
        <v>9.2220391042502463</v>
      </c>
      <c r="S45" s="5">
        <f>O45*SIN(RADIANS(DEGREES(ATAN(2/TAN(RADIANS(ABS(L45)))))))/COS(RADIANS(L45))</f>
        <v>11.917189358462581</v>
      </c>
      <c r="T45" s="5">
        <f t="shared" si="20"/>
        <v>10.483357586026379</v>
      </c>
      <c r="U45" s="23" t="s">
        <v>122</v>
      </c>
      <c r="V45" s="23">
        <v>4</v>
      </c>
      <c r="W45" s="6">
        <f t="shared" si="16"/>
        <v>0</v>
      </c>
      <c r="X45" s="7">
        <f t="shared" si="13"/>
        <v>1</v>
      </c>
      <c r="Y45" s="7">
        <f t="shared" si="14"/>
        <v>1</v>
      </c>
      <c r="Z45" s="7">
        <f t="shared" si="15"/>
        <v>1</v>
      </c>
      <c r="AA45" s="8">
        <f t="shared" si="17"/>
        <v>1</v>
      </c>
      <c r="AB45" s="8">
        <v>1</v>
      </c>
      <c r="AC45" s="8">
        <v>0</v>
      </c>
      <c r="AD45" s="8">
        <v>1</v>
      </c>
      <c r="AE45" s="8">
        <f t="shared" si="18"/>
        <v>1</v>
      </c>
      <c r="AF45" s="2">
        <v>0</v>
      </c>
      <c r="AG45" s="6">
        <f t="shared" si="22"/>
        <v>4</v>
      </c>
      <c r="AH45" s="8" t="s">
        <v>71</v>
      </c>
      <c r="AI45" s="14">
        <f t="shared" si="21"/>
        <v>1448</v>
      </c>
      <c r="AJ45" s="23">
        <f>1448-49</f>
        <v>1399</v>
      </c>
      <c r="AK45" s="23">
        <f>1448+49</f>
        <v>1497</v>
      </c>
      <c r="AL45" s="41" t="s">
        <v>123</v>
      </c>
      <c r="AM45" s="41" t="s">
        <v>120</v>
      </c>
      <c r="AN45" s="31" t="s">
        <v>124</v>
      </c>
      <c r="AO45" s="8">
        <v>2008</v>
      </c>
      <c r="AP45" s="31" t="s">
        <v>1</v>
      </c>
      <c r="AQ45" s="23">
        <v>163</v>
      </c>
      <c r="AR45" s="98" t="s">
        <v>125</v>
      </c>
      <c r="AS45" s="146" t="s">
        <v>126</v>
      </c>
      <c r="AT45" s="143" t="s">
        <v>127</v>
      </c>
      <c r="AU45" s="33" t="s">
        <v>597</v>
      </c>
    </row>
    <row r="46" spans="1:48" s="28" customFormat="1" ht="84" x14ac:dyDescent="0.15">
      <c r="A46" s="47" t="s">
        <v>74</v>
      </c>
      <c r="B46" s="109" t="s">
        <v>128</v>
      </c>
      <c r="C46" s="38">
        <v>9037</v>
      </c>
      <c r="D46" s="39" t="s">
        <v>112</v>
      </c>
      <c r="E46" s="39" t="s">
        <v>11</v>
      </c>
      <c r="F46" s="38">
        <v>100</v>
      </c>
      <c r="G46" s="40">
        <v>49.400002000000001</v>
      </c>
      <c r="H46" s="40">
        <v>245.099998</v>
      </c>
      <c r="I46" s="38">
        <v>10</v>
      </c>
      <c r="J46" s="38">
        <v>166</v>
      </c>
      <c r="K46" s="5">
        <v>26.6</v>
      </c>
      <c r="L46" s="40">
        <v>-25.700001</v>
      </c>
      <c r="M46" s="40">
        <f t="shared" si="19"/>
        <v>25.700001</v>
      </c>
      <c r="N46" s="40">
        <v>64</v>
      </c>
      <c r="O46" s="40">
        <v>6.1</v>
      </c>
      <c r="P46" s="110">
        <v>-23.6</v>
      </c>
      <c r="Q46" s="30">
        <v>215.60000600000001</v>
      </c>
      <c r="R46" s="40">
        <v>4.8</v>
      </c>
      <c r="S46" s="40">
        <v>4.8</v>
      </c>
      <c r="T46" s="40">
        <f t="shared" si="20"/>
        <v>4.8</v>
      </c>
      <c r="U46" s="38">
        <v>100</v>
      </c>
      <c r="V46" s="38">
        <v>4</v>
      </c>
      <c r="W46" s="6">
        <f t="shared" si="16"/>
        <v>1</v>
      </c>
      <c r="X46" s="7">
        <f t="shared" si="13"/>
        <v>1</v>
      </c>
      <c r="Y46" s="7">
        <f t="shared" si="14"/>
        <v>1</v>
      </c>
      <c r="Z46" s="7">
        <f t="shared" si="15"/>
        <v>1</v>
      </c>
      <c r="AA46" s="8">
        <f t="shared" si="17"/>
        <v>1</v>
      </c>
      <c r="AB46" s="8">
        <v>1</v>
      </c>
      <c r="AC46" s="8">
        <v>1</v>
      </c>
      <c r="AD46" s="96">
        <v>1</v>
      </c>
      <c r="AE46" s="8">
        <f t="shared" si="18"/>
        <v>0</v>
      </c>
      <c r="AF46" s="2">
        <v>0</v>
      </c>
      <c r="AG46" s="6">
        <f t="shared" si="22"/>
        <v>5</v>
      </c>
      <c r="AH46" s="8" t="s">
        <v>67</v>
      </c>
      <c r="AI46" s="14">
        <f t="shared" si="21"/>
        <v>1443</v>
      </c>
      <c r="AJ46" s="8">
        <v>1436</v>
      </c>
      <c r="AK46" s="8">
        <v>1450</v>
      </c>
      <c r="AL46" s="41" t="s">
        <v>85</v>
      </c>
      <c r="AM46" s="47" t="s">
        <v>128</v>
      </c>
      <c r="AN46" s="25" t="s">
        <v>114</v>
      </c>
      <c r="AO46" s="8">
        <v>2002</v>
      </c>
      <c r="AP46" s="25" t="s">
        <v>23</v>
      </c>
      <c r="AQ46" s="8" t="s">
        <v>115</v>
      </c>
      <c r="AR46" s="42" t="s">
        <v>116</v>
      </c>
      <c r="AS46" s="157" t="s">
        <v>117</v>
      </c>
      <c r="AT46" s="143"/>
      <c r="AU46" s="33" t="s">
        <v>596</v>
      </c>
    </row>
    <row r="47" spans="1:48" x14ac:dyDescent="0.15">
      <c r="A47" s="47" t="s">
        <v>74</v>
      </c>
      <c r="B47" s="113" t="s">
        <v>639</v>
      </c>
      <c r="C47" s="38" t="s">
        <v>66</v>
      </c>
      <c r="D47" s="39" t="s">
        <v>598</v>
      </c>
      <c r="E47" s="39" t="s">
        <v>61</v>
      </c>
      <c r="F47" s="38">
        <v>0</v>
      </c>
      <c r="G47" s="40">
        <v>40.299999999999997</v>
      </c>
      <c r="H47" s="40">
        <v>253.8</v>
      </c>
      <c r="I47" s="38">
        <v>58</v>
      </c>
      <c r="J47" s="38">
        <v>434</v>
      </c>
      <c r="K47" s="5">
        <v>41.1</v>
      </c>
      <c r="L47" s="40">
        <v>-46.6</v>
      </c>
      <c r="M47" s="40">
        <f t="shared" si="19"/>
        <v>46.6</v>
      </c>
      <c r="N47" s="114">
        <v>1000</v>
      </c>
      <c r="O47" s="114">
        <v>0.1</v>
      </c>
      <c r="P47" s="110">
        <v>-11.9</v>
      </c>
      <c r="Q47" s="30">
        <v>217.4</v>
      </c>
      <c r="R47" s="40">
        <v>9.6999999999999993</v>
      </c>
      <c r="S47" s="40">
        <v>9.6999999999999993</v>
      </c>
      <c r="T47" s="40">
        <f t="shared" si="20"/>
        <v>9.6999999999999993</v>
      </c>
      <c r="U47" s="38" t="s">
        <v>70</v>
      </c>
      <c r="V47" s="38">
        <v>4</v>
      </c>
      <c r="W47" s="6">
        <f t="shared" si="16"/>
        <v>1</v>
      </c>
      <c r="X47" s="7">
        <f t="shared" si="13"/>
        <v>1</v>
      </c>
      <c r="Y47" s="7">
        <f t="shared" si="14"/>
        <v>1</v>
      </c>
      <c r="Z47" s="7">
        <f t="shared" si="15"/>
        <v>1</v>
      </c>
      <c r="AA47" s="8">
        <f t="shared" si="17"/>
        <v>1</v>
      </c>
      <c r="AB47" s="8">
        <v>1</v>
      </c>
      <c r="AC47" s="8">
        <v>0</v>
      </c>
      <c r="AD47" s="96">
        <v>0</v>
      </c>
      <c r="AE47" s="8">
        <f t="shared" si="18"/>
        <v>1</v>
      </c>
      <c r="AF47" s="2">
        <v>1</v>
      </c>
      <c r="AG47" s="6">
        <f t="shared" si="22"/>
        <v>5</v>
      </c>
      <c r="AH47" s="8" t="s">
        <v>71</v>
      </c>
      <c r="AI47" s="14">
        <f t="shared" si="21"/>
        <v>1430</v>
      </c>
      <c r="AJ47" s="8">
        <v>1415</v>
      </c>
      <c r="AK47" s="8">
        <v>1445</v>
      </c>
      <c r="AL47" s="41" t="s">
        <v>130</v>
      </c>
      <c r="AM47" s="115" t="s">
        <v>129</v>
      </c>
      <c r="AN47" s="16" t="s">
        <v>49</v>
      </c>
      <c r="AO47" s="37">
        <v>2009</v>
      </c>
      <c r="AP47" s="16"/>
      <c r="AQ47" s="37"/>
      <c r="AR47" s="16"/>
      <c r="AS47" s="158"/>
      <c r="AT47" s="126"/>
      <c r="AU47" s="31" t="s">
        <v>648</v>
      </c>
    </row>
    <row r="48" spans="1:48" s="28" customFormat="1" ht="28" x14ac:dyDescent="0.15">
      <c r="A48" s="47" t="s">
        <v>74</v>
      </c>
      <c r="B48" s="109" t="s">
        <v>131</v>
      </c>
      <c r="C48" s="38">
        <v>2271</v>
      </c>
      <c r="D48" s="39"/>
      <c r="E48" s="39" t="s">
        <v>61</v>
      </c>
      <c r="F48" s="38">
        <v>0</v>
      </c>
      <c r="G48" s="40">
        <v>55.599997999999999</v>
      </c>
      <c r="H48" s="40">
        <v>296.29999900000001</v>
      </c>
      <c r="I48" s="38">
        <v>7</v>
      </c>
      <c r="J48" s="38">
        <v>35</v>
      </c>
      <c r="K48" s="5">
        <v>93.5</v>
      </c>
      <c r="L48" s="40">
        <v>7</v>
      </c>
      <c r="M48" s="40">
        <f t="shared" si="19"/>
        <v>7</v>
      </c>
      <c r="N48" s="40">
        <v>48.5</v>
      </c>
      <c r="O48" s="40">
        <v>8.8000000000000007</v>
      </c>
      <c r="P48" s="110">
        <v>-1</v>
      </c>
      <c r="Q48" s="30">
        <v>201.5</v>
      </c>
      <c r="R48" s="40">
        <v>7.6</v>
      </c>
      <c r="S48" s="40">
        <v>7.6</v>
      </c>
      <c r="T48" s="40">
        <f t="shared" si="20"/>
        <v>7.6</v>
      </c>
      <c r="U48" s="38">
        <v>87</v>
      </c>
      <c r="V48" s="38">
        <v>2</v>
      </c>
      <c r="W48" s="6">
        <f t="shared" si="16"/>
        <v>1</v>
      </c>
      <c r="X48" s="7">
        <f t="shared" si="13"/>
        <v>1</v>
      </c>
      <c r="Y48" s="7">
        <f t="shared" si="14"/>
        <v>1</v>
      </c>
      <c r="Z48" s="7">
        <f t="shared" si="15"/>
        <v>1</v>
      </c>
      <c r="AA48" s="8">
        <f t="shared" si="17"/>
        <v>1</v>
      </c>
      <c r="AB48" s="8">
        <v>0</v>
      </c>
      <c r="AC48" s="8">
        <v>0</v>
      </c>
      <c r="AD48" s="96">
        <v>0</v>
      </c>
      <c r="AE48" s="8">
        <f t="shared" si="18"/>
        <v>1</v>
      </c>
      <c r="AF48" s="2">
        <v>1</v>
      </c>
      <c r="AG48" s="6">
        <f t="shared" si="22"/>
        <v>4</v>
      </c>
      <c r="AH48" s="8" t="s">
        <v>71</v>
      </c>
      <c r="AI48" s="14">
        <f t="shared" si="21"/>
        <v>1425</v>
      </c>
      <c r="AJ48" s="8">
        <v>1400</v>
      </c>
      <c r="AK48" s="8">
        <v>1450</v>
      </c>
      <c r="AL48" s="41" t="s">
        <v>132</v>
      </c>
      <c r="AM48" s="25" t="s">
        <v>131</v>
      </c>
      <c r="AN48" s="25" t="s">
        <v>133</v>
      </c>
      <c r="AO48" s="8">
        <v>1976</v>
      </c>
      <c r="AP48" s="25" t="s">
        <v>94</v>
      </c>
      <c r="AQ48" s="8" t="s">
        <v>108</v>
      </c>
      <c r="AR48" s="42" t="s">
        <v>134</v>
      </c>
      <c r="AS48" s="157" t="s">
        <v>135</v>
      </c>
      <c r="AT48" s="126"/>
      <c r="AU48" s="31" t="s">
        <v>599</v>
      </c>
    </row>
    <row r="49" spans="1:49" s="28" customFormat="1" ht="13" customHeight="1" x14ac:dyDescent="0.15">
      <c r="A49" s="47" t="s">
        <v>74</v>
      </c>
      <c r="B49" s="109" t="s">
        <v>136</v>
      </c>
      <c r="C49" s="38">
        <v>9031</v>
      </c>
      <c r="D49" s="39"/>
      <c r="E49" s="39" t="s">
        <v>47</v>
      </c>
      <c r="F49" s="38">
        <v>100</v>
      </c>
      <c r="G49" s="110">
        <v>46.900002000000001</v>
      </c>
      <c r="H49" s="110">
        <v>246.400002</v>
      </c>
      <c r="I49" s="138">
        <v>10</v>
      </c>
      <c r="J49" s="138">
        <v>195</v>
      </c>
      <c r="K49" s="5">
        <v>37.200001</v>
      </c>
      <c r="L49" s="40">
        <v>-36.599997999999999</v>
      </c>
      <c r="M49" s="40">
        <f t="shared" si="19"/>
        <v>36.599997999999999</v>
      </c>
      <c r="N49" s="40">
        <v>42.799999</v>
      </c>
      <c r="O49" s="40">
        <v>7.5</v>
      </c>
      <c r="P49" s="110">
        <v>-13.5</v>
      </c>
      <c r="Q49" s="30">
        <v>208.300003</v>
      </c>
      <c r="R49" s="40">
        <v>6.7</v>
      </c>
      <c r="S49" s="40">
        <v>6.7</v>
      </c>
      <c r="T49" s="40">
        <f t="shared" si="20"/>
        <v>6.7</v>
      </c>
      <c r="U49" s="38">
        <v>70</v>
      </c>
      <c r="V49" s="38">
        <v>4</v>
      </c>
      <c r="W49" s="6">
        <f t="shared" si="16"/>
        <v>1</v>
      </c>
      <c r="X49" s="7">
        <f t="shared" si="13"/>
        <v>1</v>
      </c>
      <c r="Y49" s="7">
        <f t="shared" si="14"/>
        <v>1</v>
      </c>
      <c r="Z49" s="7">
        <f t="shared" si="15"/>
        <v>1</v>
      </c>
      <c r="AA49" s="8">
        <f t="shared" si="17"/>
        <v>1</v>
      </c>
      <c r="AB49" s="8">
        <v>1</v>
      </c>
      <c r="AC49" s="8">
        <v>1</v>
      </c>
      <c r="AD49" s="96">
        <v>1</v>
      </c>
      <c r="AE49" s="8">
        <f t="shared" si="18"/>
        <v>1</v>
      </c>
      <c r="AF49" s="2">
        <v>1</v>
      </c>
      <c r="AG49" s="6">
        <f t="shared" si="22"/>
        <v>7</v>
      </c>
      <c r="AH49" s="8" t="s">
        <v>67</v>
      </c>
      <c r="AI49" s="14">
        <f t="shared" si="21"/>
        <v>1401</v>
      </c>
      <c r="AJ49" s="8">
        <v>1395</v>
      </c>
      <c r="AK49" s="8">
        <v>1407</v>
      </c>
      <c r="AL49" s="28" t="s">
        <v>137</v>
      </c>
      <c r="AM49" s="25" t="s">
        <v>136</v>
      </c>
      <c r="AN49" s="25" t="s">
        <v>114</v>
      </c>
      <c r="AO49" s="8">
        <v>2002</v>
      </c>
      <c r="AP49" s="25" t="s">
        <v>23</v>
      </c>
      <c r="AQ49" s="8" t="s">
        <v>115</v>
      </c>
      <c r="AR49" s="42" t="s">
        <v>116</v>
      </c>
      <c r="AS49" s="157" t="s">
        <v>117</v>
      </c>
      <c r="AT49" s="126"/>
      <c r="AU49" s="33" t="s">
        <v>596</v>
      </c>
    </row>
    <row r="50" spans="1:49" s="43" customFormat="1" ht="84" x14ac:dyDescent="0.15">
      <c r="A50" s="47" t="s">
        <v>74</v>
      </c>
      <c r="B50" s="109" t="s">
        <v>138</v>
      </c>
      <c r="C50" s="38">
        <v>9030</v>
      </c>
      <c r="D50" s="39"/>
      <c r="E50" s="39" t="s">
        <v>11</v>
      </c>
      <c r="F50" s="38">
        <v>100</v>
      </c>
      <c r="G50" s="40">
        <v>46.700001</v>
      </c>
      <c r="H50" s="40">
        <v>246.400002</v>
      </c>
      <c r="I50" s="38">
        <v>4</v>
      </c>
      <c r="J50" s="38">
        <v>76</v>
      </c>
      <c r="K50" s="5">
        <v>28.4</v>
      </c>
      <c r="L50" s="40">
        <v>-32.5</v>
      </c>
      <c r="M50" s="40">
        <f t="shared" si="19"/>
        <v>32.5</v>
      </c>
      <c r="N50" s="40">
        <v>102.199997</v>
      </c>
      <c r="O50" s="40">
        <v>9.1</v>
      </c>
      <c r="P50" s="110">
        <v>-19.200001</v>
      </c>
      <c r="Q50" s="30">
        <v>215.300003</v>
      </c>
      <c r="R50" s="40">
        <v>7.7</v>
      </c>
      <c r="S50" s="40">
        <v>7.7</v>
      </c>
      <c r="T50" s="40">
        <f t="shared" si="20"/>
        <v>7.7</v>
      </c>
      <c r="U50" s="38">
        <v>100</v>
      </c>
      <c r="V50" s="38">
        <v>4</v>
      </c>
      <c r="W50" s="6">
        <f t="shared" si="16"/>
        <v>1</v>
      </c>
      <c r="X50" s="7">
        <f t="shared" si="13"/>
        <v>1</v>
      </c>
      <c r="Y50" s="7">
        <f t="shared" si="14"/>
        <v>1</v>
      </c>
      <c r="Z50" s="7">
        <f t="shared" si="15"/>
        <v>1</v>
      </c>
      <c r="AA50" s="8">
        <f t="shared" si="17"/>
        <v>1</v>
      </c>
      <c r="AB50" s="8">
        <v>1</v>
      </c>
      <c r="AC50" s="8">
        <v>1</v>
      </c>
      <c r="AD50" s="96">
        <v>1</v>
      </c>
      <c r="AE50" s="8">
        <f t="shared" si="18"/>
        <v>0</v>
      </c>
      <c r="AF50" s="2">
        <v>1</v>
      </c>
      <c r="AG50" s="6">
        <f t="shared" si="22"/>
        <v>6</v>
      </c>
      <c r="AH50" s="8" t="s">
        <v>67</v>
      </c>
      <c r="AI50" s="14">
        <f t="shared" si="21"/>
        <v>1384.5</v>
      </c>
      <c r="AJ50" s="8">
        <v>1362</v>
      </c>
      <c r="AK50" s="8">
        <v>1407</v>
      </c>
      <c r="AL50" s="41" t="s">
        <v>85</v>
      </c>
      <c r="AM50" s="25" t="s">
        <v>138</v>
      </c>
      <c r="AN50" s="25" t="s">
        <v>114</v>
      </c>
      <c r="AO50" s="8">
        <v>2002</v>
      </c>
      <c r="AP50" s="25" t="s">
        <v>23</v>
      </c>
      <c r="AQ50" s="8" t="s">
        <v>115</v>
      </c>
      <c r="AR50" s="42" t="s">
        <v>116</v>
      </c>
      <c r="AS50" s="157" t="s">
        <v>117</v>
      </c>
      <c r="AT50" s="126"/>
      <c r="AU50" s="33" t="s">
        <v>596</v>
      </c>
    </row>
    <row r="51" spans="1:49" s="32" customFormat="1" ht="42" x14ac:dyDescent="0.15">
      <c r="A51" s="47" t="s">
        <v>74</v>
      </c>
      <c r="B51" s="109" t="s">
        <v>139</v>
      </c>
      <c r="C51" s="38">
        <v>2180</v>
      </c>
      <c r="D51" s="39"/>
      <c r="E51" s="39" t="s">
        <v>63</v>
      </c>
      <c r="F51" s="38">
        <v>0</v>
      </c>
      <c r="G51" s="40">
        <v>56.5</v>
      </c>
      <c r="H51" s="40">
        <v>298.20000099999999</v>
      </c>
      <c r="I51" s="38">
        <v>21</v>
      </c>
      <c r="J51" s="38">
        <v>101</v>
      </c>
      <c r="K51" s="5">
        <v>277.79998799999998</v>
      </c>
      <c r="L51" s="40">
        <v>17.399999999999999</v>
      </c>
      <c r="M51" s="40">
        <f t="shared" si="19"/>
        <v>17.399999999999999</v>
      </c>
      <c r="N51" s="40">
        <v>116</v>
      </c>
      <c r="O51" s="40">
        <v>3</v>
      </c>
      <c r="P51" s="110">
        <v>11.7</v>
      </c>
      <c r="Q51" s="30">
        <v>206.699997</v>
      </c>
      <c r="R51" s="40">
        <v>1.6</v>
      </c>
      <c r="S51" s="40">
        <v>3.1</v>
      </c>
      <c r="T51" s="40">
        <f t="shared" si="20"/>
        <v>2.2271057451320089</v>
      </c>
      <c r="U51" s="38">
        <v>24</v>
      </c>
      <c r="V51" s="38">
        <v>3</v>
      </c>
      <c r="W51" s="6">
        <f t="shared" si="16"/>
        <v>1</v>
      </c>
      <c r="X51" s="7">
        <f t="shared" si="13"/>
        <v>1</v>
      </c>
      <c r="Y51" s="7">
        <f t="shared" si="14"/>
        <v>1</v>
      </c>
      <c r="Z51" s="7">
        <f t="shared" si="15"/>
        <v>1</v>
      </c>
      <c r="AA51" s="8">
        <f t="shared" si="17"/>
        <v>1</v>
      </c>
      <c r="AB51" s="8">
        <v>1</v>
      </c>
      <c r="AC51" s="8">
        <v>0</v>
      </c>
      <c r="AD51" s="96">
        <v>0</v>
      </c>
      <c r="AE51" s="8">
        <f t="shared" si="18"/>
        <v>1</v>
      </c>
      <c r="AF51" s="2">
        <v>1</v>
      </c>
      <c r="AG51" s="6">
        <f t="shared" si="22"/>
        <v>5</v>
      </c>
      <c r="AH51" s="8" t="s">
        <v>71</v>
      </c>
      <c r="AI51" s="14">
        <f t="shared" si="21"/>
        <v>1305</v>
      </c>
      <c r="AJ51" s="8">
        <v>1290</v>
      </c>
      <c r="AK51" s="8">
        <v>1320</v>
      </c>
      <c r="AL51" s="41" t="s">
        <v>140</v>
      </c>
      <c r="AM51" s="25" t="s">
        <v>139</v>
      </c>
      <c r="AN51" s="25" t="s">
        <v>141</v>
      </c>
      <c r="AO51" s="8">
        <v>1978</v>
      </c>
      <c r="AP51" s="25" t="s">
        <v>94</v>
      </c>
      <c r="AQ51" s="8" t="s">
        <v>142</v>
      </c>
      <c r="AR51" s="42" t="s">
        <v>143</v>
      </c>
      <c r="AS51" s="157" t="s">
        <v>144</v>
      </c>
      <c r="AT51" s="143"/>
      <c r="AU51" s="33" t="s">
        <v>600</v>
      </c>
    </row>
    <row r="52" spans="1:49" s="32" customFormat="1" ht="56" x14ac:dyDescent="0.15">
      <c r="A52" s="47" t="s">
        <v>74</v>
      </c>
      <c r="B52" s="109" t="s">
        <v>145</v>
      </c>
      <c r="C52" s="38" t="s">
        <v>146</v>
      </c>
      <c r="D52" s="39" t="s">
        <v>147</v>
      </c>
      <c r="E52" s="39" t="s">
        <v>148</v>
      </c>
      <c r="F52" s="38">
        <v>0</v>
      </c>
      <c r="G52" s="40">
        <v>65</v>
      </c>
      <c r="H52" s="40">
        <v>250</v>
      </c>
      <c r="I52" s="38">
        <v>5</v>
      </c>
      <c r="J52" s="114">
        <v>1000</v>
      </c>
      <c r="K52" s="5">
        <v>243.9</v>
      </c>
      <c r="L52" s="40">
        <v>29.7</v>
      </c>
      <c r="M52" s="40">
        <f t="shared" si="19"/>
        <v>29.7</v>
      </c>
      <c r="N52" s="114">
        <v>1000</v>
      </c>
      <c r="O52" s="114">
        <v>0.1</v>
      </c>
      <c r="P52" s="110">
        <v>4</v>
      </c>
      <c r="Q52" s="30">
        <v>190</v>
      </c>
      <c r="R52" s="40">
        <v>5</v>
      </c>
      <c r="S52" s="40">
        <v>5</v>
      </c>
      <c r="T52" s="40">
        <f t="shared" si="20"/>
        <v>5</v>
      </c>
      <c r="U52" s="38" t="s">
        <v>149</v>
      </c>
      <c r="V52" s="38">
        <v>3</v>
      </c>
      <c r="W52" s="6">
        <f t="shared" si="16"/>
        <v>1</v>
      </c>
      <c r="X52" s="7">
        <f t="shared" si="13"/>
        <v>1</v>
      </c>
      <c r="Y52" s="7">
        <f t="shared" si="14"/>
        <v>1</v>
      </c>
      <c r="Z52" s="7">
        <f t="shared" si="15"/>
        <v>1</v>
      </c>
      <c r="AA52" s="8">
        <f t="shared" si="17"/>
        <v>1</v>
      </c>
      <c r="AB52" s="8">
        <v>1</v>
      </c>
      <c r="AC52" s="8">
        <v>1</v>
      </c>
      <c r="AD52" s="96">
        <v>1</v>
      </c>
      <c r="AE52" s="8">
        <f t="shared" si="18"/>
        <v>0</v>
      </c>
      <c r="AF52" s="2">
        <v>1</v>
      </c>
      <c r="AG52" s="6">
        <f t="shared" si="22"/>
        <v>6</v>
      </c>
      <c r="AH52" s="8" t="s">
        <v>67</v>
      </c>
      <c r="AI52" s="14">
        <f t="shared" si="21"/>
        <v>1267</v>
      </c>
      <c r="AJ52" s="8">
        <v>1265</v>
      </c>
      <c r="AK52" s="8">
        <v>1269</v>
      </c>
      <c r="AL52" s="41" t="s">
        <v>150</v>
      </c>
      <c r="AM52" s="47" t="s">
        <v>145</v>
      </c>
      <c r="AN52" s="25" t="s">
        <v>151</v>
      </c>
      <c r="AO52" s="8">
        <v>2000</v>
      </c>
      <c r="AP52" s="25" t="s">
        <v>35</v>
      </c>
      <c r="AQ52" s="8">
        <v>319</v>
      </c>
      <c r="AR52" s="42" t="s">
        <v>152</v>
      </c>
      <c r="AS52" s="153" t="s">
        <v>153</v>
      </c>
      <c r="AT52" s="143"/>
      <c r="AU52" s="33" t="s">
        <v>568</v>
      </c>
    </row>
    <row r="53" spans="1:49" s="32" customFormat="1" ht="42" x14ac:dyDescent="0.15">
      <c r="A53" s="47" t="s">
        <v>74</v>
      </c>
      <c r="B53" s="109" t="s">
        <v>154</v>
      </c>
      <c r="C53" s="38">
        <v>2175</v>
      </c>
      <c r="D53" s="39" t="s">
        <v>59</v>
      </c>
      <c r="E53" s="39" t="s">
        <v>28</v>
      </c>
      <c r="F53" s="38">
        <v>0</v>
      </c>
      <c r="G53" s="40">
        <v>46.299999</v>
      </c>
      <c r="H53" s="40">
        <v>278.59999800000003</v>
      </c>
      <c r="I53" s="38">
        <v>52</v>
      </c>
      <c r="J53" s="38">
        <v>205</v>
      </c>
      <c r="K53" s="5">
        <v>265.20001200000002</v>
      </c>
      <c r="L53" s="40">
        <v>2.2999999999999998</v>
      </c>
      <c r="M53" s="40">
        <f t="shared" si="19"/>
        <v>2.2999999999999998</v>
      </c>
      <c r="N53" s="114">
        <v>1000</v>
      </c>
      <c r="O53" s="114">
        <v>3.5</v>
      </c>
      <c r="P53" s="110">
        <v>-2.5</v>
      </c>
      <c r="Q53" s="30">
        <v>192.800003</v>
      </c>
      <c r="R53" s="40">
        <v>2.5</v>
      </c>
      <c r="S53" s="40">
        <v>2.5</v>
      </c>
      <c r="T53" s="40">
        <f t="shared" si="20"/>
        <v>2.5</v>
      </c>
      <c r="U53" s="38">
        <v>0</v>
      </c>
      <c r="V53" s="38">
        <v>3</v>
      </c>
      <c r="W53" s="6">
        <f t="shared" si="16"/>
        <v>1</v>
      </c>
      <c r="X53" s="7">
        <f t="shared" ref="X53:X85" si="23">IF(J53&gt;$X$1,1,0)</f>
        <v>1</v>
      </c>
      <c r="Y53" s="7">
        <f t="shared" ref="Y53:Y59" si="24">IF(N53&gt;($Y$1-0.001),1,0)</f>
        <v>1</v>
      </c>
      <c r="Z53" s="7">
        <f t="shared" ref="Z53:Z85" si="25">IF(O53&lt;($Z$1+0.001),1,0)</f>
        <v>1</v>
      </c>
      <c r="AA53" s="8">
        <f t="shared" si="17"/>
        <v>1</v>
      </c>
      <c r="AB53" s="8">
        <v>1</v>
      </c>
      <c r="AC53" s="8">
        <v>1</v>
      </c>
      <c r="AD53" s="96">
        <v>1</v>
      </c>
      <c r="AE53" s="8">
        <f t="shared" si="18"/>
        <v>0</v>
      </c>
      <c r="AF53" s="2">
        <v>1</v>
      </c>
      <c r="AG53" s="6">
        <f t="shared" si="22"/>
        <v>6</v>
      </c>
      <c r="AH53" s="8" t="s">
        <v>67</v>
      </c>
      <c r="AI53" s="14">
        <f t="shared" si="21"/>
        <v>1237</v>
      </c>
      <c r="AJ53" s="8">
        <v>1232</v>
      </c>
      <c r="AK53" s="8">
        <v>1242</v>
      </c>
      <c r="AL53" s="41" t="s">
        <v>155</v>
      </c>
      <c r="AM53" s="25" t="s">
        <v>154</v>
      </c>
      <c r="AN53" s="25" t="s">
        <v>156</v>
      </c>
      <c r="AO53" s="8">
        <v>1977</v>
      </c>
      <c r="AP53" s="25" t="s">
        <v>94</v>
      </c>
      <c r="AQ53" s="8" t="s">
        <v>62</v>
      </c>
      <c r="AR53" s="42" t="s">
        <v>157</v>
      </c>
      <c r="AS53" s="157" t="s">
        <v>158</v>
      </c>
      <c r="AT53" s="126"/>
      <c r="AU53" s="31" t="s">
        <v>617</v>
      </c>
    </row>
    <row r="54" spans="1:49" s="32" customFormat="1" x14ac:dyDescent="0.15">
      <c r="A54" s="47" t="s">
        <v>74</v>
      </c>
      <c r="B54" s="109" t="s">
        <v>651</v>
      </c>
      <c r="C54" s="38" t="s">
        <v>34</v>
      </c>
      <c r="D54" s="39"/>
      <c r="E54" s="39" t="s">
        <v>652</v>
      </c>
      <c r="F54" s="38">
        <v>0</v>
      </c>
      <c r="G54" s="40">
        <v>48.8</v>
      </c>
      <c r="H54" s="40">
        <v>273.3</v>
      </c>
      <c r="I54" s="38">
        <v>19</v>
      </c>
      <c r="J54" s="38">
        <v>121</v>
      </c>
      <c r="K54" s="5">
        <v>306.39999999999998</v>
      </c>
      <c r="L54" s="40">
        <v>72.099999999999994</v>
      </c>
      <c r="M54" s="40">
        <f t="shared" si="19"/>
        <v>72.099999999999994</v>
      </c>
      <c r="N54" s="114">
        <v>30.5</v>
      </c>
      <c r="O54" s="114">
        <v>8.4</v>
      </c>
      <c r="P54" s="110">
        <v>58</v>
      </c>
      <c r="Q54" s="30">
        <v>223.3</v>
      </c>
      <c r="R54" s="40">
        <v>9.1999999999999993</v>
      </c>
      <c r="S54" s="40">
        <v>9.1999999999999993</v>
      </c>
      <c r="T54" s="40">
        <f t="shared" si="20"/>
        <v>9.1999999999999993</v>
      </c>
      <c r="U54" s="38">
        <v>74</v>
      </c>
      <c r="V54" s="38">
        <v>4</v>
      </c>
      <c r="W54" s="6">
        <f t="shared" si="16"/>
        <v>1</v>
      </c>
      <c r="X54" s="7">
        <f t="shared" si="23"/>
        <v>1</v>
      </c>
      <c r="Y54" s="7">
        <f t="shared" si="24"/>
        <v>1</v>
      </c>
      <c r="Z54" s="7">
        <f t="shared" si="25"/>
        <v>1</v>
      </c>
      <c r="AA54" s="8">
        <v>1</v>
      </c>
      <c r="AB54" s="8">
        <v>1</v>
      </c>
      <c r="AC54" s="8">
        <v>1</v>
      </c>
      <c r="AD54" s="96">
        <v>1</v>
      </c>
      <c r="AE54" s="8">
        <f t="shared" si="18"/>
        <v>1</v>
      </c>
      <c r="AF54" s="2">
        <v>1</v>
      </c>
      <c r="AG54" s="6">
        <f t="shared" si="22"/>
        <v>7</v>
      </c>
      <c r="AH54" s="8" t="s">
        <v>27</v>
      </c>
      <c r="AI54" s="14">
        <v>1143</v>
      </c>
      <c r="AJ54" s="8">
        <v>1133</v>
      </c>
      <c r="AK54" s="8">
        <v>1153</v>
      </c>
      <c r="AL54" s="41" t="s">
        <v>653</v>
      </c>
      <c r="AM54" s="109" t="s">
        <v>651</v>
      </c>
      <c r="AN54" s="25" t="s">
        <v>654</v>
      </c>
      <c r="AO54" s="8">
        <v>2018</v>
      </c>
      <c r="AP54" s="25"/>
      <c r="AQ54" s="8"/>
      <c r="AR54" s="42"/>
      <c r="AS54" s="157"/>
      <c r="AT54" s="126"/>
      <c r="AU54" s="31" t="s">
        <v>655</v>
      </c>
      <c r="AW54" s="32" t="s">
        <v>656</v>
      </c>
    </row>
    <row r="55" spans="1:49" s="32" customFormat="1" ht="42" x14ac:dyDescent="0.15">
      <c r="A55" s="47" t="s">
        <v>74</v>
      </c>
      <c r="B55" s="109" t="s">
        <v>159</v>
      </c>
      <c r="C55" s="2">
        <v>7193</v>
      </c>
      <c r="D55" s="39"/>
      <c r="E55" s="39" t="s">
        <v>160</v>
      </c>
      <c r="F55" s="38">
        <v>0</v>
      </c>
      <c r="G55" s="40">
        <v>48</v>
      </c>
      <c r="H55" s="40">
        <v>279</v>
      </c>
      <c r="I55" s="38">
        <v>7</v>
      </c>
      <c r="J55" s="38">
        <v>197</v>
      </c>
      <c r="K55" s="5">
        <v>295</v>
      </c>
      <c r="L55" s="40">
        <v>65.5</v>
      </c>
      <c r="M55" s="40">
        <f t="shared" si="19"/>
        <v>65.5</v>
      </c>
      <c r="N55" s="40">
        <v>41</v>
      </c>
      <c r="O55" s="40">
        <v>9.5</v>
      </c>
      <c r="P55" s="110">
        <v>48.8</v>
      </c>
      <c r="Q55" s="30">
        <v>215.5</v>
      </c>
      <c r="R55" s="40">
        <v>14.1</v>
      </c>
      <c r="S55" s="40">
        <v>14.1</v>
      </c>
      <c r="T55" s="40">
        <f t="shared" si="20"/>
        <v>14.1</v>
      </c>
      <c r="U55" s="38" t="s">
        <v>161</v>
      </c>
      <c r="V55" s="38">
        <v>4</v>
      </c>
      <c r="W55" s="6">
        <f t="shared" si="16"/>
        <v>1</v>
      </c>
      <c r="X55" s="7">
        <f t="shared" si="23"/>
        <v>1</v>
      </c>
      <c r="Y55" s="7">
        <f t="shared" si="24"/>
        <v>1</v>
      </c>
      <c r="Z55" s="7">
        <f t="shared" si="25"/>
        <v>1</v>
      </c>
      <c r="AA55" s="8">
        <f t="shared" si="17"/>
        <v>1</v>
      </c>
      <c r="AB55" s="8">
        <v>1</v>
      </c>
      <c r="AC55" s="8">
        <v>1</v>
      </c>
      <c r="AD55" s="96">
        <v>1</v>
      </c>
      <c r="AE55" s="8">
        <f t="shared" si="18"/>
        <v>1</v>
      </c>
      <c r="AF55" s="2">
        <v>1</v>
      </c>
      <c r="AG55" s="6">
        <f t="shared" si="22"/>
        <v>7</v>
      </c>
      <c r="AH55" s="8" t="s">
        <v>67</v>
      </c>
      <c r="AI55" s="14">
        <f t="shared" si="21"/>
        <v>1141</v>
      </c>
      <c r="AJ55" s="8">
        <v>1139</v>
      </c>
      <c r="AK55" s="8">
        <v>1143</v>
      </c>
      <c r="AL55" s="41" t="s">
        <v>162</v>
      </c>
      <c r="AM55" s="25" t="s">
        <v>159</v>
      </c>
      <c r="AN55" s="25" t="s">
        <v>163</v>
      </c>
      <c r="AO55" s="8">
        <v>1993</v>
      </c>
      <c r="AP55" s="25" t="s">
        <v>94</v>
      </c>
      <c r="AQ55" s="8" t="s">
        <v>164</v>
      </c>
      <c r="AR55" s="42" t="s">
        <v>165</v>
      </c>
      <c r="AS55" s="157" t="s">
        <v>166</v>
      </c>
      <c r="AT55" s="142"/>
      <c r="AU55" s="28" t="s">
        <v>616</v>
      </c>
    </row>
    <row r="56" spans="1:49" s="32" customFormat="1" x14ac:dyDescent="0.15">
      <c r="A56" s="47" t="s">
        <v>74</v>
      </c>
      <c r="B56" s="113" t="s">
        <v>640</v>
      </c>
      <c r="C56" s="38" t="s">
        <v>66</v>
      </c>
      <c r="D56" s="39" t="s">
        <v>646</v>
      </c>
      <c r="E56" s="39" t="s">
        <v>168</v>
      </c>
      <c r="F56" s="38">
        <v>0</v>
      </c>
      <c r="G56" s="40">
        <v>49.1</v>
      </c>
      <c r="H56" s="40">
        <v>270.89999999999998</v>
      </c>
      <c r="I56" s="38">
        <v>86</v>
      </c>
      <c r="J56" s="114">
        <v>1000</v>
      </c>
      <c r="K56" s="5">
        <v>107.6</v>
      </c>
      <c r="L56" s="40">
        <v>-70.900000000000006</v>
      </c>
      <c r="M56" s="40">
        <f t="shared" si="19"/>
        <v>70.900000000000006</v>
      </c>
      <c r="N56" s="114">
        <v>1000</v>
      </c>
      <c r="O56" s="114">
        <v>0.1</v>
      </c>
      <c r="P56" s="110">
        <v>47.2</v>
      </c>
      <c r="Q56" s="30">
        <v>217.8</v>
      </c>
      <c r="R56" s="40">
        <v>4</v>
      </c>
      <c r="S56" s="40">
        <v>4</v>
      </c>
      <c r="T56" s="40">
        <f t="shared" si="20"/>
        <v>4</v>
      </c>
      <c r="U56" s="38">
        <v>100</v>
      </c>
      <c r="V56" s="38">
        <v>3</v>
      </c>
      <c r="W56" s="6">
        <f t="shared" si="16"/>
        <v>1</v>
      </c>
      <c r="X56" s="7">
        <f t="shared" si="23"/>
        <v>1</v>
      </c>
      <c r="Y56" s="7">
        <f t="shared" si="24"/>
        <v>1</v>
      </c>
      <c r="Z56" s="7">
        <f t="shared" si="25"/>
        <v>1</v>
      </c>
      <c r="AA56" s="8">
        <f t="shared" si="17"/>
        <v>1</v>
      </c>
      <c r="AB56" s="8">
        <v>1</v>
      </c>
      <c r="AC56" s="8">
        <v>1</v>
      </c>
      <c r="AD56" s="96">
        <v>1</v>
      </c>
      <c r="AE56" s="8">
        <f t="shared" si="18"/>
        <v>0</v>
      </c>
      <c r="AF56" s="2">
        <v>1</v>
      </c>
      <c r="AG56" s="6">
        <f t="shared" si="22"/>
        <v>6</v>
      </c>
      <c r="AH56" s="8" t="s">
        <v>67</v>
      </c>
      <c r="AI56" s="14">
        <v>1109</v>
      </c>
      <c r="AJ56" s="8">
        <v>1107</v>
      </c>
      <c r="AK56" s="8">
        <v>1111</v>
      </c>
      <c r="AL56" s="41" t="s">
        <v>169</v>
      </c>
      <c r="AM56" s="115" t="s">
        <v>167</v>
      </c>
      <c r="AN56" s="16" t="s">
        <v>49</v>
      </c>
      <c r="AO56" s="37">
        <v>2009</v>
      </c>
      <c r="AP56" s="16"/>
      <c r="AQ56" s="37"/>
      <c r="AR56" s="16"/>
      <c r="AS56" s="158"/>
      <c r="AT56" s="142"/>
      <c r="AU56" s="28" t="s">
        <v>647</v>
      </c>
    </row>
    <row r="57" spans="1:49" s="32" customFormat="1" x14ac:dyDescent="0.15">
      <c r="A57" s="47" t="s">
        <v>74</v>
      </c>
      <c r="B57" s="116" t="s">
        <v>170</v>
      </c>
      <c r="C57" s="64">
        <v>9515</v>
      </c>
      <c r="D57" s="39"/>
      <c r="E57" s="39" t="s">
        <v>61</v>
      </c>
      <c r="F57" s="38">
        <v>100</v>
      </c>
      <c r="G57" s="34">
        <v>48.8</v>
      </c>
      <c r="H57" s="34">
        <v>272.3</v>
      </c>
      <c r="I57" s="34">
        <v>30</v>
      </c>
      <c r="J57" s="34">
        <v>179</v>
      </c>
      <c r="K57" s="34">
        <v>99.3</v>
      </c>
      <c r="L57" s="91">
        <v>-68</v>
      </c>
      <c r="M57" s="40">
        <f t="shared" si="19"/>
        <v>68</v>
      </c>
      <c r="N57" s="34">
        <v>62.2</v>
      </c>
      <c r="O57" s="34">
        <v>3.4</v>
      </c>
      <c r="P57" s="34">
        <v>40.9</v>
      </c>
      <c r="Q57" s="34">
        <v>218.6</v>
      </c>
      <c r="R57" s="34">
        <v>4.8</v>
      </c>
      <c r="S57" s="34">
        <v>4.8</v>
      </c>
      <c r="T57" s="34">
        <f t="shared" si="20"/>
        <v>4.8</v>
      </c>
      <c r="U57" s="38">
        <v>100</v>
      </c>
      <c r="V57" s="38">
        <v>4</v>
      </c>
      <c r="W57" s="6">
        <f t="shared" si="16"/>
        <v>1</v>
      </c>
      <c r="X57" s="7">
        <f t="shared" si="23"/>
        <v>1</v>
      </c>
      <c r="Y57" s="7">
        <f t="shared" si="24"/>
        <v>1</v>
      </c>
      <c r="Z57" s="7">
        <f t="shared" si="25"/>
        <v>1</v>
      </c>
      <c r="AA57" s="8">
        <f t="shared" si="17"/>
        <v>1</v>
      </c>
      <c r="AB57" s="8">
        <v>1</v>
      </c>
      <c r="AC57" s="8">
        <v>0</v>
      </c>
      <c r="AD57" s="96">
        <v>1</v>
      </c>
      <c r="AE57" s="8">
        <v>1</v>
      </c>
      <c r="AF57" s="2">
        <v>1</v>
      </c>
      <c r="AG57" s="6">
        <f t="shared" si="22"/>
        <v>6</v>
      </c>
      <c r="AH57" s="8" t="s">
        <v>27</v>
      </c>
      <c r="AI57" s="14">
        <f t="shared" si="21"/>
        <v>1108</v>
      </c>
      <c r="AJ57" s="135">
        <v>1105</v>
      </c>
      <c r="AK57" s="8">
        <v>1111</v>
      </c>
      <c r="AL57" s="32" t="s">
        <v>171</v>
      </c>
      <c r="AM57" s="33" t="s">
        <v>172</v>
      </c>
      <c r="AN57" s="33" t="s">
        <v>173</v>
      </c>
      <c r="AO57" s="34">
        <v>2014</v>
      </c>
      <c r="AP57" s="33" t="s">
        <v>174</v>
      </c>
      <c r="AQ57" s="34">
        <v>15</v>
      </c>
      <c r="AR57" s="35" t="s">
        <v>175</v>
      </c>
      <c r="AS57" s="157"/>
      <c r="AT57" s="142"/>
      <c r="AU57" s="28" t="s">
        <v>605</v>
      </c>
    </row>
    <row r="58" spans="1:49" s="32" customFormat="1" x14ac:dyDescent="0.15">
      <c r="A58" s="47" t="s">
        <v>74</v>
      </c>
      <c r="B58" s="116" t="s">
        <v>176</v>
      </c>
      <c r="C58" s="38" t="s">
        <v>34</v>
      </c>
      <c r="D58" s="39"/>
      <c r="E58" s="39" t="s">
        <v>37</v>
      </c>
      <c r="F58" s="38">
        <v>100</v>
      </c>
      <c r="G58" s="34">
        <v>47.1</v>
      </c>
      <c r="H58" s="34">
        <v>275.3</v>
      </c>
      <c r="I58" s="34">
        <v>24</v>
      </c>
      <c r="J58" s="34">
        <v>117</v>
      </c>
      <c r="K58" s="34">
        <v>112.5</v>
      </c>
      <c r="L58" s="34">
        <v>-72.900000000000006</v>
      </c>
      <c r="M58" s="40">
        <f t="shared" si="19"/>
        <v>72.900000000000006</v>
      </c>
      <c r="N58" s="34">
        <v>29</v>
      </c>
      <c r="O58" s="114">
        <v>0.1</v>
      </c>
      <c r="P58" s="34">
        <v>49.5</v>
      </c>
      <c r="Q58" s="34">
        <v>227</v>
      </c>
      <c r="R58" s="34">
        <v>5.3</v>
      </c>
      <c r="S58" s="34">
        <v>5.3</v>
      </c>
      <c r="T58" s="34">
        <f t="shared" si="20"/>
        <v>5.3</v>
      </c>
      <c r="U58" s="38">
        <v>100</v>
      </c>
      <c r="V58" s="38">
        <v>4</v>
      </c>
      <c r="W58" s="6">
        <f t="shared" ref="W58:W89" si="26">IF(((AK58-AJ58)/2)&gt;MIN($W$1,((AK58+AJ58)/2)*$W$1/1000),0,1)</f>
        <v>1</v>
      </c>
      <c r="X58" s="7">
        <f t="shared" si="23"/>
        <v>1</v>
      </c>
      <c r="Y58" s="7">
        <f t="shared" si="24"/>
        <v>1</v>
      </c>
      <c r="Z58" s="7">
        <f t="shared" si="25"/>
        <v>1</v>
      </c>
      <c r="AA58" s="8">
        <f t="shared" si="17"/>
        <v>1</v>
      </c>
      <c r="AB58" s="8">
        <v>1</v>
      </c>
      <c r="AC58" s="8">
        <v>1</v>
      </c>
      <c r="AD58" s="96">
        <v>1</v>
      </c>
      <c r="AE58" s="8">
        <v>1</v>
      </c>
      <c r="AF58" s="2">
        <v>1</v>
      </c>
      <c r="AG58" s="6">
        <f t="shared" si="22"/>
        <v>7</v>
      </c>
      <c r="AH58" s="8" t="s">
        <v>27</v>
      </c>
      <c r="AI58" s="14">
        <v>1109</v>
      </c>
      <c r="AJ58" s="8">
        <v>1106</v>
      </c>
      <c r="AK58" s="8">
        <v>1111</v>
      </c>
      <c r="AL58" s="32" t="s">
        <v>177</v>
      </c>
      <c r="AM58" s="33" t="s">
        <v>176</v>
      </c>
      <c r="AN58" s="33" t="s">
        <v>178</v>
      </c>
      <c r="AO58" s="34">
        <v>2014</v>
      </c>
      <c r="AP58" s="33" t="s">
        <v>179</v>
      </c>
      <c r="AQ58" s="34">
        <v>42</v>
      </c>
      <c r="AR58" s="35" t="s">
        <v>180</v>
      </c>
      <c r="AS58" s="157"/>
      <c r="AT58" s="142"/>
      <c r="AU58" s="28" t="s">
        <v>604</v>
      </c>
    </row>
    <row r="59" spans="1:49" s="32" customFormat="1" x14ac:dyDescent="0.15">
      <c r="A59" s="47" t="s">
        <v>74</v>
      </c>
      <c r="B59" s="116" t="s">
        <v>181</v>
      </c>
      <c r="C59" s="38" t="s">
        <v>34</v>
      </c>
      <c r="D59" s="39"/>
      <c r="E59" s="39" t="s">
        <v>61</v>
      </c>
      <c r="F59" s="38">
        <v>100</v>
      </c>
      <c r="G59" s="34">
        <v>48.8</v>
      </c>
      <c r="H59" s="34">
        <v>272.39999999999998</v>
      </c>
      <c r="I59" s="34">
        <v>20</v>
      </c>
      <c r="J59" s="34">
        <v>139</v>
      </c>
      <c r="K59" s="34">
        <v>105.9</v>
      </c>
      <c r="L59" s="91">
        <v>-64.900000000000006</v>
      </c>
      <c r="M59" s="40">
        <f t="shared" si="19"/>
        <v>64.900000000000006</v>
      </c>
      <c r="N59" s="34">
        <v>36.5</v>
      </c>
      <c r="O59" s="34">
        <v>5.5</v>
      </c>
      <c r="P59" s="34">
        <v>42.7</v>
      </c>
      <c r="Q59" s="34">
        <v>211.3</v>
      </c>
      <c r="R59" s="34">
        <v>8.1999999999999993</v>
      </c>
      <c r="S59" s="34">
        <v>8.1999999999999993</v>
      </c>
      <c r="T59" s="34">
        <f t="shared" si="20"/>
        <v>8.1999999999999993</v>
      </c>
      <c r="U59" s="38">
        <v>100</v>
      </c>
      <c r="V59" s="38">
        <v>4</v>
      </c>
      <c r="W59" s="6">
        <f t="shared" si="26"/>
        <v>1</v>
      </c>
      <c r="X59" s="7">
        <f t="shared" si="23"/>
        <v>1</v>
      </c>
      <c r="Y59" s="7">
        <f t="shared" si="24"/>
        <v>1</v>
      </c>
      <c r="Z59" s="7">
        <f t="shared" si="25"/>
        <v>1</v>
      </c>
      <c r="AA59" s="8">
        <f t="shared" si="17"/>
        <v>1</v>
      </c>
      <c r="AB59" s="8">
        <v>1</v>
      </c>
      <c r="AC59" s="8">
        <v>0</v>
      </c>
      <c r="AD59" s="96">
        <v>1</v>
      </c>
      <c r="AE59" s="8">
        <v>1</v>
      </c>
      <c r="AF59" s="2">
        <v>1</v>
      </c>
      <c r="AG59" s="6">
        <f t="shared" si="22"/>
        <v>6</v>
      </c>
      <c r="AH59" s="8" t="s">
        <v>27</v>
      </c>
      <c r="AI59" s="14">
        <f t="shared" si="21"/>
        <v>1106.5</v>
      </c>
      <c r="AJ59" s="8">
        <v>1103</v>
      </c>
      <c r="AK59" s="8">
        <v>1110</v>
      </c>
      <c r="AL59" s="32" t="s">
        <v>182</v>
      </c>
      <c r="AM59" s="33" t="s">
        <v>183</v>
      </c>
      <c r="AN59" s="33" t="s">
        <v>173</v>
      </c>
      <c r="AO59" s="34">
        <v>2014</v>
      </c>
      <c r="AP59" s="33" t="s">
        <v>174</v>
      </c>
      <c r="AQ59" s="34">
        <v>15</v>
      </c>
      <c r="AR59" s="35" t="s">
        <v>175</v>
      </c>
      <c r="AS59" s="157"/>
      <c r="AT59" s="126"/>
      <c r="AU59" s="28" t="s">
        <v>605</v>
      </c>
    </row>
    <row r="60" spans="1:49" x14ac:dyDescent="0.15">
      <c r="A60" s="47" t="s">
        <v>74</v>
      </c>
      <c r="B60" s="116" t="s">
        <v>184</v>
      </c>
      <c r="C60" s="64">
        <v>9514</v>
      </c>
      <c r="D60" s="39" t="s">
        <v>185</v>
      </c>
      <c r="E60" s="39" t="s">
        <v>186</v>
      </c>
      <c r="F60" s="38">
        <v>100</v>
      </c>
      <c r="G60" s="34">
        <v>48.7</v>
      </c>
      <c r="H60" s="34">
        <v>272.39999999999998</v>
      </c>
      <c r="I60" s="34">
        <v>59</v>
      </c>
      <c r="J60" s="34">
        <v>346</v>
      </c>
      <c r="K60" s="34">
        <v>110.7</v>
      </c>
      <c r="L60" s="40">
        <v>-60.9</v>
      </c>
      <c r="M60" s="40">
        <f t="shared" si="19"/>
        <v>60.9</v>
      </c>
      <c r="N60" s="114">
        <v>1000</v>
      </c>
      <c r="O60" s="114">
        <v>0.1</v>
      </c>
      <c r="P60" s="4">
        <v>42.3</v>
      </c>
      <c r="Q60" s="4">
        <v>203.4</v>
      </c>
      <c r="R60" s="34">
        <v>3.7</v>
      </c>
      <c r="S60" s="34">
        <v>3.7</v>
      </c>
      <c r="T60" s="34">
        <f t="shared" si="20"/>
        <v>3.7</v>
      </c>
      <c r="U60" s="38">
        <v>100</v>
      </c>
      <c r="V60" s="38">
        <v>4</v>
      </c>
      <c r="W60" s="6">
        <f t="shared" si="26"/>
        <v>1</v>
      </c>
      <c r="X60" s="7">
        <f t="shared" si="23"/>
        <v>1</v>
      </c>
      <c r="Y60" s="7">
        <v>1</v>
      </c>
      <c r="Z60" s="7">
        <f t="shared" si="25"/>
        <v>1</v>
      </c>
      <c r="AA60" s="8">
        <f t="shared" si="17"/>
        <v>1</v>
      </c>
      <c r="AB60" s="8">
        <v>1</v>
      </c>
      <c r="AC60" s="8">
        <v>1</v>
      </c>
      <c r="AD60" s="96">
        <v>1</v>
      </c>
      <c r="AE60" s="8">
        <v>1</v>
      </c>
      <c r="AF60" s="2">
        <v>1</v>
      </c>
      <c r="AG60" s="6">
        <f t="shared" si="22"/>
        <v>7</v>
      </c>
      <c r="AH60" s="8" t="s">
        <v>27</v>
      </c>
      <c r="AI60" s="14">
        <f t="shared" si="21"/>
        <v>1105</v>
      </c>
      <c r="AJ60" s="8">
        <v>1104</v>
      </c>
      <c r="AK60" s="8">
        <v>1106</v>
      </c>
      <c r="AL60" s="32" t="s">
        <v>606</v>
      </c>
      <c r="AM60" s="33" t="s">
        <v>187</v>
      </c>
      <c r="AN60" s="3" t="s">
        <v>608</v>
      </c>
      <c r="AO60" s="4">
        <v>2019</v>
      </c>
      <c r="AP60" s="3" t="s">
        <v>607</v>
      </c>
      <c r="AQ60" s="34"/>
      <c r="AR60" s="35"/>
      <c r="AT60" s="142"/>
      <c r="AU60" s="28" t="s">
        <v>650</v>
      </c>
      <c r="AW60" s="31" t="s">
        <v>632</v>
      </c>
    </row>
    <row r="61" spans="1:49" s="46" customFormat="1" x14ac:dyDescent="0.15">
      <c r="A61" s="47" t="s">
        <v>74</v>
      </c>
      <c r="B61" s="116" t="s">
        <v>188</v>
      </c>
      <c r="C61" s="38" t="s">
        <v>34</v>
      </c>
      <c r="D61" s="39"/>
      <c r="E61" s="39" t="s">
        <v>189</v>
      </c>
      <c r="F61" s="38">
        <v>100</v>
      </c>
      <c r="G61" s="34">
        <v>47.1</v>
      </c>
      <c r="H61" s="34">
        <v>275.3</v>
      </c>
      <c r="I61" s="34">
        <v>14</v>
      </c>
      <c r="J61" s="34">
        <v>57</v>
      </c>
      <c r="K61" s="34">
        <v>106.2</v>
      </c>
      <c r="L61" s="34">
        <v>-58.3</v>
      </c>
      <c r="M61" s="40">
        <f t="shared" si="19"/>
        <v>58.3</v>
      </c>
      <c r="N61" s="34">
        <v>69</v>
      </c>
      <c r="O61" s="114">
        <v>0.1</v>
      </c>
      <c r="P61" s="34">
        <v>37.5</v>
      </c>
      <c r="Q61" s="34">
        <v>205.2</v>
      </c>
      <c r="R61" s="34">
        <v>4.5</v>
      </c>
      <c r="S61" s="34">
        <v>4.5</v>
      </c>
      <c r="T61" s="34">
        <f t="shared" si="20"/>
        <v>4.5</v>
      </c>
      <c r="U61" s="34">
        <v>100</v>
      </c>
      <c r="V61" s="38">
        <v>4</v>
      </c>
      <c r="W61" s="6">
        <f t="shared" si="26"/>
        <v>1</v>
      </c>
      <c r="X61" s="7">
        <f t="shared" si="23"/>
        <v>1</v>
      </c>
      <c r="Y61" s="7">
        <f t="shared" ref="Y61:Y92" si="27">IF(N61&gt;($Y$1-0.001),1,0)</f>
        <v>1</v>
      </c>
      <c r="Z61" s="7">
        <f t="shared" si="25"/>
        <v>1</v>
      </c>
      <c r="AA61" s="8">
        <f t="shared" si="17"/>
        <v>1</v>
      </c>
      <c r="AB61" s="8">
        <v>1</v>
      </c>
      <c r="AC61" s="8">
        <v>1</v>
      </c>
      <c r="AD61" s="96">
        <v>1</v>
      </c>
      <c r="AE61" s="8">
        <v>1</v>
      </c>
      <c r="AF61" s="2">
        <v>1</v>
      </c>
      <c r="AG61" s="6">
        <f t="shared" si="22"/>
        <v>7</v>
      </c>
      <c r="AH61" s="8" t="s">
        <v>27</v>
      </c>
      <c r="AI61" s="14">
        <v>1105</v>
      </c>
      <c r="AJ61" s="8">
        <v>1101</v>
      </c>
      <c r="AK61" s="8">
        <v>1108</v>
      </c>
      <c r="AL61" s="32" t="s">
        <v>190</v>
      </c>
      <c r="AM61" s="33" t="s">
        <v>188</v>
      </c>
      <c r="AN61" s="33" t="s">
        <v>178</v>
      </c>
      <c r="AO61" s="34">
        <v>2014</v>
      </c>
      <c r="AP61" s="33" t="s">
        <v>179</v>
      </c>
      <c r="AQ61" s="34">
        <v>42</v>
      </c>
      <c r="AR61" s="35" t="s">
        <v>180</v>
      </c>
      <c r="AS61" s="157"/>
      <c r="AT61" s="142"/>
      <c r="AU61" s="28" t="s">
        <v>604</v>
      </c>
    </row>
    <row r="62" spans="1:49" s="32" customFormat="1" x14ac:dyDescent="0.15">
      <c r="A62" s="47" t="s">
        <v>74</v>
      </c>
      <c r="B62" s="116" t="s">
        <v>191</v>
      </c>
      <c r="C62" s="38" t="s">
        <v>34</v>
      </c>
      <c r="D62" s="39"/>
      <c r="E62" s="39" t="s">
        <v>192</v>
      </c>
      <c r="F62" s="38">
        <v>100</v>
      </c>
      <c r="G62" s="34">
        <v>47.1</v>
      </c>
      <c r="H62" s="34">
        <v>275.3</v>
      </c>
      <c r="I62" s="34">
        <v>24</v>
      </c>
      <c r="J62" s="34">
        <v>96</v>
      </c>
      <c r="K62" s="34">
        <v>293.8</v>
      </c>
      <c r="L62" s="34">
        <v>47.1</v>
      </c>
      <c r="M62" s="40">
        <f t="shared" si="19"/>
        <v>47.1</v>
      </c>
      <c r="N62" s="34">
        <v>34</v>
      </c>
      <c r="O62" s="114">
        <v>0.1</v>
      </c>
      <c r="P62" s="34">
        <v>36.1</v>
      </c>
      <c r="Q62" s="34">
        <v>189.7</v>
      </c>
      <c r="R62" s="34">
        <v>4.9000000000000004</v>
      </c>
      <c r="S62" s="34">
        <v>4.9000000000000004</v>
      </c>
      <c r="T62" s="34">
        <f t="shared" si="20"/>
        <v>4.9000000000000004</v>
      </c>
      <c r="U62" s="38">
        <v>42</v>
      </c>
      <c r="V62" s="38">
        <v>4</v>
      </c>
      <c r="W62" s="6">
        <f t="shared" si="26"/>
        <v>1</v>
      </c>
      <c r="X62" s="7">
        <f t="shared" si="23"/>
        <v>1</v>
      </c>
      <c r="Y62" s="7">
        <f t="shared" si="27"/>
        <v>1</v>
      </c>
      <c r="Z62" s="7">
        <f t="shared" si="25"/>
        <v>1</v>
      </c>
      <c r="AA62" s="8">
        <f t="shared" si="17"/>
        <v>1</v>
      </c>
      <c r="AB62" s="8">
        <v>1</v>
      </c>
      <c r="AC62" s="8">
        <v>1</v>
      </c>
      <c r="AD62" s="96">
        <v>1</v>
      </c>
      <c r="AE62" s="8">
        <f>IF(OR(U62="0or100",U62=0,U62=100),0,1)</f>
        <v>1</v>
      </c>
      <c r="AF62" s="2">
        <v>1</v>
      </c>
      <c r="AG62" s="6">
        <f t="shared" si="22"/>
        <v>7</v>
      </c>
      <c r="AH62" s="8" t="s">
        <v>27</v>
      </c>
      <c r="AI62" s="14">
        <f t="shared" si="21"/>
        <v>1101</v>
      </c>
      <c r="AJ62" s="8">
        <v>1100</v>
      </c>
      <c r="AK62" s="2">
        <v>1102</v>
      </c>
      <c r="AL62" s="32" t="s">
        <v>193</v>
      </c>
      <c r="AM62" s="33" t="s">
        <v>191</v>
      </c>
      <c r="AN62" s="33" t="s">
        <v>178</v>
      </c>
      <c r="AO62" s="34">
        <v>2014</v>
      </c>
      <c r="AP62" s="33" t="s">
        <v>179</v>
      </c>
      <c r="AQ62" s="34">
        <v>42</v>
      </c>
      <c r="AR62" s="35" t="s">
        <v>180</v>
      </c>
      <c r="AS62" s="157"/>
      <c r="AT62" s="126"/>
      <c r="AU62" s="28" t="s">
        <v>604</v>
      </c>
    </row>
    <row r="63" spans="1:49" x14ac:dyDescent="0.15">
      <c r="A63" s="47" t="s">
        <v>74</v>
      </c>
      <c r="B63" s="116" t="s">
        <v>194</v>
      </c>
      <c r="C63" s="38" t="s">
        <v>34</v>
      </c>
      <c r="D63" s="39"/>
      <c r="E63" s="39" t="s">
        <v>189</v>
      </c>
      <c r="F63" s="38">
        <v>100</v>
      </c>
      <c r="G63" s="34">
        <v>47.1</v>
      </c>
      <c r="H63" s="34">
        <v>275.3</v>
      </c>
      <c r="I63" s="34">
        <v>34</v>
      </c>
      <c r="J63" s="34">
        <v>198</v>
      </c>
      <c r="K63" s="34">
        <v>293.7</v>
      </c>
      <c r="L63" s="34">
        <v>37.5</v>
      </c>
      <c r="M63" s="40">
        <f t="shared" si="19"/>
        <v>37.5</v>
      </c>
      <c r="N63" s="34">
        <v>92</v>
      </c>
      <c r="O63" s="114">
        <v>0.1</v>
      </c>
      <c r="P63" s="34">
        <v>31.2</v>
      </c>
      <c r="Q63" s="34">
        <v>183.2</v>
      </c>
      <c r="R63" s="34">
        <v>2.5</v>
      </c>
      <c r="S63" s="34">
        <v>2.5</v>
      </c>
      <c r="T63" s="34">
        <f t="shared" si="20"/>
        <v>2.5</v>
      </c>
      <c r="U63" s="34">
        <v>0</v>
      </c>
      <c r="V63" s="38">
        <v>4</v>
      </c>
      <c r="W63" s="6">
        <f t="shared" si="26"/>
        <v>1</v>
      </c>
      <c r="X63" s="7">
        <f t="shared" si="23"/>
        <v>1</v>
      </c>
      <c r="Y63" s="7">
        <f t="shared" si="27"/>
        <v>1</v>
      </c>
      <c r="Z63" s="7">
        <f t="shared" si="25"/>
        <v>1</v>
      </c>
      <c r="AA63" s="8">
        <f t="shared" ref="AA63:AA94" si="28">X63*Y63*Z63</f>
        <v>1</v>
      </c>
      <c r="AB63" s="8">
        <v>1</v>
      </c>
      <c r="AC63" s="8">
        <v>1</v>
      </c>
      <c r="AD63" s="96">
        <v>1</v>
      </c>
      <c r="AE63" s="8">
        <v>1</v>
      </c>
      <c r="AF63" s="2">
        <v>1</v>
      </c>
      <c r="AG63" s="6">
        <f t="shared" si="22"/>
        <v>7</v>
      </c>
      <c r="AH63" s="8" t="s">
        <v>27</v>
      </c>
      <c r="AI63" s="84">
        <v>1094</v>
      </c>
      <c r="AJ63" s="2">
        <v>1090</v>
      </c>
      <c r="AK63" s="2">
        <v>1100</v>
      </c>
      <c r="AL63" s="32" t="s">
        <v>195</v>
      </c>
      <c r="AM63" s="33" t="s">
        <v>194</v>
      </c>
      <c r="AN63" s="33" t="s">
        <v>178</v>
      </c>
      <c r="AO63" s="34">
        <v>2014</v>
      </c>
      <c r="AP63" s="33" t="s">
        <v>179</v>
      </c>
      <c r="AQ63" s="34">
        <v>42</v>
      </c>
      <c r="AR63" s="35" t="s">
        <v>180</v>
      </c>
      <c r="AT63" s="126"/>
      <c r="AU63" s="28" t="s">
        <v>604</v>
      </c>
      <c r="AW63" s="31" t="s">
        <v>633</v>
      </c>
    </row>
    <row r="64" spans="1:49" x14ac:dyDescent="0.15">
      <c r="A64" s="47" t="s">
        <v>74</v>
      </c>
      <c r="B64" s="116" t="s">
        <v>196</v>
      </c>
      <c r="C64" s="38" t="s">
        <v>34</v>
      </c>
      <c r="D64" s="39" t="s">
        <v>197</v>
      </c>
      <c r="E64" s="39" t="s">
        <v>61</v>
      </c>
      <c r="F64" s="38">
        <v>100</v>
      </c>
      <c r="G64" s="34">
        <v>46.3</v>
      </c>
      <c r="H64" s="34">
        <v>268.7</v>
      </c>
      <c r="I64" s="34">
        <v>61</v>
      </c>
      <c r="J64" s="34">
        <v>279</v>
      </c>
      <c r="K64" s="34">
        <v>293.89999999999998</v>
      </c>
      <c r="L64" s="34">
        <v>44</v>
      </c>
      <c r="M64" s="40">
        <f t="shared" si="19"/>
        <v>44</v>
      </c>
      <c r="N64" s="34">
        <v>41.9</v>
      </c>
      <c r="O64" s="114">
        <v>0.1</v>
      </c>
      <c r="P64" s="4">
        <v>31.1</v>
      </c>
      <c r="Q64" s="4">
        <v>181.7</v>
      </c>
      <c r="R64" s="4">
        <v>2.1</v>
      </c>
      <c r="S64" s="4">
        <v>2.1</v>
      </c>
      <c r="T64" s="4">
        <v>2.1</v>
      </c>
      <c r="U64" s="34">
        <v>0</v>
      </c>
      <c r="V64" s="38">
        <v>4</v>
      </c>
      <c r="W64" s="6">
        <f t="shared" si="26"/>
        <v>1</v>
      </c>
      <c r="X64" s="7">
        <f t="shared" si="23"/>
        <v>1</v>
      </c>
      <c r="Y64" s="7">
        <f t="shared" si="27"/>
        <v>1</v>
      </c>
      <c r="Z64" s="7">
        <f t="shared" si="25"/>
        <v>1</v>
      </c>
      <c r="AA64" s="8">
        <f t="shared" si="28"/>
        <v>1</v>
      </c>
      <c r="AB64" s="8">
        <v>1</v>
      </c>
      <c r="AC64" s="8">
        <v>0</v>
      </c>
      <c r="AD64" s="96">
        <v>1</v>
      </c>
      <c r="AE64" s="8">
        <v>1</v>
      </c>
      <c r="AF64" s="2">
        <v>1</v>
      </c>
      <c r="AG64" s="6">
        <f t="shared" si="22"/>
        <v>6</v>
      </c>
      <c r="AH64" s="8" t="s">
        <v>27</v>
      </c>
      <c r="AI64" s="14">
        <f t="shared" si="21"/>
        <v>1097</v>
      </c>
      <c r="AJ64" s="8">
        <v>1094</v>
      </c>
      <c r="AK64" s="8">
        <v>1100</v>
      </c>
      <c r="AL64" s="33" t="s">
        <v>198</v>
      </c>
      <c r="AM64" s="33" t="s">
        <v>196</v>
      </c>
      <c r="AN64" s="33" t="s">
        <v>199</v>
      </c>
      <c r="AO64" s="37">
        <v>2009</v>
      </c>
      <c r="AP64" s="33" t="s">
        <v>44</v>
      </c>
      <c r="AQ64" s="34">
        <v>177</v>
      </c>
      <c r="AR64" s="35" t="s">
        <v>200</v>
      </c>
      <c r="AT64" s="126"/>
      <c r="AU64" s="31" t="s">
        <v>615</v>
      </c>
      <c r="AW64" s="31" t="s">
        <v>632</v>
      </c>
    </row>
    <row r="65" spans="1:49" s="32" customFormat="1" ht="42" x14ac:dyDescent="0.15">
      <c r="A65" s="47" t="s">
        <v>74</v>
      </c>
      <c r="B65" s="117" t="s">
        <v>201</v>
      </c>
      <c r="C65" s="38">
        <v>8163</v>
      </c>
      <c r="D65" s="39"/>
      <c r="E65" s="39" t="s">
        <v>61</v>
      </c>
      <c r="F65" s="38">
        <v>100</v>
      </c>
      <c r="G65" s="40">
        <v>45.400002000000001</v>
      </c>
      <c r="H65" s="40">
        <v>267.300003</v>
      </c>
      <c r="I65" s="118">
        <v>8</v>
      </c>
      <c r="J65" s="38">
        <v>60</v>
      </c>
      <c r="K65" s="5">
        <v>287.5</v>
      </c>
      <c r="L65" s="114">
        <v>45.8</v>
      </c>
      <c r="M65" s="40">
        <f t="shared" si="19"/>
        <v>45.8</v>
      </c>
      <c r="N65" s="40">
        <v>48.5</v>
      </c>
      <c r="O65" s="40">
        <v>8</v>
      </c>
      <c r="P65" s="45">
        <v>30.9</v>
      </c>
      <c r="Q65" s="30">
        <v>186.1</v>
      </c>
      <c r="R65" s="114">
        <v>6.5</v>
      </c>
      <c r="S65" s="114">
        <v>10.3</v>
      </c>
      <c r="T65" s="114">
        <f t="shared" si="20"/>
        <v>8.1822979657306547</v>
      </c>
      <c r="U65" s="38">
        <v>25</v>
      </c>
      <c r="V65" s="38">
        <v>4</v>
      </c>
      <c r="W65" s="6">
        <f t="shared" si="26"/>
        <v>1</v>
      </c>
      <c r="X65" s="7">
        <f t="shared" si="23"/>
        <v>1</v>
      </c>
      <c r="Y65" s="7">
        <f t="shared" si="27"/>
        <v>1</v>
      </c>
      <c r="Z65" s="7">
        <f t="shared" si="25"/>
        <v>1</v>
      </c>
      <c r="AA65" s="8">
        <f t="shared" si="28"/>
        <v>1</v>
      </c>
      <c r="AB65" s="8">
        <v>1</v>
      </c>
      <c r="AC65" s="8">
        <v>0</v>
      </c>
      <c r="AD65" s="96">
        <v>1</v>
      </c>
      <c r="AE65" s="8">
        <f>IF(OR(U65="0or100",U65=0,U65=100),0,1)</f>
        <v>1</v>
      </c>
      <c r="AF65" s="2">
        <v>1</v>
      </c>
      <c r="AG65" s="6">
        <f t="shared" si="22"/>
        <v>6</v>
      </c>
      <c r="AH65" s="8" t="s">
        <v>8</v>
      </c>
      <c r="AI65" s="14">
        <f t="shared" si="21"/>
        <v>1095</v>
      </c>
      <c r="AJ65" s="8">
        <v>1093</v>
      </c>
      <c r="AK65" s="8">
        <v>1097</v>
      </c>
      <c r="AL65" s="41" t="s">
        <v>202</v>
      </c>
      <c r="AM65" s="25" t="s">
        <v>201</v>
      </c>
      <c r="AN65" s="25" t="s">
        <v>203</v>
      </c>
      <c r="AO65" s="8">
        <v>1997</v>
      </c>
      <c r="AP65" s="25" t="s">
        <v>204</v>
      </c>
      <c r="AQ65" s="8" t="s">
        <v>205</v>
      </c>
      <c r="AR65" s="42" t="s">
        <v>206</v>
      </c>
      <c r="AS65" s="157" t="s">
        <v>207</v>
      </c>
      <c r="AT65" s="142"/>
      <c r="AU65" s="28" t="s">
        <v>614</v>
      </c>
    </row>
    <row r="66" spans="1:49" s="32" customFormat="1" x14ac:dyDescent="0.15">
      <c r="A66" s="47" t="s">
        <v>74</v>
      </c>
      <c r="B66" s="117" t="s">
        <v>208</v>
      </c>
      <c r="C66" s="38" t="s">
        <v>66</v>
      </c>
      <c r="D66" s="39" t="s">
        <v>209</v>
      </c>
      <c r="E66" s="39" t="s">
        <v>210</v>
      </c>
      <c r="F66" s="38">
        <v>100</v>
      </c>
      <c r="G66" s="40">
        <v>47</v>
      </c>
      <c r="H66" s="40">
        <v>271.2</v>
      </c>
      <c r="I66" s="38">
        <v>28</v>
      </c>
      <c r="J66" s="114">
        <v>1000</v>
      </c>
      <c r="K66" s="5">
        <v>291.2</v>
      </c>
      <c r="L66" s="40">
        <v>31.3</v>
      </c>
      <c r="M66" s="40">
        <f t="shared" si="19"/>
        <v>31.3</v>
      </c>
      <c r="N66" s="40">
        <v>24.5</v>
      </c>
      <c r="O66" s="40">
        <v>5.6</v>
      </c>
      <c r="P66" s="102">
        <v>27.5</v>
      </c>
      <c r="Q66" s="103">
        <v>182.5</v>
      </c>
      <c r="R66" s="101">
        <v>2.2999999999999998</v>
      </c>
      <c r="S66" s="101">
        <v>2.2999999999999998</v>
      </c>
      <c r="T66" s="101">
        <v>2.2999999999999998</v>
      </c>
      <c r="U66" s="38">
        <v>0</v>
      </c>
      <c r="V66" s="38">
        <v>4</v>
      </c>
      <c r="W66" s="6">
        <f t="shared" si="26"/>
        <v>1</v>
      </c>
      <c r="X66" s="7">
        <f t="shared" si="23"/>
        <v>1</v>
      </c>
      <c r="Y66" s="7">
        <f t="shared" si="27"/>
        <v>1</v>
      </c>
      <c r="Z66" s="7">
        <f t="shared" si="25"/>
        <v>1</v>
      </c>
      <c r="AA66" s="8">
        <f t="shared" si="28"/>
        <v>1</v>
      </c>
      <c r="AB66" s="8">
        <v>1</v>
      </c>
      <c r="AC66" s="8">
        <v>1</v>
      </c>
      <c r="AD66" s="8">
        <v>1</v>
      </c>
      <c r="AE66" s="8">
        <f>IF(OR(U66="0or100",U66=0,U66=100),0,1)</f>
        <v>0</v>
      </c>
      <c r="AF66" s="2">
        <v>1</v>
      </c>
      <c r="AG66" s="6">
        <f t="shared" si="22"/>
        <v>6</v>
      </c>
      <c r="AH66" s="8" t="s">
        <v>67</v>
      </c>
      <c r="AI66" s="14">
        <f t="shared" si="21"/>
        <v>1095</v>
      </c>
      <c r="AJ66" s="8">
        <v>1092</v>
      </c>
      <c r="AK66" s="8">
        <v>1098</v>
      </c>
      <c r="AL66" s="41" t="s">
        <v>211</v>
      </c>
      <c r="AM66" s="25" t="s">
        <v>208</v>
      </c>
      <c r="AN66" s="25" t="s">
        <v>212</v>
      </c>
      <c r="AO66" s="8">
        <v>2006</v>
      </c>
      <c r="AP66" s="25" t="s">
        <v>35</v>
      </c>
      <c r="AQ66" s="8">
        <v>425</v>
      </c>
      <c r="AR66" s="42"/>
      <c r="AS66" s="157"/>
      <c r="AT66" s="142"/>
      <c r="AU66" s="28" t="s">
        <v>613</v>
      </c>
      <c r="AW66" s="32" t="s">
        <v>635</v>
      </c>
    </row>
    <row r="67" spans="1:49" ht="56" x14ac:dyDescent="0.15">
      <c r="A67" s="47" t="s">
        <v>74</v>
      </c>
      <c r="B67" s="109" t="s">
        <v>213</v>
      </c>
      <c r="C67" s="38">
        <v>9073</v>
      </c>
      <c r="D67" s="39"/>
      <c r="E67" s="39" t="s">
        <v>214</v>
      </c>
      <c r="F67" s="38">
        <v>100</v>
      </c>
      <c r="G67" s="40">
        <v>36.080002</v>
      </c>
      <c r="H67" s="40">
        <v>248.129997</v>
      </c>
      <c r="I67" s="38">
        <v>16</v>
      </c>
      <c r="J67" s="38">
        <v>114</v>
      </c>
      <c r="K67" s="5">
        <v>285.5</v>
      </c>
      <c r="L67" s="40">
        <v>57</v>
      </c>
      <c r="M67" s="40">
        <f t="shared" si="19"/>
        <v>57</v>
      </c>
      <c r="N67" s="40">
        <v>33.900002000000001</v>
      </c>
      <c r="O67" s="40">
        <v>6.4</v>
      </c>
      <c r="P67" s="110">
        <v>32</v>
      </c>
      <c r="Q67" s="30">
        <v>185</v>
      </c>
      <c r="R67" s="40">
        <v>6.8</v>
      </c>
      <c r="S67" s="40">
        <v>9.3000000000000007</v>
      </c>
      <c r="T67" s="40">
        <f t="shared" si="20"/>
        <v>7.9523581408284176</v>
      </c>
      <c r="U67" s="38">
        <v>0</v>
      </c>
      <c r="V67" s="38">
        <v>4</v>
      </c>
      <c r="W67" s="6">
        <f t="shared" si="26"/>
        <v>1</v>
      </c>
      <c r="X67" s="7">
        <f t="shared" si="23"/>
        <v>1</v>
      </c>
      <c r="Y67" s="7">
        <f t="shared" si="27"/>
        <v>1</v>
      </c>
      <c r="Z67" s="7">
        <f t="shared" si="25"/>
        <v>1</v>
      </c>
      <c r="AA67" s="8">
        <f t="shared" si="28"/>
        <v>1</v>
      </c>
      <c r="AB67" s="8">
        <v>1</v>
      </c>
      <c r="AC67" s="8">
        <v>0</v>
      </c>
      <c r="AD67" s="96">
        <v>1</v>
      </c>
      <c r="AE67" s="8">
        <f>IF(OR(U67="0or100",U67=0,U67=100),0,1)</f>
        <v>0</v>
      </c>
      <c r="AF67" s="2">
        <v>1</v>
      </c>
      <c r="AG67" s="6">
        <f t="shared" ref="AG67:AG98" si="29">W67+SUM(AA67:AF67)</f>
        <v>5</v>
      </c>
      <c r="AH67" s="8" t="s">
        <v>71</v>
      </c>
      <c r="AI67" s="14">
        <f t="shared" si="21"/>
        <v>1091</v>
      </c>
      <c r="AJ67" s="8">
        <v>1086</v>
      </c>
      <c r="AK67" s="8">
        <v>1096</v>
      </c>
      <c r="AL67" s="41" t="s">
        <v>215</v>
      </c>
      <c r="AM67" s="25" t="s">
        <v>213</v>
      </c>
      <c r="AN67" s="25" t="s">
        <v>216</v>
      </c>
      <c r="AO67" s="8">
        <v>2003</v>
      </c>
      <c r="AP67" s="25" t="s">
        <v>35</v>
      </c>
      <c r="AQ67" s="8" t="s">
        <v>12</v>
      </c>
      <c r="AR67" s="42" t="s">
        <v>217</v>
      </c>
      <c r="AS67" s="157" t="s">
        <v>218</v>
      </c>
      <c r="AT67" s="126"/>
      <c r="AU67" s="31" t="s">
        <v>612</v>
      </c>
    </row>
    <row r="68" spans="1:49" x14ac:dyDescent="0.15">
      <c r="A68" s="47" t="s">
        <v>74</v>
      </c>
      <c r="B68" s="116" t="s">
        <v>219</v>
      </c>
      <c r="C68" s="38" t="s">
        <v>34</v>
      </c>
      <c r="D68" s="39" t="s">
        <v>220</v>
      </c>
      <c r="E68" s="119"/>
      <c r="F68" s="38">
        <v>0</v>
      </c>
      <c r="G68" s="34">
        <v>33.700000000000003</v>
      </c>
      <c r="H68" s="34">
        <v>249.2</v>
      </c>
      <c r="I68" s="38">
        <v>13</v>
      </c>
      <c r="J68" s="38">
        <v>139</v>
      </c>
      <c r="K68" s="5">
        <v>274.8</v>
      </c>
      <c r="L68" s="40">
        <v>38.700000000000003</v>
      </c>
      <c r="M68" s="40">
        <v>38.700000000000003</v>
      </c>
      <c r="N68" s="40">
        <v>30.4</v>
      </c>
      <c r="O68" s="40">
        <v>7.6</v>
      </c>
      <c r="P68" s="110">
        <v>15.7</v>
      </c>
      <c r="Q68" s="30">
        <v>175.3</v>
      </c>
      <c r="R68" s="40">
        <v>5.4</v>
      </c>
      <c r="S68" s="40">
        <v>9.1</v>
      </c>
      <c r="T68" s="40">
        <f t="shared" si="20"/>
        <v>7.0099928673287533</v>
      </c>
      <c r="U68" s="34">
        <v>0</v>
      </c>
      <c r="V68" s="38">
        <v>4</v>
      </c>
      <c r="W68" s="6">
        <f t="shared" si="26"/>
        <v>1</v>
      </c>
      <c r="X68" s="7">
        <f t="shared" si="23"/>
        <v>1</v>
      </c>
      <c r="Y68" s="7">
        <f t="shared" si="27"/>
        <v>1</v>
      </c>
      <c r="Z68" s="7">
        <f t="shared" si="25"/>
        <v>1</v>
      </c>
      <c r="AA68" s="8">
        <f t="shared" si="28"/>
        <v>1</v>
      </c>
      <c r="AB68" s="8">
        <v>1</v>
      </c>
      <c r="AC68" s="8">
        <v>0</v>
      </c>
      <c r="AD68" s="96">
        <v>1</v>
      </c>
      <c r="AE68" s="8">
        <f>IF(OR(U68="0or100",U68=0,U68=100),0,1)</f>
        <v>0</v>
      </c>
      <c r="AF68" s="2">
        <v>1</v>
      </c>
      <c r="AG68" s="6">
        <f t="shared" si="29"/>
        <v>5</v>
      </c>
      <c r="AH68" s="8" t="s">
        <v>27</v>
      </c>
      <c r="AI68" s="14">
        <f t="shared" si="21"/>
        <v>1088</v>
      </c>
      <c r="AJ68" s="8">
        <v>1077</v>
      </c>
      <c r="AK68" s="8">
        <v>1099</v>
      </c>
      <c r="AL68" s="41" t="s">
        <v>221</v>
      </c>
      <c r="AM68" s="33" t="s">
        <v>219</v>
      </c>
      <c r="AN68" s="33" t="s">
        <v>222</v>
      </c>
      <c r="AO68" s="34">
        <v>2011</v>
      </c>
      <c r="AP68" s="33" t="s">
        <v>223</v>
      </c>
      <c r="AQ68" s="34">
        <v>47</v>
      </c>
      <c r="AR68" s="35"/>
      <c r="AT68" s="142"/>
      <c r="AU68" s="28" t="s">
        <v>611</v>
      </c>
    </row>
    <row r="69" spans="1:49" s="46" customFormat="1" x14ac:dyDescent="0.15">
      <c r="A69" s="47" t="s">
        <v>74</v>
      </c>
      <c r="B69" s="109" t="s">
        <v>224</v>
      </c>
      <c r="C69" s="38" t="s">
        <v>34</v>
      </c>
      <c r="D69" s="39" t="s">
        <v>225</v>
      </c>
      <c r="E69" s="111" t="s">
        <v>226</v>
      </c>
      <c r="F69" s="118">
        <v>100</v>
      </c>
      <c r="G69" s="40">
        <v>47.599997999999999</v>
      </c>
      <c r="H69" s="40">
        <v>271.90000199999997</v>
      </c>
      <c r="I69" s="38">
        <v>31</v>
      </c>
      <c r="J69" s="38">
        <v>374</v>
      </c>
      <c r="K69" s="5">
        <v>283</v>
      </c>
      <c r="L69" s="40">
        <v>35.700000000000003</v>
      </c>
      <c r="M69" s="40">
        <f t="shared" ref="M69:M103" si="30">ABS(L69)</f>
        <v>35.700000000000003</v>
      </c>
      <c r="N69" s="114">
        <v>1000</v>
      </c>
      <c r="O69" s="114">
        <v>0.1</v>
      </c>
      <c r="P69" s="110">
        <v>23.1</v>
      </c>
      <c r="Q69" s="30">
        <v>186.4</v>
      </c>
      <c r="R69" s="40">
        <v>4</v>
      </c>
      <c r="S69" s="40">
        <v>4</v>
      </c>
      <c r="T69" s="40">
        <f t="shared" si="20"/>
        <v>4</v>
      </c>
      <c r="U69" s="34">
        <v>0</v>
      </c>
      <c r="V69" s="38">
        <v>4</v>
      </c>
      <c r="W69" s="6">
        <f t="shared" si="26"/>
        <v>1</v>
      </c>
      <c r="X69" s="7">
        <f t="shared" si="23"/>
        <v>1</v>
      </c>
      <c r="Y69" s="7">
        <f t="shared" si="27"/>
        <v>1</v>
      </c>
      <c r="Z69" s="7">
        <f t="shared" si="25"/>
        <v>1</v>
      </c>
      <c r="AA69" s="8">
        <f t="shared" si="28"/>
        <v>1</v>
      </c>
      <c r="AB69" s="8">
        <v>1</v>
      </c>
      <c r="AC69" s="8">
        <v>1</v>
      </c>
      <c r="AD69" s="96">
        <v>1</v>
      </c>
      <c r="AE69" s="8">
        <f>IF(OR(U69="0or100",U69=0,U69=100),0,1)</f>
        <v>0</v>
      </c>
      <c r="AF69" s="2">
        <v>1</v>
      </c>
      <c r="AG69" s="6">
        <f t="shared" si="29"/>
        <v>6</v>
      </c>
      <c r="AH69" s="8" t="s">
        <v>67</v>
      </c>
      <c r="AI69" s="14">
        <v>1086</v>
      </c>
      <c r="AJ69" s="8">
        <v>1085</v>
      </c>
      <c r="AK69" s="8">
        <v>1087</v>
      </c>
      <c r="AL69" s="41" t="s">
        <v>609</v>
      </c>
      <c r="AM69" s="25" t="s">
        <v>224</v>
      </c>
      <c r="AN69" s="33" t="s">
        <v>227</v>
      </c>
      <c r="AO69" s="8">
        <v>2013</v>
      </c>
      <c r="AP69" s="25" t="s">
        <v>94</v>
      </c>
      <c r="AQ69" s="34">
        <v>50</v>
      </c>
      <c r="AR69" s="35" t="s">
        <v>228</v>
      </c>
      <c r="AS69" s="157"/>
      <c r="AT69" s="142"/>
      <c r="AU69" s="28"/>
      <c r="AW69" s="31" t="s">
        <v>633</v>
      </c>
    </row>
    <row r="70" spans="1:49" s="32" customFormat="1" ht="42" x14ac:dyDescent="0.15">
      <c r="A70" s="100" t="s">
        <v>74</v>
      </c>
      <c r="B70" s="120" t="s">
        <v>229</v>
      </c>
      <c r="C70" s="64" t="s">
        <v>34</v>
      </c>
      <c r="D70" s="83"/>
      <c r="E70" s="61"/>
      <c r="F70" s="2">
        <v>100</v>
      </c>
      <c r="G70" s="101">
        <v>47.5</v>
      </c>
      <c r="H70" s="101">
        <v>269.10000000000002</v>
      </c>
      <c r="I70" s="64">
        <v>50</v>
      </c>
      <c r="J70" s="64">
        <v>378</v>
      </c>
      <c r="K70" s="63">
        <v>282.8</v>
      </c>
      <c r="L70" s="101">
        <v>42.4</v>
      </c>
      <c r="M70" s="101">
        <f t="shared" si="30"/>
        <v>42.4</v>
      </c>
      <c r="N70" s="63">
        <v>39.6</v>
      </c>
      <c r="O70" s="63">
        <v>3.2</v>
      </c>
      <c r="P70" s="102">
        <v>27.1</v>
      </c>
      <c r="Q70" s="103">
        <v>187.8</v>
      </c>
      <c r="R70" s="101">
        <v>3</v>
      </c>
      <c r="S70" s="101">
        <v>3</v>
      </c>
      <c r="T70" s="101">
        <v>3</v>
      </c>
      <c r="U70" s="4">
        <v>0</v>
      </c>
      <c r="V70" s="64">
        <v>4</v>
      </c>
      <c r="W70" s="1">
        <f t="shared" si="26"/>
        <v>1</v>
      </c>
      <c r="X70" s="10">
        <f t="shared" si="23"/>
        <v>1</v>
      </c>
      <c r="Y70" s="10">
        <f t="shared" si="27"/>
        <v>1</v>
      </c>
      <c r="Z70" s="10">
        <f t="shared" si="25"/>
        <v>1</v>
      </c>
      <c r="AA70" s="66">
        <f t="shared" si="28"/>
        <v>1</v>
      </c>
      <c r="AB70" s="2">
        <v>1</v>
      </c>
      <c r="AC70" s="2">
        <v>0</v>
      </c>
      <c r="AD70" s="104">
        <v>1</v>
      </c>
      <c r="AE70" s="2">
        <v>0</v>
      </c>
      <c r="AF70" s="2">
        <v>1</v>
      </c>
      <c r="AG70" s="6">
        <f t="shared" si="29"/>
        <v>5</v>
      </c>
      <c r="AH70" s="121" t="s">
        <v>27</v>
      </c>
      <c r="AI70" s="84">
        <v>1090</v>
      </c>
      <c r="AJ70" s="2">
        <v>1083</v>
      </c>
      <c r="AK70" s="2">
        <v>1092</v>
      </c>
      <c r="AL70" s="62" t="s">
        <v>230</v>
      </c>
      <c r="AM70" s="100" t="s">
        <v>229</v>
      </c>
      <c r="AN70" s="3" t="s">
        <v>231</v>
      </c>
      <c r="AO70" s="2">
        <v>2017</v>
      </c>
      <c r="AP70" s="60" t="s">
        <v>232</v>
      </c>
      <c r="AQ70" s="4">
        <v>9</v>
      </c>
      <c r="AR70" s="12" t="s">
        <v>233</v>
      </c>
      <c r="AS70" s="129" t="s">
        <v>234</v>
      </c>
      <c r="AT70" s="142"/>
      <c r="AU70" s="90" t="s">
        <v>610</v>
      </c>
    </row>
    <row r="71" spans="1:49" s="32" customFormat="1" ht="42" x14ac:dyDescent="0.15">
      <c r="A71" s="100" t="s">
        <v>74</v>
      </c>
      <c r="B71" s="120" t="s">
        <v>235</v>
      </c>
      <c r="C71" s="64" t="s">
        <v>34</v>
      </c>
      <c r="D71" s="83"/>
      <c r="E71" s="61"/>
      <c r="F71" s="2">
        <v>100</v>
      </c>
      <c r="G71" s="101">
        <v>47.7</v>
      </c>
      <c r="H71" s="101">
        <v>274.3</v>
      </c>
      <c r="I71" s="64">
        <v>23</v>
      </c>
      <c r="J71" s="64">
        <v>193</v>
      </c>
      <c r="K71" s="63">
        <v>288.3</v>
      </c>
      <c r="L71" s="101">
        <v>12</v>
      </c>
      <c r="M71" s="101">
        <f t="shared" si="30"/>
        <v>12</v>
      </c>
      <c r="N71" s="63">
        <v>30</v>
      </c>
      <c r="O71" s="63">
        <v>5.6</v>
      </c>
      <c r="P71" s="102">
        <v>17</v>
      </c>
      <c r="Q71" s="103">
        <v>174.7</v>
      </c>
      <c r="R71" s="101">
        <v>4.4000000000000004</v>
      </c>
      <c r="S71" s="101">
        <v>4.4000000000000004</v>
      </c>
      <c r="T71" s="101">
        <v>4.4000000000000004</v>
      </c>
      <c r="U71" s="4">
        <v>0</v>
      </c>
      <c r="V71" s="64">
        <v>4</v>
      </c>
      <c r="W71" s="1">
        <f t="shared" si="26"/>
        <v>1</v>
      </c>
      <c r="X71" s="10">
        <f t="shared" si="23"/>
        <v>1</v>
      </c>
      <c r="Y71" s="10">
        <f t="shared" si="27"/>
        <v>1</v>
      </c>
      <c r="Z71" s="10">
        <f t="shared" si="25"/>
        <v>1</v>
      </c>
      <c r="AA71" s="66">
        <f t="shared" si="28"/>
        <v>1</v>
      </c>
      <c r="AB71" s="2">
        <v>1</v>
      </c>
      <c r="AC71" s="2">
        <v>0</v>
      </c>
      <c r="AD71" s="104">
        <v>1</v>
      </c>
      <c r="AE71" s="2">
        <v>0</v>
      </c>
      <c r="AF71" s="2">
        <v>0</v>
      </c>
      <c r="AG71" s="6">
        <f t="shared" si="29"/>
        <v>4</v>
      </c>
      <c r="AH71" s="121" t="s">
        <v>27</v>
      </c>
      <c r="AI71" s="84">
        <v>1084</v>
      </c>
      <c r="AJ71" s="2">
        <v>1083</v>
      </c>
      <c r="AK71" s="2">
        <v>1085</v>
      </c>
      <c r="AL71" s="62" t="s">
        <v>236</v>
      </c>
      <c r="AM71" s="100" t="s">
        <v>235</v>
      </c>
      <c r="AN71" s="3" t="s">
        <v>231</v>
      </c>
      <c r="AO71" s="2">
        <v>2017</v>
      </c>
      <c r="AP71" s="60" t="s">
        <v>232</v>
      </c>
      <c r="AQ71" s="4">
        <v>9</v>
      </c>
      <c r="AR71" s="12" t="s">
        <v>233</v>
      </c>
      <c r="AS71" s="129" t="s">
        <v>234</v>
      </c>
      <c r="AT71" s="142"/>
      <c r="AU71" s="90" t="s">
        <v>610</v>
      </c>
    </row>
    <row r="72" spans="1:49" s="108" customFormat="1" ht="14" customHeight="1" x14ac:dyDescent="0.15">
      <c r="A72" s="47" t="s">
        <v>74</v>
      </c>
      <c r="B72" s="109" t="s">
        <v>237</v>
      </c>
      <c r="C72" s="38">
        <v>2053</v>
      </c>
      <c r="D72" s="69"/>
      <c r="E72" s="69" t="s">
        <v>58</v>
      </c>
      <c r="F72" s="68">
        <v>100</v>
      </c>
      <c r="G72" s="70">
        <v>47</v>
      </c>
      <c r="H72" s="70">
        <v>271.5</v>
      </c>
      <c r="I72" s="68">
        <v>11</v>
      </c>
      <c r="J72" s="68">
        <v>27</v>
      </c>
      <c r="K72" s="71">
        <v>276.79998799999998</v>
      </c>
      <c r="L72" s="70">
        <v>8.1</v>
      </c>
      <c r="M72" s="70">
        <f t="shared" si="30"/>
        <v>8.1</v>
      </c>
      <c r="N72" s="70">
        <v>35</v>
      </c>
      <c r="O72" s="70">
        <v>7.8</v>
      </c>
      <c r="P72" s="72">
        <v>7.6</v>
      </c>
      <c r="Q72" s="73">
        <v>178.10000600000001</v>
      </c>
      <c r="R72" s="70">
        <v>3.9</v>
      </c>
      <c r="S72" s="70">
        <v>7.8</v>
      </c>
      <c r="T72" s="70">
        <f t="shared" ref="T72:T103" si="31">SQRT(R72*S72)</f>
        <v>5.5154328932550705</v>
      </c>
      <c r="U72" s="82">
        <v>0</v>
      </c>
      <c r="V72" s="68">
        <v>3</v>
      </c>
      <c r="W72" s="74">
        <f t="shared" si="26"/>
        <v>1</v>
      </c>
      <c r="X72" s="75">
        <f t="shared" si="23"/>
        <v>1</v>
      </c>
      <c r="Y72" s="75">
        <f t="shared" si="27"/>
        <v>1</v>
      </c>
      <c r="Z72" s="75">
        <f t="shared" si="25"/>
        <v>1</v>
      </c>
      <c r="AA72" s="66">
        <f t="shared" si="28"/>
        <v>1</v>
      </c>
      <c r="AB72" s="66">
        <v>1</v>
      </c>
      <c r="AC72" s="66">
        <v>0</v>
      </c>
      <c r="AD72" s="76">
        <v>1</v>
      </c>
      <c r="AE72" s="66">
        <f>IF(OR(U72="0or100",U72=0,U72=100),0,1)</f>
        <v>0</v>
      </c>
      <c r="AF72" s="2">
        <v>0</v>
      </c>
      <c r="AG72" s="6">
        <f t="shared" si="29"/>
        <v>4</v>
      </c>
      <c r="AH72" s="66" t="s">
        <v>71</v>
      </c>
      <c r="AI72" s="14">
        <v>1080</v>
      </c>
      <c r="AJ72" s="66">
        <v>1070</v>
      </c>
      <c r="AK72" s="66">
        <v>1084</v>
      </c>
      <c r="AL72" s="77" t="s">
        <v>238</v>
      </c>
      <c r="AM72" s="78" t="s">
        <v>237</v>
      </c>
      <c r="AN72" s="78" t="s">
        <v>239</v>
      </c>
      <c r="AO72" s="66">
        <v>1977</v>
      </c>
      <c r="AP72" s="78" t="s">
        <v>94</v>
      </c>
      <c r="AQ72" s="66" t="s">
        <v>62</v>
      </c>
      <c r="AR72" s="79" t="s">
        <v>240</v>
      </c>
      <c r="AS72" s="148" t="s">
        <v>241</v>
      </c>
      <c r="AT72" s="142"/>
      <c r="AU72" s="162" t="s">
        <v>618</v>
      </c>
      <c r="AW72" s="31" t="s">
        <v>633</v>
      </c>
    </row>
    <row r="73" spans="1:49" s="93" customFormat="1" ht="13" customHeight="1" x14ac:dyDescent="0.15">
      <c r="A73" s="47" t="s">
        <v>74</v>
      </c>
      <c r="B73" s="109" t="s">
        <v>242</v>
      </c>
      <c r="C73" s="38">
        <v>2051</v>
      </c>
      <c r="D73" s="69" t="s">
        <v>243</v>
      </c>
      <c r="E73" s="69" t="s">
        <v>58</v>
      </c>
      <c r="F73" s="68">
        <v>100</v>
      </c>
      <c r="G73" s="70">
        <v>47</v>
      </c>
      <c r="H73" s="70">
        <v>271.5</v>
      </c>
      <c r="I73" s="68">
        <v>20</v>
      </c>
      <c r="J73" s="68">
        <v>85</v>
      </c>
      <c r="K73" s="71">
        <v>272.39999399999999</v>
      </c>
      <c r="L73" s="70">
        <v>1.5</v>
      </c>
      <c r="M73" s="70">
        <f t="shared" si="30"/>
        <v>1.5</v>
      </c>
      <c r="N73" s="70">
        <v>32</v>
      </c>
      <c r="O73" s="70">
        <v>5.9</v>
      </c>
      <c r="P73" s="72">
        <v>2.2000000000000002</v>
      </c>
      <c r="Q73" s="73">
        <v>179</v>
      </c>
      <c r="R73" s="70">
        <v>3</v>
      </c>
      <c r="S73" s="70">
        <v>5.9</v>
      </c>
      <c r="T73" s="70">
        <f t="shared" si="31"/>
        <v>4.2071367935925261</v>
      </c>
      <c r="U73" s="82">
        <v>0</v>
      </c>
      <c r="V73" s="68">
        <v>3</v>
      </c>
      <c r="W73" s="74">
        <f t="shared" si="26"/>
        <v>1</v>
      </c>
      <c r="X73" s="75">
        <f t="shared" si="23"/>
        <v>1</v>
      </c>
      <c r="Y73" s="75">
        <f t="shared" si="27"/>
        <v>1</v>
      </c>
      <c r="Z73" s="75">
        <f t="shared" si="25"/>
        <v>1</v>
      </c>
      <c r="AA73" s="66">
        <f t="shared" si="28"/>
        <v>1</v>
      </c>
      <c r="AB73" s="66">
        <v>1</v>
      </c>
      <c r="AC73" s="66">
        <v>0</v>
      </c>
      <c r="AD73" s="76">
        <v>1</v>
      </c>
      <c r="AE73" s="66">
        <f>IF(OR(U73="0or100",U73=0,U73=100),0,1)</f>
        <v>0</v>
      </c>
      <c r="AF73" s="2">
        <v>0</v>
      </c>
      <c r="AG73" s="6">
        <f t="shared" si="29"/>
        <v>4</v>
      </c>
      <c r="AH73" s="66" t="s">
        <v>71</v>
      </c>
      <c r="AI73" s="14">
        <v>1070</v>
      </c>
      <c r="AJ73" s="66">
        <v>1060</v>
      </c>
      <c r="AK73" s="66">
        <v>1084</v>
      </c>
      <c r="AL73" s="77" t="s">
        <v>244</v>
      </c>
      <c r="AM73" s="78" t="s">
        <v>242</v>
      </c>
      <c r="AN73" s="78" t="s">
        <v>239</v>
      </c>
      <c r="AO73" s="66">
        <v>1977</v>
      </c>
      <c r="AP73" s="78" t="s">
        <v>94</v>
      </c>
      <c r="AQ73" s="66" t="s">
        <v>62</v>
      </c>
      <c r="AR73" s="79" t="s">
        <v>240</v>
      </c>
      <c r="AS73" s="148" t="s">
        <v>241</v>
      </c>
      <c r="AT73" s="142" t="s">
        <v>245</v>
      </c>
      <c r="AU73" s="162" t="s">
        <v>618</v>
      </c>
      <c r="AW73" s="31" t="s">
        <v>633</v>
      </c>
    </row>
    <row r="74" spans="1:49" s="108" customFormat="1" ht="56" x14ac:dyDescent="0.15">
      <c r="A74" s="47" t="s">
        <v>74</v>
      </c>
      <c r="B74" s="109" t="s">
        <v>246</v>
      </c>
      <c r="C74" s="38">
        <v>9165</v>
      </c>
      <c r="D74" s="69" t="s">
        <v>56</v>
      </c>
      <c r="E74" s="69"/>
      <c r="F74" s="68">
        <v>0</v>
      </c>
      <c r="G74" s="70">
        <v>45</v>
      </c>
      <c r="H74" s="70">
        <v>281.40000199999997</v>
      </c>
      <c r="I74" s="68">
        <v>17</v>
      </c>
      <c r="J74" s="68">
        <v>59</v>
      </c>
      <c r="K74" s="71">
        <v>277.5</v>
      </c>
      <c r="L74" s="70">
        <v>-71.800003000000004</v>
      </c>
      <c r="M74" s="70">
        <f t="shared" si="30"/>
        <v>71.800003000000004</v>
      </c>
      <c r="N74" s="70">
        <v>23</v>
      </c>
      <c r="O74" s="70">
        <v>3.8</v>
      </c>
      <c r="P74" s="72">
        <v>-32.599997999999999</v>
      </c>
      <c r="Q74" s="73">
        <v>141.89999399999999</v>
      </c>
      <c r="R74" s="70">
        <v>5.9</v>
      </c>
      <c r="S74" s="70">
        <v>6.7</v>
      </c>
      <c r="T74" s="70">
        <f t="shared" si="31"/>
        <v>6.2872887638472594</v>
      </c>
      <c r="U74" s="68" t="s">
        <v>33</v>
      </c>
      <c r="V74" s="68">
        <v>4</v>
      </c>
      <c r="W74" s="74">
        <f t="shared" si="26"/>
        <v>1</v>
      </c>
      <c r="X74" s="75">
        <f t="shared" si="23"/>
        <v>1</v>
      </c>
      <c r="Y74" s="75">
        <f t="shared" si="27"/>
        <v>1</v>
      </c>
      <c r="Z74" s="75">
        <f t="shared" si="25"/>
        <v>1</v>
      </c>
      <c r="AA74" s="66">
        <f t="shared" si="28"/>
        <v>1</v>
      </c>
      <c r="AB74" s="66">
        <v>1</v>
      </c>
      <c r="AC74" s="66">
        <v>0</v>
      </c>
      <c r="AD74" s="76">
        <v>0</v>
      </c>
      <c r="AE74" s="66">
        <f>IF(OR(U74="0or100",U74=0,U74=100),0,1)</f>
        <v>0</v>
      </c>
      <c r="AF74" s="2">
        <v>0</v>
      </c>
      <c r="AG74" s="6">
        <f t="shared" si="29"/>
        <v>3</v>
      </c>
      <c r="AH74" s="66" t="s">
        <v>71</v>
      </c>
      <c r="AI74" s="14">
        <f t="shared" ref="AI74:AI103" si="32">AVERAGE(AJ74:AK74)</f>
        <v>1015</v>
      </c>
      <c r="AJ74" s="66">
        <v>1000</v>
      </c>
      <c r="AK74" s="82">
        <v>1030</v>
      </c>
      <c r="AL74" s="81" t="s">
        <v>85</v>
      </c>
      <c r="AM74" s="78" t="s">
        <v>246</v>
      </c>
      <c r="AN74" s="78" t="s">
        <v>247</v>
      </c>
      <c r="AO74" s="66">
        <v>2000</v>
      </c>
      <c r="AP74" s="78" t="s">
        <v>32</v>
      </c>
      <c r="AQ74" s="66" t="s">
        <v>248</v>
      </c>
      <c r="AR74" s="79" t="s">
        <v>249</v>
      </c>
      <c r="AS74" s="148" t="s">
        <v>250</v>
      </c>
      <c r="AT74" s="126" t="s">
        <v>251</v>
      </c>
      <c r="AU74" s="161" t="s">
        <v>619</v>
      </c>
    </row>
    <row r="75" spans="1:49" ht="14" customHeight="1" x14ac:dyDescent="0.2">
      <c r="A75" s="47" t="s">
        <v>74</v>
      </c>
      <c r="B75" s="109" t="s">
        <v>252</v>
      </c>
      <c r="C75" s="38">
        <v>5922</v>
      </c>
      <c r="D75" s="39" t="s">
        <v>59</v>
      </c>
      <c r="E75" s="39" t="s">
        <v>61</v>
      </c>
      <c r="F75" s="38">
        <v>100</v>
      </c>
      <c r="G75" s="40">
        <v>63.5</v>
      </c>
      <c r="H75" s="40">
        <v>235</v>
      </c>
      <c r="I75" s="38">
        <v>17</v>
      </c>
      <c r="J75" s="38">
        <v>134</v>
      </c>
      <c r="K75" s="114">
        <v>277.2</v>
      </c>
      <c r="L75" s="114">
        <v>-3.5</v>
      </c>
      <c r="M75" s="40">
        <f t="shared" si="30"/>
        <v>3.5</v>
      </c>
      <c r="N75" s="114">
        <v>1000</v>
      </c>
      <c r="O75" s="114">
        <v>7</v>
      </c>
      <c r="P75" s="110">
        <v>1.6</v>
      </c>
      <c r="Q75" s="30">
        <v>137.800003</v>
      </c>
      <c r="R75" s="40">
        <v>5</v>
      </c>
      <c r="S75" s="40">
        <v>5</v>
      </c>
      <c r="T75" s="40">
        <f t="shared" si="31"/>
        <v>5</v>
      </c>
      <c r="U75" s="38" t="s">
        <v>52</v>
      </c>
      <c r="V75" s="38">
        <v>3</v>
      </c>
      <c r="W75" s="6">
        <f t="shared" si="26"/>
        <v>1</v>
      </c>
      <c r="X75" s="7">
        <f t="shared" si="23"/>
        <v>1</v>
      </c>
      <c r="Y75" s="7">
        <f t="shared" si="27"/>
        <v>1</v>
      </c>
      <c r="Z75" s="7">
        <f t="shared" si="25"/>
        <v>1</v>
      </c>
      <c r="AA75" s="8">
        <f t="shared" si="28"/>
        <v>1</v>
      </c>
      <c r="AB75" s="8">
        <v>1</v>
      </c>
      <c r="AC75" s="8">
        <v>0</v>
      </c>
      <c r="AD75" s="96">
        <v>1</v>
      </c>
      <c r="AE75" s="8">
        <f>IF(OR(U75="0or100",U75=0,U75=100),0,1)</f>
        <v>1</v>
      </c>
      <c r="AF75" s="2">
        <v>1</v>
      </c>
      <c r="AG75" s="6">
        <f t="shared" si="29"/>
        <v>6</v>
      </c>
      <c r="AH75" s="37" t="s">
        <v>71</v>
      </c>
      <c r="AI75" s="14">
        <f t="shared" si="32"/>
        <v>778</v>
      </c>
      <c r="AJ75" s="38">
        <v>776</v>
      </c>
      <c r="AK75" s="34">
        <v>780</v>
      </c>
      <c r="AL75" s="33" t="s">
        <v>253</v>
      </c>
      <c r="AM75" s="47" t="s">
        <v>252</v>
      </c>
      <c r="AN75" s="25" t="s">
        <v>254</v>
      </c>
      <c r="AO75" s="8">
        <v>1989</v>
      </c>
      <c r="AP75" s="25" t="s">
        <v>94</v>
      </c>
      <c r="AQ75" s="8" t="s">
        <v>255</v>
      </c>
      <c r="AR75" s="42" t="s">
        <v>256</v>
      </c>
      <c r="AS75" s="153" t="s">
        <v>257</v>
      </c>
      <c r="AT75" s="142"/>
      <c r="AU75" s="28" t="s">
        <v>620</v>
      </c>
      <c r="AV75" s="131"/>
    </row>
    <row r="76" spans="1:49" ht="14" customHeight="1" x14ac:dyDescent="0.2">
      <c r="A76" s="47" t="s">
        <v>74</v>
      </c>
      <c r="B76" s="122" t="s">
        <v>643</v>
      </c>
      <c r="C76" s="38" t="s">
        <v>66</v>
      </c>
      <c r="D76" s="39" t="s">
        <v>259</v>
      </c>
      <c r="E76" s="39"/>
      <c r="F76" s="38">
        <v>0</v>
      </c>
      <c r="G76" s="40">
        <v>44.8</v>
      </c>
      <c r="H76" s="40">
        <v>248.7</v>
      </c>
      <c r="I76" s="38">
        <v>14</v>
      </c>
      <c r="J76" s="38">
        <v>228</v>
      </c>
      <c r="K76" s="5">
        <v>300.8</v>
      </c>
      <c r="L76" s="40">
        <v>-18.8</v>
      </c>
      <c r="M76" s="40">
        <f t="shared" si="30"/>
        <v>18.8</v>
      </c>
      <c r="N76" s="114">
        <v>1000</v>
      </c>
      <c r="O76" s="114">
        <v>0.1</v>
      </c>
      <c r="P76" s="110">
        <v>13.9</v>
      </c>
      <c r="Q76" s="30">
        <v>129.4</v>
      </c>
      <c r="R76" s="40">
        <v>8.1999999999999993</v>
      </c>
      <c r="S76" s="40">
        <v>8.1999999999999993</v>
      </c>
      <c r="T76" s="40">
        <f t="shared" si="31"/>
        <v>8.1999999999999993</v>
      </c>
      <c r="U76" s="38" t="s">
        <v>149</v>
      </c>
      <c r="V76" s="38">
        <v>4</v>
      </c>
      <c r="W76" s="6">
        <f t="shared" si="26"/>
        <v>1</v>
      </c>
      <c r="X76" s="7">
        <f t="shared" si="23"/>
        <v>1</v>
      </c>
      <c r="Y76" s="7">
        <f t="shared" si="27"/>
        <v>1</v>
      </c>
      <c r="Z76" s="7">
        <f t="shared" si="25"/>
        <v>1</v>
      </c>
      <c r="AA76" s="8">
        <f t="shared" si="28"/>
        <v>1</v>
      </c>
      <c r="AB76" s="8">
        <v>1</v>
      </c>
      <c r="AC76" s="8">
        <v>0</v>
      </c>
      <c r="AD76" s="96">
        <v>1</v>
      </c>
      <c r="AE76" s="8">
        <v>0</v>
      </c>
      <c r="AF76" s="2">
        <v>0</v>
      </c>
      <c r="AG76" s="6">
        <f t="shared" si="29"/>
        <v>4</v>
      </c>
      <c r="AH76" s="37" t="s">
        <v>71</v>
      </c>
      <c r="AI76" s="14">
        <f t="shared" si="32"/>
        <v>778</v>
      </c>
      <c r="AJ76" s="38">
        <v>776</v>
      </c>
      <c r="AK76" s="34">
        <v>780</v>
      </c>
      <c r="AL76" s="33" t="s">
        <v>253</v>
      </c>
      <c r="AM76" s="44" t="s">
        <v>258</v>
      </c>
      <c r="AN76" s="16" t="s">
        <v>49</v>
      </c>
      <c r="AO76" s="37">
        <v>2009</v>
      </c>
      <c r="AP76" s="16"/>
      <c r="AQ76" s="37"/>
      <c r="AR76" s="16"/>
      <c r="AS76" s="158"/>
      <c r="AT76" s="142" t="s">
        <v>260</v>
      </c>
      <c r="AU76" s="28" t="s">
        <v>645</v>
      </c>
      <c r="AV76" s="131"/>
    </row>
    <row r="77" spans="1:49" ht="14" customHeight="1" x14ac:dyDescent="0.2">
      <c r="A77" s="47" t="s">
        <v>74</v>
      </c>
      <c r="B77" s="112" t="s">
        <v>261</v>
      </c>
      <c r="C77" s="23" t="s">
        <v>121</v>
      </c>
      <c r="D77" s="41"/>
      <c r="E77" s="41"/>
      <c r="F77" s="38">
        <v>100</v>
      </c>
      <c r="G77" s="5">
        <v>40.75</v>
      </c>
      <c r="H77" s="5">
        <v>250.7</v>
      </c>
      <c r="I77" s="23">
        <v>9</v>
      </c>
      <c r="J77" s="23">
        <v>80</v>
      </c>
      <c r="K77" s="5">
        <v>270.17</v>
      </c>
      <c r="L77" s="5">
        <v>1.97</v>
      </c>
      <c r="M77" s="5">
        <f t="shared" si="30"/>
        <v>1.97</v>
      </c>
      <c r="N77" s="5">
        <v>61.5</v>
      </c>
      <c r="O77" s="5">
        <v>6.62</v>
      </c>
      <c r="P77" s="30">
        <v>0.8</v>
      </c>
      <c r="Q77" s="30">
        <v>161.30000000000001</v>
      </c>
      <c r="R77" s="5">
        <f>2*O77/(1+3*(COS(RADIANS(L77)))^2)</f>
        <v>3.3129362320934184</v>
      </c>
      <c r="S77" s="5">
        <f>O77*SIN(RADIANS(DEGREES(ATAN(2/TAN(RADIANS(ABS(L77)))))))/COS(RADIANS(L77))</f>
        <v>6.6229355812144854</v>
      </c>
      <c r="T77" s="5">
        <f t="shared" si="31"/>
        <v>4.684160890685348</v>
      </c>
      <c r="U77" s="23" t="s">
        <v>262</v>
      </c>
      <c r="V77" s="23">
        <v>4</v>
      </c>
      <c r="W77" s="6">
        <f t="shared" si="26"/>
        <v>1</v>
      </c>
      <c r="X77" s="7">
        <f t="shared" si="23"/>
        <v>1</v>
      </c>
      <c r="Y77" s="7">
        <f t="shared" si="27"/>
        <v>1</v>
      </c>
      <c r="Z77" s="7">
        <f t="shared" si="25"/>
        <v>1</v>
      </c>
      <c r="AA77" s="8">
        <f t="shared" si="28"/>
        <v>1</v>
      </c>
      <c r="AB77" s="8">
        <v>1</v>
      </c>
      <c r="AC77" s="8">
        <v>0</v>
      </c>
      <c r="AD77" s="8">
        <v>1</v>
      </c>
      <c r="AE77" s="8">
        <f>IF(OR(U77="0or100",U77=0,U77=100),0,1)</f>
        <v>1</v>
      </c>
      <c r="AF77" s="2">
        <v>0</v>
      </c>
      <c r="AG77" s="6">
        <f t="shared" si="29"/>
        <v>5</v>
      </c>
      <c r="AH77" s="37" t="s">
        <v>8</v>
      </c>
      <c r="AI77" s="14">
        <f t="shared" si="32"/>
        <v>775</v>
      </c>
      <c r="AJ77" s="23">
        <v>750</v>
      </c>
      <c r="AK77" s="34">
        <v>800</v>
      </c>
      <c r="AL77" s="33" t="s">
        <v>123</v>
      </c>
      <c r="AM77" s="41" t="s">
        <v>261</v>
      </c>
      <c r="AN77" s="31" t="s">
        <v>263</v>
      </c>
      <c r="AO77" s="8">
        <v>2006</v>
      </c>
      <c r="AP77" s="31" t="s">
        <v>1</v>
      </c>
      <c r="AQ77" s="23">
        <v>147</v>
      </c>
      <c r="AR77" s="41" t="s">
        <v>264</v>
      </c>
      <c r="AS77" s="146" t="s">
        <v>265</v>
      </c>
      <c r="AT77" s="126" t="s">
        <v>245</v>
      </c>
      <c r="AU77" s="31" t="s">
        <v>621</v>
      </c>
      <c r="AV77" s="131"/>
    </row>
    <row r="78" spans="1:49" ht="14" customHeight="1" x14ac:dyDescent="0.2">
      <c r="A78" s="47" t="s">
        <v>74</v>
      </c>
      <c r="B78" s="117" t="s">
        <v>266</v>
      </c>
      <c r="C78" s="38" t="s">
        <v>66</v>
      </c>
      <c r="D78" s="39" t="s">
        <v>59</v>
      </c>
      <c r="E78" s="39" t="s">
        <v>28</v>
      </c>
      <c r="F78" s="38">
        <v>0</v>
      </c>
      <c r="G78" s="101">
        <v>73</v>
      </c>
      <c r="H78" s="101">
        <f>360-84.6</f>
        <v>275.39999999999998</v>
      </c>
      <c r="I78" s="38">
        <v>56</v>
      </c>
      <c r="J78" s="114">
        <v>1000</v>
      </c>
      <c r="K78" s="5">
        <v>289.10000000000002</v>
      </c>
      <c r="L78" s="40">
        <v>0.6</v>
      </c>
      <c r="M78" s="40">
        <f t="shared" si="30"/>
        <v>0.6</v>
      </c>
      <c r="N78" s="114">
        <v>1000</v>
      </c>
      <c r="O78" s="114">
        <v>0.1</v>
      </c>
      <c r="P78" s="110">
        <v>6.7</v>
      </c>
      <c r="Q78" s="30">
        <v>162.1</v>
      </c>
      <c r="R78" s="40">
        <v>3</v>
      </c>
      <c r="S78" s="40">
        <v>3</v>
      </c>
      <c r="T78" s="40">
        <f t="shared" si="31"/>
        <v>3</v>
      </c>
      <c r="U78" s="38" t="s">
        <v>13</v>
      </c>
      <c r="V78" s="38">
        <v>4</v>
      </c>
      <c r="W78" s="6">
        <f t="shared" si="26"/>
        <v>1</v>
      </c>
      <c r="X78" s="7">
        <f t="shared" si="23"/>
        <v>1</v>
      </c>
      <c r="Y78" s="7">
        <f t="shared" si="27"/>
        <v>1</v>
      </c>
      <c r="Z78" s="7">
        <f t="shared" si="25"/>
        <v>1</v>
      </c>
      <c r="AA78" s="8">
        <f t="shared" si="28"/>
        <v>1</v>
      </c>
      <c r="AB78" s="8">
        <v>1</v>
      </c>
      <c r="AC78" s="8">
        <v>1</v>
      </c>
      <c r="AD78" s="96">
        <v>1</v>
      </c>
      <c r="AE78" s="8">
        <v>1</v>
      </c>
      <c r="AF78" s="2">
        <v>0</v>
      </c>
      <c r="AG78" s="6">
        <f t="shared" si="29"/>
        <v>6</v>
      </c>
      <c r="AH78" s="37" t="s">
        <v>27</v>
      </c>
      <c r="AI78" s="14">
        <f t="shared" si="32"/>
        <v>724</v>
      </c>
      <c r="AJ78" s="38">
        <v>721</v>
      </c>
      <c r="AK78" s="34">
        <v>727</v>
      </c>
      <c r="AL78" s="33" t="s">
        <v>267</v>
      </c>
      <c r="AM78" s="25" t="s">
        <v>266</v>
      </c>
      <c r="AN78" s="25" t="s">
        <v>268</v>
      </c>
      <c r="AO78" s="8">
        <v>2009</v>
      </c>
      <c r="AP78" s="25" t="s">
        <v>94</v>
      </c>
      <c r="AQ78" s="8">
        <v>46</v>
      </c>
      <c r="AR78" s="42" t="s">
        <v>269</v>
      </c>
      <c r="AS78" s="154" t="s">
        <v>270</v>
      </c>
      <c r="AT78" s="126" t="s">
        <v>245</v>
      </c>
      <c r="AU78" s="28" t="s">
        <v>622</v>
      </c>
      <c r="AV78" s="131"/>
    </row>
    <row r="79" spans="1:49" ht="14" customHeight="1" x14ac:dyDescent="0.2">
      <c r="A79" s="47" t="s">
        <v>74</v>
      </c>
      <c r="B79" s="109" t="s">
        <v>271</v>
      </c>
      <c r="C79" s="38" t="s">
        <v>34</v>
      </c>
      <c r="D79" s="39" t="s">
        <v>272</v>
      </c>
      <c r="E79" s="39" t="s">
        <v>28</v>
      </c>
      <c r="F79" s="38">
        <v>0</v>
      </c>
      <c r="G79" s="40">
        <v>53.7</v>
      </c>
      <c r="H79" s="40">
        <v>303.3</v>
      </c>
      <c r="I79" s="38">
        <v>5</v>
      </c>
      <c r="J79" s="38">
        <v>92</v>
      </c>
      <c r="K79" s="5">
        <v>110.3</v>
      </c>
      <c r="L79" s="40">
        <v>56.8</v>
      </c>
      <c r="M79" s="40">
        <f t="shared" si="30"/>
        <v>56.8</v>
      </c>
      <c r="N79" s="114">
        <v>1000</v>
      </c>
      <c r="O79" s="40">
        <v>14.1</v>
      </c>
      <c r="P79" s="110">
        <v>19</v>
      </c>
      <c r="Q79" s="30">
        <v>355.3</v>
      </c>
      <c r="R79" s="40">
        <v>14.8</v>
      </c>
      <c r="S79" s="40">
        <v>20.5</v>
      </c>
      <c r="T79" s="40">
        <f t="shared" si="31"/>
        <v>17.418381095842403</v>
      </c>
      <c r="U79" s="38" t="s">
        <v>39</v>
      </c>
      <c r="V79" s="38">
        <v>4</v>
      </c>
      <c r="W79" s="6">
        <f t="shared" si="26"/>
        <v>1</v>
      </c>
      <c r="X79" s="7">
        <f t="shared" si="23"/>
        <v>1</v>
      </c>
      <c r="Y79" s="7">
        <f t="shared" si="27"/>
        <v>1</v>
      </c>
      <c r="Z79" s="7">
        <f t="shared" si="25"/>
        <v>1</v>
      </c>
      <c r="AA79" s="8">
        <f t="shared" si="28"/>
        <v>1</v>
      </c>
      <c r="AB79" s="8">
        <v>1</v>
      </c>
      <c r="AC79" s="8">
        <v>1</v>
      </c>
      <c r="AD79" s="96">
        <v>1</v>
      </c>
      <c r="AE79" s="8">
        <f t="shared" ref="AE79:AE84" si="33">IF(OR(U79="0or100",U79=0,U79=100),0,1)</f>
        <v>1</v>
      </c>
      <c r="AF79" s="2">
        <v>1</v>
      </c>
      <c r="AG79" s="6">
        <f t="shared" si="29"/>
        <v>7</v>
      </c>
      <c r="AH79" s="37" t="s">
        <v>8</v>
      </c>
      <c r="AI79" s="14">
        <f t="shared" si="32"/>
        <v>615</v>
      </c>
      <c r="AJ79" s="38">
        <v>613</v>
      </c>
      <c r="AK79" s="34">
        <v>617</v>
      </c>
      <c r="AL79" s="33" t="s">
        <v>64</v>
      </c>
      <c r="AM79" s="47" t="s">
        <v>271</v>
      </c>
      <c r="AN79" s="25" t="s">
        <v>273</v>
      </c>
      <c r="AO79" s="8">
        <v>1992</v>
      </c>
      <c r="AP79" s="25" t="s">
        <v>94</v>
      </c>
      <c r="AQ79" s="8" t="s">
        <v>274</v>
      </c>
      <c r="AR79" s="42" t="s">
        <v>275</v>
      </c>
      <c r="AS79" s="153" t="s">
        <v>276</v>
      </c>
      <c r="AT79" s="142"/>
      <c r="AU79" s="28" t="s">
        <v>623</v>
      </c>
      <c r="AV79" s="131"/>
    </row>
    <row r="80" spans="1:49" ht="14" customHeight="1" x14ac:dyDescent="0.2">
      <c r="A80" s="47" t="s">
        <v>74</v>
      </c>
      <c r="B80" s="109" t="s">
        <v>277</v>
      </c>
      <c r="C80" s="38" t="s">
        <v>34</v>
      </c>
      <c r="D80" s="39" t="s">
        <v>278</v>
      </c>
      <c r="E80" s="39"/>
      <c r="F80" s="38">
        <v>0</v>
      </c>
      <c r="G80" s="34">
        <v>50.8</v>
      </c>
      <c r="H80" s="34">
        <v>301</v>
      </c>
      <c r="I80" s="38">
        <v>8</v>
      </c>
      <c r="J80" s="38">
        <v>87</v>
      </c>
      <c r="K80" s="5">
        <v>98.6</v>
      </c>
      <c r="L80" s="40">
        <v>78</v>
      </c>
      <c r="M80" s="40">
        <f t="shared" si="30"/>
        <v>78</v>
      </c>
      <c r="N80" s="5">
        <v>71.099999999999994</v>
      </c>
      <c r="O80" s="40">
        <v>6.8</v>
      </c>
      <c r="P80" s="110">
        <v>42.6</v>
      </c>
      <c r="Q80" s="30">
        <v>332.7</v>
      </c>
      <c r="R80" s="40">
        <v>11.7</v>
      </c>
      <c r="S80" s="40">
        <v>12.4</v>
      </c>
      <c r="T80" s="40">
        <f t="shared" si="31"/>
        <v>12.044915939930839</v>
      </c>
      <c r="U80" s="34" t="s">
        <v>33</v>
      </c>
      <c r="V80" s="38">
        <v>4</v>
      </c>
      <c r="W80" s="6">
        <f t="shared" si="26"/>
        <v>1</v>
      </c>
      <c r="X80" s="7">
        <f t="shared" si="23"/>
        <v>1</v>
      </c>
      <c r="Y80" s="7">
        <f t="shared" si="27"/>
        <v>1</v>
      </c>
      <c r="Z80" s="7">
        <f t="shared" si="25"/>
        <v>1</v>
      </c>
      <c r="AA80" s="8">
        <f t="shared" si="28"/>
        <v>1</v>
      </c>
      <c r="AB80" s="8">
        <v>1</v>
      </c>
      <c r="AC80" s="8">
        <v>0</v>
      </c>
      <c r="AD80" s="96">
        <v>0</v>
      </c>
      <c r="AE80" s="8">
        <f t="shared" si="33"/>
        <v>0</v>
      </c>
      <c r="AF80" s="2">
        <v>1</v>
      </c>
      <c r="AG80" s="6">
        <f t="shared" si="29"/>
        <v>4</v>
      </c>
      <c r="AH80" s="37" t="s">
        <v>8</v>
      </c>
      <c r="AI80" s="14">
        <f t="shared" si="32"/>
        <v>583</v>
      </c>
      <c r="AJ80" s="38">
        <v>581</v>
      </c>
      <c r="AK80" s="34">
        <v>585</v>
      </c>
      <c r="AL80" s="33" t="s">
        <v>279</v>
      </c>
      <c r="AM80" s="47" t="s">
        <v>280</v>
      </c>
      <c r="AN80" s="94" t="s">
        <v>281</v>
      </c>
      <c r="AO80" s="36">
        <v>2011</v>
      </c>
      <c r="AP80" s="25" t="s">
        <v>1</v>
      </c>
      <c r="AQ80" s="36">
        <v>187</v>
      </c>
      <c r="AR80" s="89" t="s">
        <v>282</v>
      </c>
      <c r="AS80" s="153" t="s">
        <v>283</v>
      </c>
      <c r="AT80" s="144"/>
      <c r="AU80" s="43" t="s">
        <v>624</v>
      </c>
      <c r="AV80" s="131"/>
    </row>
    <row r="81" spans="1:49" ht="14" customHeight="1" x14ac:dyDescent="0.2">
      <c r="A81" s="47" t="s">
        <v>74</v>
      </c>
      <c r="B81" s="109" t="s">
        <v>277</v>
      </c>
      <c r="C81" s="38" t="s">
        <v>34</v>
      </c>
      <c r="D81" s="39" t="s">
        <v>284</v>
      </c>
      <c r="E81" s="39"/>
      <c r="F81" s="38">
        <v>0</v>
      </c>
      <c r="G81" s="34">
        <v>50.8</v>
      </c>
      <c r="H81" s="34">
        <v>301</v>
      </c>
      <c r="I81" s="38">
        <v>6</v>
      </c>
      <c r="J81" s="38">
        <v>56</v>
      </c>
      <c r="K81" s="5">
        <v>163.1</v>
      </c>
      <c r="L81" s="40">
        <v>6</v>
      </c>
      <c r="M81" s="40">
        <f t="shared" si="30"/>
        <v>6</v>
      </c>
      <c r="N81" s="5">
        <v>10.5</v>
      </c>
      <c r="O81" s="40">
        <v>21.7</v>
      </c>
      <c r="P81" s="110">
        <v>-34.200000000000003</v>
      </c>
      <c r="Q81" s="30">
        <v>321.5</v>
      </c>
      <c r="R81" s="40">
        <v>10.9</v>
      </c>
      <c r="S81" s="40">
        <v>21.8</v>
      </c>
      <c r="T81" s="40">
        <f t="shared" si="31"/>
        <v>15.414927829866736</v>
      </c>
      <c r="U81" s="38" t="s">
        <v>72</v>
      </c>
      <c r="V81" s="38">
        <v>4</v>
      </c>
      <c r="W81" s="6">
        <f t="shared" si="26"/>
        <v>1</v>
      </c>
      <c r="X81" s="7">
        <f t="shared" si="23"/>
        <v>1</v>
      </c>
      <c r="Y81" s="7">
        <f t="shared" si="27"/>
        <v>1</v>
      </c>
      <c r="Z81" s="7">
        <f t="shared" si="25"/>
        <v>0</v>
      </c>
      <c r="AA81" s="8">
        <f t="shared" si="28"/>
        <v>0</v>
      </c>
      <c r="AB81" s="8">
        <v>1</v>
      </c>
      <c r="AC81" s="8">
        <v>0</v>
      </c>
      <c r="AD81" s="96">
        <v>0</v>
      </c>
      <c r="AE81" s="8">
        <f t="shared" si="33"/>
        <v>1</v>
      </c>
      <c r="AF81" s="2">
        <v>0</v>
      </c>
      <c r="AG81" s="6">
        <f t="shared" si="29"/>
        <v>3</v>
      </c>
      <c r="AH81" s="37" t="s">
        <v>8</v>
      </c>
      <c r="AI81" s="14">
        <f t="shared" si="32"/>
        <v>583</v>
      </c>
      <c r="AJ81" s="38">
        <v>581</v>
      </c>
      <c r="AK81" s="34">
        <v>585</v>
      </c>
      <c r="AL81" s="33" t="s">
        <v>279</v>
      </c>
      <c r="AM81" s="47" t="s">
        <v>285</v>
      </c>
      <c r="AN81" s="94" t="s">
        <v>281</v>
      </c>
      <c r="AO81" s="36">
        <v>2011</v>
      </c>
      <c r="AP81" s="25" t="s">
        <v>1</v>
      </c>
      <c r="AQ81" s="36">
        <v>187</v>
      </c>
      <c r="AR81" s="89" t="s">
        <v>282</v>
      </c>
      <c r="AS81" s="153" t="s">
        <v>283</v>
      </c>
      <c r="AT81" s="141" t="s">
        <v>286</v>
      </c>
      <c r="AU81" s="43" t="s">
        <v>624</v>
      </c>
      <c r="AV81" s="131"/>
    </row>
    <row r="82" spans="1:49" ht="14" customHeight="1" x14ac:dyDescent="0.2">
      <c r="A82" s="47" t="s">
        <v>74</v>
      </c>
      <c r="B82" s="109" t="s">
        <v>287</v>
      </c>
      <c r="C82" s="38">
        <v>6458</v>
      </c>
      <c r="D82" s="39"/>
      <c r="E82" s="39" t="s">
        <v>55</v>
      </c>
      <c r="F82" s="38">
        <v>0</v>
      </c>
      <c r="G82" s="40">
        <v>46.200001</v>
      </c>
      <c r="H82" s="40">
        <v>280.59999800000003</v>
      </c>
      <c r="I82" s="38">
        <v>26</v>
      </c>
      <c r="J82" s="38">
        <v>205</v>
      </c>
      <c r="K82" s="5">
        <v>82.199996999999996</v>
      </c>
      <c r="L82" s="40">
        <v>82.699996999999996</v>
      </c>
      <c r="M82" s="40">
        <f t="shared" si="30"/>
        <v>82.699996999999996</v>
      </c>
      <c r="N82" s="40">
        <v>83</v>
      </c>
      <c r="O82" s="40">
        <v>3.1</v>
      </c>
      <c r="P82" s="110">
        <v>46.3</v>
      </c>
      <c r="Q82" s="30">
        <v>301.39999999999998</v>
      </c>
      <c r="R82" s="40">
        <v>5.9</v>
      </c>
      <c r="S82" s="40">
        <v>6.1</v>
      </c>
      <c r="T82" s="40">
        <f t="shared" si="31"/>
        <v>5.9991666087882578</v>
      </c>
      <c r="U82" s="38" t="s">
        <v>36</v>
      </c>
      <c r="V82" s="38">
        <v>4</v>
      </c>
      <c r="W82" s="6">
        <f t="shared" si="26"/>
        <v>1</v>
      </c>
      <c r="X82" s="7">
        <f t="shared" si="23"/>
        <v>1</v>
      </c>
      <c r="Y82" s="7">
        <f t="shared" si="27"/>
        <v>1</v>
      </c>
      <c r="Z82" s="7">
        <f t="shared" si="25"/>
        <v>1</v>
      </c>
      <c r="AA82" s="8">
        <f t="shared" si="28"/>
        <v>1</v>
      </c>
      <c r="AB82" s="8">
        <v>1</v>
      </c>
      <c r="AC82" s="8">
        <v>1</v>
      </c>
      <c r="AD82" s="96">
        <v>0</v>
      </c>
      <c r="AE82" s="8">
        <f t="shared" si="33"/>
        <v>1</v>
      </c>
      <c r="AF82" s="2">
        <v>1</v>
      </c>
      <c r="AG82" s="6">
        <f t="shared" si="29"/>
        <v>6</v>
      </c>
      <c r="AH82" s="37" t="s">
        <v>71</v>
      </c>
      <c r="AI82" s="14">
        <f t="shared" si="32"/>
        <v>575</v>
      </c>
      <c r="AJ82" s="38">
        <v>570</v>
      </c>
      <c r="AK82" s="34">
        <v>580</v>
      </c>
      <c r="AL82" s="33" t="s">
        <v>64</v>
      </c>
      <c r="AM82" s="47" t="s">
        <v>287</v>
      </c>
      <c r="AN82" s="25" t="s">
        <v>288</v>
      </c>
      <c r="AO82" s="8">
        <v>1991</v>
      </c>
      <c r="AP82" s="25" t="s">
        <v>94</v>
      </c>
      <c r="AQ82" s="8" t="s">
        <v>289</v>
      </c>
      <c r="AR82" s="42" t="s">
        <v>290</v>
      </c>
      <c r="AS82" s="153" t="s">
        <v>291</v>
      </c>
      <c r="AT82" s="141"/>
      <c r="AU82" s="32" t="s">
        <v>625</v>
      </c>
      <c r="AV82" s="131"/>
    </row>
    <row r="83" spans="1:49" ht="14" customHeight="1" x14ac:dyDescent="0.2">
      <c r="A83" s="47" t="s">
        <v>74</v>
      </c>
      <c r="B83" s="109" t="s">
        <v>292</v>
      </c>
      <c r="C83" s="38">
        <v>7474</v>
      </c>
      <c r="D83" s="39" t="s">
        <v>56</v>
      </c>
      <c r="E83" s="39" t="s">
        <v>293</v>
      </c>
      <c r="F83" s="38">
        <v>100</v>
      </c>
      <c r="G83" s="40">
        <v>38.5</v>
      </c>
      <c r="H83" s="40">
        <v>281.800003</v>
      </c>
      <c r="I83" s="38">
        <v>6</v>
      </c>
      <c r="J83" s="38">
        <v>28</v>
      </c>
      <c r="K83" s="5">
        <v>68</v>
      </c>
      <c r="L83" s="40">
        <v>84</v>
      </c>
      <c r="M83" s="40">
        <f t="shared" si="30"/>
        <v>84</v>
      </c>
      <c r="N83" s="40">
        <v>59</v>
      </c>
      <c r="O83" s="40">
        <v>9</v>
      </c>
      <c r="P83" s="110">
        <v>42</v>
      </c>
      <c r="Q83" s="30">
        <v>296.7</v>
      </c>
      <c r="R83" s="40">
        <v>17.399999999999999</v>
      </c>
      <c r="S83" s="40">
        <v>17.700001</v>
      </c>
      <c r="T83" s="40">
        <f t="shared" si="31"/>
        <v>17.549359458396196</v>
      </c>
      <c r="U83" s="38">
        <v>50</v>
      </c>
      <c r="V83" s="38">
        <v>4</v>
      </c>
      <c r="W83" s="6">
        <f t="shared" si="26"/>
        <v>1</v>
      </c>
      <c r="X83" s="7">
        <f t="shared" si="23"/>
        <v>1</v>
      </c>
      <c r="Y83" s="7">
        <f t="shared" si="27"/>
        <v>1</v>
      </c>
      <c r="Z83" s="7">
        <f t="shared" si="25"/>
        <v>1</v>
      </c>
      <c r="AA83" s="8">
        <f t="shared" si="28"/>
        <v>1</v>
      </c>
      <c r="AB83" s="8">
        <v>1</v>
      </c>
      <c r="AC83" s="8">
        <v>1</v>
      </c>
      <c r="AD83" s="96">
        <v>1</v>
      </c>
      <c r="AE83" s="8">
        <f t="shared" si="33"/>
        <v>1</v>
      </c>
      <c r="AF83" s="2">
        <v>1</v>
      </c>
      <c r="AG83" s="6">
        <f t="shared" si="29"/>
        <v>7</v>
      </c>
      <c r="AH83" s="37" t="s">
        <v>8</v>
      </c>
      <c r="AI83" s="14">
        <f t="shared" si="32"/>
        <v>572</v>
      </c>
      <c r="AJ83" s="38">
        <v>567</v>
      </c>
      <c r="AK83" s="38">
        <v>577</v>
      </c>
      <c r="AL83" s="31" t="s">
        <v>294</v>
      </c>
      <c r="AM83" s="47" t="s">
        <v>292</v>
      </c>
      <c r="AN83" s="25" t="s">
        <v>295</v>
      </c>
      <c r="AO83" s="8">
        <v>1994</v>
      </c>
      <c r="AP83" s="25" t="s">
        <v>32</v>
      </c>
      <c r="AQ83" s="8" t="s">
        <v>296</v>
      </c>
      <c r="AR83" s="42" t="s">
        <v>297</v>
      </c>
      <c r="AS83" s="153" t="s">
        <v>298</v>
      </c>
      <c r="AT83" s="141"/>
      <c r="AU83" s="32" t="s">
        <v>626</v>
      </c>
      <c r="AV83" s="131"/>
    </row>
    <row r="84" spans="1:49" ht="14" customHeight="1" x14ac:dyDescent="0.2">
      <c r="A84" s="47" t="s">
        <v>74</v>
      </c>
      <c r="B84" s="109" t="s">
        <v>299</v>
      </c>
      <c r="C84" s="38">
        <v>1752</v>
      </c>
      <c r="D84" s="39" t="s">
        <v>56</v>
      </c>
      <c r="E84" s="39" t="s">
        <v>41</v>
      </c>
      <c r="F84" s="38">
        <v>0</v>
      </c>
      <c r="G84" s="40">
        <v>50.200001</v>
      </c>
      <c r="H84" s="40">
        <v>293.5</v>
      </c>
      <c r="I84" s="38">
        <v>10</v>
      </c>
      <c r="J84" s="38">
        <v>51</v>
      </c>
      <c r="K84" s="5">
        <v>333</v>
      </c>
      <c r="L84" s="40">
        <v>-29</v>
      </c>
      <c r="M84" s="40">
        <f t="shared" si="30"/>
        <v>29</v>
      </c>
      <c r="N84" s="40">
        <v>34</v>
      </c>
      <c r="O84" s="40">
        <v>8</v>
      </c>
      <c r="P84" s="110">
        <v>-20</v>
      </c>
      <c r="Q84" s="30">
        <v>321</v>
      </c>
      <c r="R84" s="40">
        <v>5</v>
      </c>
      <c r="S84" s="40">
        <v>9</v>
      </c>
      <c r="T84" s="40">
        <f t="shared" si="31"/>
        <v>6.7082039324993694</v>
      </c>
      <c r="U84" s="34" t="s">
        <v>33</v>
      </c>
      <c r="V84" s="38">
        <v>4</v>
      </c>
      <c r="W84" s="6">
        <f t="shared" si="26"/>
        <v>1</v>
      </c>
      <c r="X84" s="7">
        <f t="shared" si="23"/>
        <v>1</v>
      </c>
      <c r="Y84" s="7">
        <f t="shared" si="27"/>
        <v>1</v>
      </c>
      <c r="Z84" s="7">
        <f t="shared" si="25"/>
        <v>1</v>
      </c>
      <c r="AA84" s="8">
        <f t="shared" si="28"/>
        <v>1</v>
      </c>
      <c r="AB84" s="8">
        <v>1</v>
      </c>
      <c r="AC84" s="8">
        <v>1</v>
      </c>
      <c r="AD84" s="96">
        <v>1</v>
      </c>
      <c r="AE84" s="8">
        <f t="shared" si="33"/>
        <v>0</v>
      </c>
      <c r="AF84" s="2">
        <v>0</v>
      </c>
      <c r="AG84" s="6">
        <f t="shared" si="29"/>
        <v>5</v>
      </c>
      <c r="AH84" s="37" t="s">
        <v>8</v>
      </c>
      <c r="AI84" s="14">
        <f t="shared" si="32"/>
        <v>565</v>
      </c>
      <c r="AJ84" s="38">
        <v>561</v>
      </c>
      <c r="AK84" s="38">
        <v>569</v>
      </c>
      <c r="AL84" s="31" t="s">
        <v>64</v>
      </c>
      <c r="AM84" s="47" t="s">
        <v>299</v>
      </c>
      <c r="AN84" s="25" t="s">
        <v>300</v>
      </c>
      <c r="AO84" s="8">
        <v>1987</v>
      </c>
      <c r="AP84" s="25" t="s">
        <v>94</v>
      </c>
      <c r="AQ84" s="8" t="s">
        <v>205</v>
      </c>
      <c r="AR84" s="42" t="s">
        <v>301</v>
      </c>
      <c r="AS84" s="153" t="s">
        <v>302</v>
      </c>
      <c r="AT84" s="141" t="s">
        <v>286</v>
      </c>
      <c r="AU84" s="32" t="s">
        <v>627</v>
      </c>
      <c r="AV84" s="131"/>
    </row>
    <row r="85" spans="1:49" ht="14" customHeight="1" x14ac:dyDescent="0.2">
      <c r="A85" s="28" t="s">
        <v>303</v>
      </c>
      <c r="B85" s="116" t="s">
        <v>304</v>
      </c>
      <c r="C85" s="34">
        <v>100377</v>
      </c>
      <c r="D85" s="28"/>
      <c r="E85" s="28"/>
      <c r="F85" s="29">
        <v>0</v>
      </c>
      <c r="G85" s="4">
        <v>74.583399999999997</v>
      </c>
      <c r="H85" s="34">
        <f>360-57.026</f>
        <v>302.97399999999999</v>
      </c>
      <c r="I85" s="29">
        <v>9</v>
      </c>
      <c r="J85" s="29">
        <v>54</v>
      </c>
      <c r="K85" s="30">
        <v>33.1</v>
      </c>
      <c r="L85" s="30">
        <v>-31.2</v>
      </c>
      <c r="M85" s="5">
        <f t="shared" si="30"/>
        <v>31.2</v>
      </c>
      <c r="N85" s="30">
        <v>29</v>
      </c>
      <c r="O85" s="114">
        <v>0.1</v>
      </c>
      <c r="P85" s="30">
        <v>5</v>
      </c>
      <c r="Q85" s="30">
        <v>273.8</v>
      </c>
      <c r="R85" s="30">
        <v>8.6999999999999993</v>
      </c>
      <c r="S85" s="30">
        <v>8.6999999999999993</v>
      </c>
      <c r="T85" s="30">
        <f t="shared" si="31"/>
        <v>8.6999999999999993</v>
      </c>
      <c r="U85" s="29" t="s">
        <v>305</v>
      </c>
      <c r="V85" s="29"/>
      <c r="W85" s="6">
        <f t="shared" si="26"/>
        <v>1</v>
      </c>
      <c r="X85" s="7">
        <f t="shared" si="23"/>
        <v>1</v>
      </c>
      <c r="Y85" s="7">
        <f t="shared" si="27"/>
        <v>1</v>
      </c>
      <c r="Z85" s="7">
        <f t="shared" si="25"/>
        <v>1</v>
      </c>
      <c r="AA85" s="8">
        <f t="shared" si="28"/>
        <v>1</v>
      </c>
      <c r="AB85" s="8">
        <v>1</v>
      </c>
      <c r="AC85" s="8">
        <v>0</v>
      </c>
      <c r="AD85" s="8">
        <v>1</v>
      </c>
      <c r="AE85" s="23">
        <v>1</v>
      </c>
      <c r="AF85" s="59">
        <v>1</v>
      </c>
      <c r="AG85" s="6">
        <f t="shared" si="29"/>
        <v>6</v>
      </c>
      <c r="AH85" s="29" t="s">
        <v>8</v>
      </c>
      <c r="AI85" s="14">
        <f t="shared" si="32"/>
        <v>1633</v>
      </c>
      <c r="AJ85" s="29">
        <v>1628</v>
      </c>
      <c r="AK85" s="29">
        <v>1638</v>
      </c>
      <c r="AL85" s="28" t="s">
        <v>306</v>
      </c>
      <c r="AM85" s="33" t="s">
        <v>307</v>
      </c>
      <c r="AN85" s="3" t="s">
        <v>628</v>
      </c>
      <c r="AO85" s="4">
        <v>2011</v>
      </c>
      <c r="AP85" s="164" t="s">
        <v>629</v>
      </c>
      <c r="AQ85" s="4"/>
      <c r="AR85" s="12"/>
      <c r="AS85" s="159"/>
      <c r="AT85" s="141"/>
      <c r="AU85" s="32" t="s">
        <v>630</v>
      </c>
      <c r="AV85" s="131"/>
      <c r="AW85" s="31" t="s">
        <v>634</v>
      </c>
    </row>
    <row r="86" spans="1:49" ht="14" customHeight="1" x14ac:dyDescent="0.2">
      <c r="A86" s="28" t="s">
        <v>303</v>
      </c>
      <c r="B86" s="123" t="s">
        <v>309</v>
      </c>
      <c r="C86" s="38">
        <v>489</v>
      </c>
      <c r="D86" s="39"/>
      <c r="E86" s="39" t="s">
        <v>28</v>
      </c>
      <c r="F86" s="38">
        <v>0</v>
      </c>
      <c r="G86" s="40">
        <v>81.5</v>
      </c>
      <c r="H86" s="40">
        <v>315.29999900000001</v>
      </c>
      <c r="I86" s="38">
        <v>12</v>
      </c>
      <c r="J86" s="38">
        <v>92</v>
      </c>
      <c r="K86" s="40">
        <v>265.20001200000002</v>
      </c>
      <c r="L86" s="40">
        <v>21.5</v>
      </c>
      <c r="M86" s="5">
        <f t="shared" si="30"/>
        <v>21.5</v>
      </c>
      <c r="N86" s="40">
        <v>60</v>
      </c>
      <c r="O86" s="40">
        <v>5.6</v>
      </c>
      <c r="P86" s="110">
        <v>10.3</v>
      </c>
      <c r="Q86" s="110">
        <v>231.699997</v>
      </c>
      <c r="R86" s="40">
        <v>3.1</v>
      </c>
      <c r="S86" s="40">
        <v>5.9</v>
      </c>
      <c r="T86" s="40">
        <f t="shared" si="31"/>
        <v>4.2766809560686196</v>
      </c>
      <c r="U86" s="34" t="s">
        <v>33</v>
      </c>
      <c r="V86" s="38"/>
      <c r="W86" s="6">
        <f t="shared" si="26"/>
        <v>1</v>
      </c>
      <c r="X86" s="7">
        <f t="shared" ref="X86:X103" si="34">IF(J86&gt;$X$1,1,0)</f>
        <v>1</v>
      </c>
      <c r="Y86" s="7">
        <f t="shared" si="27"/>
        <v>1</v>
      </c>
      <c r="Z86" s="7">
        <f t="shared" ref="Z86:Z103" si="35">IF(O86&lt;($Z$1+0.001),1,0)</f>
        <v>1</v>
      </c>
      <c r="AA86" s="8">
        <f t="shared" si="28"/>
        <v>1</v>
      </c>
      <c r="AB86" s="8">
        <v>1</v>
      </c>
      <c r="AC86" s="8">
        <v>1</v>
      </c>
      <c r="AD86" s="8">
        <v>1</v>
      </c>
      <c r="AE86" s="23">
        <v>0</v>
      </c>
      <c r="AF86" s="32">
        <v>1</v>
      </c>
      <c r="AG86" s="6">
        <f t="shared" si="29"/>
        <v>6</v>
      </c>
      <c r="AH86" s="8" t="s">
        <v>71</v>
      </c>
      <c r="AI86" s="14">
        <f t="shared" si="32"/>
        <v>1382</v>
      </c>
      <c r="AJ86" s="38">
        <v>1380</v>
      </c>
      <c r="AK86" s="38">
        <v>1384</v>
      </c>
      <c r="AL86" s="39" t="s">
        <v>310</v>
      </c>
      <c r="AM86" s="39" t="s">
        <v>311</v>
      </c>
      <c r="AN86" s="16" t="s">
        <v>312</v>
      </c>
      <c r="AO86" s="37">
        <v>1987</v>
      </c>
      <c r="AP86" s="16" t="s">
        <v>313</v>
      </c>
      <c r="AQ86" s="37">
        <v>91</v>
      </c>
      <c r="AR86" s="16" t="s">
        <v>314</v>
      </c>
      <c r="AS86" s="158" t="s">
        <v>315</v>
      </c>
      <c r="AT86" s="141"/>
      <c r="AU86" s="32" t="s">
        <v>663</v>
      </c>
      <c r="AV86" s="131"/>
    </row>
    <row r="87" spans="1:49" ht="14" customHeight="1" x14ac:dyDescent="0.2">
      <c r="A87" s="28" t="s">
        <v>303</v>
      </c>
      <c r="B87" s="123" t="s">
        <v>316</v>
      </c>
      <c r="C87" s="38">
        <v>99</v>
      </c>
      <c r="D87" s="39"/>
      <c r="E87" s="39"/>
      <c r="F87" s="38">
        <v>0</v>
      </c>
      <c r="G87" s="101">
        <v>81.599999999999994</v>
      </c>
      <c r="H87" s="101">
        <f>360-26.6</f>
        <v>333.4</v>
      </c>
      <c r="I87" s="38">
        <v>10</v>
      </c>
      <c r="J87" s="38">
        <v>100</v>
      </c>
      <c r="K87" s="40">
        <v>85.599997999999999</v>
      </c>
      <c r="L87" s="40">
        <v>-14.5</v>
      </c>
      <c r="M87" s="5">
        <f t="shared" si="30"/>
        <v>14.5</v>
      </c>
      <c r="N87" s="40">
        <v>39</v>
      </c>
      <c r="O87" s="40">
        <v>7.8</v>
      </c>
      <c r="P87" s="110">
        <v>6.9</v>
      </c>
      <c r="Q87" s="110">
        <v>242</v>
      </c>
      <c r="R87" s="40">
        <v>5.0999999999999996</v>
      </c>
      <c r="S87" s="40">
        <v>5.0999999999999996</v>
      </c>
      <c r="T87" s="40">
        <f t="shared" si="31"/>
        <v>5.0999999999999996</v>
      </c>
      <c r="U87" s="34" t="s">
        <v>33</v>
      </c>
      <c r="V87" s="38"/>
      <c r="W87" s="6">
        <f t="shared" si="26"/>
        <v>1</v>
      </c>
      <c r="X87" s="7">
        <f t="shared" si="34"/>
        <v>1</v>
      </c>
      <c r="Y87" s="7">
        <f t="shared" si="27"/>
        <v>1</v>
      </c>
      <c r="Z87" s="7">
        <f t="shared" si="35"/>
        <v>1</v>
      </c>
      <c r="AA87" s="8">
        <f t="shared" si="28"/>
        <v>1</v>
      </c>
      <c r="AB87" s="8">
        <v>1</v>
      </c>
      <c r="AC87" s="8">
        <v>0</v>
      </c>
      <c r="AD87" s="8">
        <v>1</v>
      </c>
      <c r="AE87" s="23">
        <v>0</v>
      </c>
      <c r="AF87" s="59">
        <v>1</v>
      </c>
      <c r="AG87" s="6">
        <f t="shared" si="29"/>
        <v>5</v>
      </c>
      <c r="AH87" s="8" t="s">
        <v>71</v>
      </c>
      <c r="AI87" s="14">
        <f t="shared" si="32"/>
        <v>1382</v>
      </c>
      <c r="AJ87" s="38">
        <v>1380</v>
      </c>
      <c r="AK87" s="38">
        <v>1384</v>
      </c>
      <c r="AL87" s="39" t="s">
        <v>317</v>
      </c>
      <c r="AM87" s="39" t="s">
        <v>316</v>
      </c>
      <c r="AN87" s="16" t="s">
        <v>318</v>
      </c>
      <c r="AO87" s="37">
        <v>1983</v>
      </c>
      <c r="AP87" s="16" t="s">
        <v>313</v>
      </c>
      <c r="AQ87" s="37">
        <v>73</v>
      </c>
      <c r="AR87" s="16" t="s">
        <v>319</v>
      </c>
      <c r="AS87" s="158" t="s">
        <v>320</v>
      </c>
      <c r="AT87" s="141"/>
      <c r="AU87" s="32" t="s">
        <v>662</v>
      </c>
      <c r="AV87" s="131"/>
    </row>
    <row r="88" spans="1:49" ht="42" x14ac:dyDescent="0.2">
      <c r="A88" s="28" t="s">
        <v>303</v>
      </c>
      <c r="B88" s="123" t="s">
        <v>321</v>
      </c>
      <c r="C88" s="38">
        <v>98</v>
      </c>
      <c r="D88" s="39"/>
      <c r="E88" s="39"/>
      <c r="F88" s="38">
        <v>0</v>
      </c>
      <c r="G88" s="40">
        <v>81.199996999999996</v>
      </c>
      <c r="H88" s="40">
        <v>334.79999900000001</v>
      </c>
      <c r="I88" s="38">
        <v>19</v>
      </c>
      <c r="J88" s="38">
        <v>135</v>
      </c>
      <c r="K88" s="40">
        <v>93.599997999999999</v>
      </c>
      <c r="L88" s="40">
        <v>-22</v>
      </c>
      <c r="M88" s="5">
        <f t="shared" si="30"/>
        <v>22</v>
      </c>
      <c r="N88" s="40">
        <v>37</v>
      </c>
      <c r="O88" s="40">
        <v>5.5</v>
      </c>
      <c r="P88" s="110">
        <v>12</v>
      </c>
      <c r="Q88" s="110">
        <v>242.800003</v>
      </c>
      <c r="R88" s="40">
        <v>3.8</v>
      </c>
      <c r="S88" s="40">
        <v>3.8</v>
      </c>
      <c r="T88" s="40">
        <f t="shared" si="31"/>
        <v>3.8</v>
      </c>
      <c r="U88" s="34" t="s">
        <v>33</v>
      </c>
      <c r="V88" s="38"/>
      <c r="W88" s="6">
        <f t="shared" si="26"/>
        <v>1</v>
      </c>
      <c r="X88" s="7">
        <f t="shared" si="34"/>
        <v>1</v>
      </c>
      <c r="Y88" s="7">
        <f t="shared" si="27"/>
        <v>1</v>
      </c>
      <c r="Z88" s="7">
        <f t="shared" si="35"/>
        <v>1</v>
      </c>
      <c r="AA88" s="8">
        <f t="shared" si="28"/>
        <v>1</v>
      </c>
      <c r="AB88" s="8">
        <v>1</v>
      </c>
      <c r="AC88" s="8">
        <v>0</v>
      </c>
      <c r="AD88" s="8">
        <v>1</v>
      </c>
      <c r="AE88" s="23">
        <v>0</v>
      </c>
      <c r="AF88" s="59">
        <v>1</v>
      </c>
      <c r="AG88" s="6">
        <f t="shared" si="29"/>
        <v>5</v>
      </c>
      <c r="AH88" s="8" t="s">
        <v>71</v>
      </c>
      <c r="AI88" s="14">
        <f t="shared" si="32"/>
        <v>1382</v>
      </c>
      <c r="AJ88" s="38">
        <v>1380</v>
      </c>
      <c r="AK88" s="38">
        <v>1384</v>
      </c>
      <c r="AL88" s="39" t="s">
        <v>310</v>
      </c>
      <c r="AM88" s="39" t="s">
        <v>321</v>
      </c>
      <c r="AN88" s="16" t="s">
        <v>318</v>
      </c>
      <c r="AO88" s="37">
        <v>1983</v>
      </c>
      <c r="AP88" s="16" t="s">
        <v>313</v>
      </c>
      <c r="AQ88" s="37">
        <v>73</v>
      </c>
      <c r="AR88" s="16" t="s">
        <v>319</v>
      </c>
      <c r="AS88" s="158" t="s">
        <v>320</v>
      </c>
      <c r="AT88" s="141"/>
      <c r="AU88" s="32" t="s">
        <v>662</v>
      </c>
      <c r="AV88" s="131"/>
    </row>
    <row r="89" spans="1:49" ht="42" x14ac:dyDescent="0.2">
      <c r="A89" s="28" t="s">
        <v>303</v>
      </c>
      <c r="B89" s="123" t="s">
        <v>322</v>
      </c>
      <c r="C89" s="38">
        <v>2107</v>
      </c>
      <c r="D89" s="39"/>
      <c r="E89" s="39"/>
      <c r="F89" s="38">
        <v>0</v>
      </c>
      <c r="G89" s="40">
        <v>61.200001</v>
      </c>
      <c r="H89" s="40">
        <v>311.70000099999999</v>
      </c>
      <c r="I89" s="38">
        <v>4</v>
      </c>
      <c r="J89" s="38">
        <v>18</v>
      </c>
      <c r="K89" s="40">
        <v>292</v>
      </c>
      <c r="L89" s="40">
        <v>-15.4</v>
      </c>
      <c r="M89" s="5">
        <f t="shared" si="30"/>
        <v>15.4</v>
      </c>
      <c r="N89" s="40">
        <v>455</v>
      </c>
      <c r="O89" s="40">
        <v>4.3</v>
      </c>
      <c r="P89" s="110">
        <v>3.4</v>
      </c>
      <c r="Q89" s="110">
        <v>198.699997</v>
      </c>
      <c r="R89" s="40">
        <v>2.2999999999999998</v>
      </c>
      <c r="S89" s="40">
        <v>4.4000000000000004</v>
      </c>
      <c r="T89" s="40">
        <f t="shared" si="31"/>
        <v>3.1811947441173731</v>
      </c>
      <c r="U89" s="34" t="s">
        <v>33</v>
      </c>
      <c r="V89" s="38"/>
      <c r="W89" s="6">
        <f t="shared" si="26"/>
        <v>1</v>
      </c>
      <c r="X89" s="7">
        <f t="shared" si="34"/>
        <v>0</v>
      </c>
      <c r="Y89" s="7">
        <f t="shared" si="27"/>
        <v>1</v>
      </c>
      <c r="Z89" s="7">
        <f t="shared" si="35"/>
        <v>1</v>
      </c>
      <c r="AA89" s="8">
        <f t="shared" si="28"/>
        <v>0</v>
      </c>
      <c r="AB89" s="8">
        <v>1</v>
      </c>
      <c r="AC89" s="8">
        <v>0</v>
      </c>
      <c r="AD89" s="8">
        <v>1</v>
      </c>
      <c r="AE89" s="23">
        <v>0</v>
      </c>
      <c r="AF89" s="59">
        <v>1</v>
      </c>
      <c r="AG89" s="6">
        <f t="shared" si="29"/>
        <v>4</v>
      </c>
      <c r="AH89" s="8" t="s">
        <v>71</v>
      </c>
      <c r="AI89" s="14">
        <f t="shared" si="32"/>
        <v>1275</v>
      </c>
      <c r="AJ89" s="38">
        <v>1273</v>
      </c>
      <c r="AK89" s="38">
        <v>1277</v>
      </c>
      <c r="AL89" s="16" t="s">
        <v>323</v>
      </c>
      <c r="AM89" s="39" t="s">
        <v>322</v>
      </c>
      <c r="AN89" s="16" t="s">
        <v>324</v>
      </c>
      <c r="AO89" s="37">
        <v>1977</v>
      </c>
      <c r="AP89" s="16" t="s">
        <v>325</v>
      </c>
      <c r="AQ89" s="37">
        <v>14</v>
      </c>
      <c r="AR89" s="16" t="s">
        <v>326</v>
      </c>
      <c r="AS89" s="158" t="s">
        <v>327</v>
      </c>
      <c r="AT89" s="126"/>
      <c r="AU89" s="31" t="s">
        <v>658</v>
      </c>
      <c r="AV89" s="131"/>
    </row>
    <row r="90" spans="1:49" ht="56" x14ac:dyDescent="0.2">
      <c r="A90" s="28" t="s">
        <v>303</v>
      </c>
      <c r="B90" s="123" t="s">
        <v>328</v>
      </c>
      <c r="C90" s="38">
        <v>6607</v>
      </c>
      <c r="D90" s="39"/>
      <c r="E90" s="39"/>
      <c r="F90" s="38">
        <v>0</v>
      </c>
      <c r="G90" s="101">
        <v>61.15</v>
      </c>
      <c r="H90" s="101">
        <v>314.60000000000002</v>
      </c>
      <c r="I90" s="38">
        <v>12</v>
      </c>
      <c r="J90" s="38">
        <v>65</v>
      </c>
      <c r="K90" s="40">
        <v>295.70001200000002</v>
      </c>
      <c r="L90" s="40">
        <v>2.5</v>
      </c>
      <c r="M90" s="5">
        <f t="shared" si="30"/>
        <v>2.5</v>
      </c>
      <c r="N90" s="40">
        <v>15</v>
      </c>
      <c r="O90" s="40">
        <v>12</v>
      </c>
      <c r="P90" s="110">
        <v>13.2</v>
      </c>
      <c r="Q90" s="110">
        <v>202.60000600000001</v>
      </c>
      <c r="R90" s="40">
        <v>5.9</v>
      </c>
      <c r="S90" s="40">
        <v>11.7</v>
      </c>
      <c r="T90" s="40">
        <f t="shared" si="31"/>
        <v>8.3084294544757373</v>
      </c>
      <c r="U90" s="38" t="s">
        <v>40</v>
      </c>
      <c r="V90" s="38"/>
      <c r="W90" s="6">
        <f t="shared" ref="W90:W103" si="36">IF(((AK90-AJ90)/2)&gt;MIN($W$1,((AK90+AJ90)/2)*$W$1/1000),0,1)</f>
        <v>1</v>
      </c>
      <c r="X90" s="7">
        <f t="shared" si="34"/>
        <v>1</v>
      </c>
      <c r="Y90" s="7">
        <f t="shared" si="27"/>
        <v>1</v>
      </c>
      <c r="Z90" s="7">
        <f t="shared" si="35"/>
        <v>1</v>
      </c>
      <c r="AA90" s="8">
        <f t="shared" si="28"/>
        <v>1</v>
      </c>
      <c r="AB90" s="8">
        <v>1</v>
      </c>
      <c r="AC90" s="8">
        <v>0</v>
      </c>
      <c r="AD90" s="8">
        <v>0</v>
      </c>
      <c r="AE90" s="23">
        <v>1</v>
      </c>
      <c r="AF90" s="59">
        <v>1</v>
      </c>
      <c r="AG90" s="6">
        <f t="shared" si="29"/>
        <v>5</v>
      </c>
      <c r="AH90" s="8" t="s">
        <v>71</v>
      </c>
      <c r="AI90" s="14">
        <f t="shared" si="32"/>
        <v>1275</v>
      </c>
      <c r="AJ90" s="38">
        <v>1274</v>
      </c>
      <c r="AK90" s="38">
        <v>1276</v>
      </c>
      <c r="AL90" s="16" t="s">
        <v>329</v>
      </c>
      <c r="AM90" s="39" t="s">
        <v>328</v>
      </c>
      <c r="AN90" s="16" t="s">
        <v>330</v>
      </c>
      <c r="AO90" s="37">
        <v>1992</v>
      </c>
      <c r="AP90" s="16" t="s">
        <v>1</v>
      </c>
      <c r="AQ90" s="37">
        <v>54</v>
      </c>
      <c r="AR90" s="16" t="s">
        <v>331</v>
      </c>
      <c r="AS90" s="158" t="s">
        <v>332</v>
      </c>
      <c r="AT90" s="145"/>
      <c r="AU90" s="32" t="s">
        <v>657</v>
      </c>
      <c r="AV90" s="131"/>
    </row>
    <row r="91" spans="1:49" ht="42" x14ac:dyDescent="0.2">
      <c r="A91" s="28" t="s">
        <v>303</v>
      </c>
      <c r="B91" s="123" t="s">
        <v>333</v>
      </c>
      <c r="C91" s="38">
        <v>2106</v>
      </c>
      <c r="D91" s="39"/>
      <c r="E91" s="39"/>
      <c r="F91" s="38">
        <v>0</v>
      </c>
      <c r="G91" s="40">
        <v>61.200001</v>
      </c>
      <c r="H91" s="40">
        <v>311.70000099999999</v>
      </c>
      <c r="I91" s="38">
        <v>24</v>
      </c>
      <c r="J91" s="38">
        <v>138</v>
      </c>
      <c r="K91" s="40">
        <v>291.5</v>
      </c>
      <c r="L91" s="40">
        <v>-3.3</v>
      </c>
      <c r="M91" s="5">
        <f t="shared" si="30"/>
        <v>3.3</v>
      </c>
      <c r="N91" s="40">
        <v>11</v>
      </c>
      <c r="O91" s="40">
        <v>9.4</v>
      </c>
      <c r="P91" s="110">
        <v>8.7000000000000011</v>
      </c>
      <c r="Q91" s="110">
        <v>201.699997</v>
      </c>
      <c r="R91" s="40">
        <v>4.7</v>
      </c>
      <c r="S91" s="40">
        <v>9.4</v>
      </c>
      <c r="T91" s="40">
        <f t="shared" si="31"/>
        <v>6.6468037431535469</v>
      </c>
      <c r="U91" s="34" t="s">
        <v>33</v>
      </c>
      <c r="V91" s="38"/>
      <c r="W91" s="6">
        <f t="shared" si="36"/>
        <v>1</v>
      </c>
      <c r="X91" s="7">
        <f t="shared" si="34"/>
        <v>1</v>
      </c>
      <c r="Y91" s="7">
        <f t="shared" si="27"/>
        <v>1</v>
      </c>
      <c r="Z91" s="7">
        <f t="shared" si="35"/>
        <v>1</v>
      </c>
      <c r="AA91" s="8">
        <f t="shared" si="28"/>
        <v>1</v>
      </c>
      <c r="AB91" s="8">
        <v>1</v>
      </c>
      <c r="AC91" s="8">
        <v>0</v>
      </c>
      <c r="AD91" s="8">
        <v>1</v>
      </c>
      <c r="AE91" s="23">
        <v>0</v>
      </c>
      <c r="AF91" s="59">
        <v>1</v>
      </c>
      <c r="AG91" s="6">
        <f t="shared" si="29"/>
        <v>5</v>
      </c>
      <c r="AH91" s="8" t="s">
        <v>71</v>
      </c>
      <c r="AI91" s="14">
        <f t="shared" si="32"/>
        <v>1243.5</v>
      </c>
      <c r="AJ91" s="38">
        <v>1236</v>
      </c>
      <c r="AK91" s="38">
        <v>1251</v>
      </c>
      <c r="AL91" s="39" t="s">
        <v>334</v>
      </c>
      <c r="AM91" s="39" t="s">
        <v>333</v>
      </c>
      <c r="AN91" s="16" t="s">
        <v>324</v>
      </c>
      <c r="AO91" s="37">
        <v>1977</v>
      </c>
      <c r="AP91" s="16" t="s">
        <v>325</v>
      </c>
      <c r="AQ91" s="37">
        <v>14</v>
      </c>
      <c r="AR91" s="16" t="s">
        <v>326</v>
      </c>
      <c r="AS91" s="158" t="s">
        <v>327</v>
      </c>
      <c r="AT91" s="141"/>
      <c r="AU91" s="31" t="s">
        <v>658</v>
      </c>
      <c r="AV91" s="131"/>
    </row>
    <row r="92" spans="1:49" ht="42" x14ac:dyDescent="0.2">
      <c r="A92" s="28" t="s">
        <v>303</v>
      </c>
      <c r="B92" s="123" t="s">
        <v>335</v>
      </c>
      <c r="C92" s="38">
        <v>2108</v>
      </c>
      <c r="D92" s="39"/>
      <c r="E92" s="39"/>
      <c r="F92" s="38">
        <v>0</v>
      </c>
      <c r="G92" s="40">
        <v>61.200001</v>
      </c>
      <c r="H92" s="40">
        <v>311.70000099999999</v>
      </c>
      <c r="I92" s="38">
        <v>9</v>
      </c>
      <c r="J92" s="38">
        <v>51</v>
      </c>
      <c r="K92" s="40">
        <v>284.79998799999998</v>
      </c>
      <c r="L92" s="40">
        <v>-8.6000000000000014</v>
      </c>
      <c r="M92" s="5">
        <f t="shared" si="30"/>
        <v>8.6000000000000014</v>
      </c>
      <c r="N92" s="40">
        <v>28</v>
      </c>
      <c r="O92" s="40">
        <v>10</v>
      </c>
      <c r="P92" s="110">
        <v>3.2</v>
      </c>
      <c r="Q92" s="110">
        <v>206.39999399999999</v>
      </c>
      <c r="R92" s="40">
        <v>5.0999999999999996</v>
      </c>
      <c r="S92" s="40">
        <v>10.1</v>
      </c>
      <c r="T92" s="40">
        <f t="shared" si="31"/>
        <v>7.1770467463992453</v>
      </c>
      <c r="U92" s="34" t="s">
        <v>33</v>
      </c>
      <c r="V92" s="38"/>
      <c r="W92" s="6">
        <f t="shared" si="36"/>
        <v>1</v>
      </c>
      <c r="X92" s="7">
        <f t="shared" si="34"/>
        <v>1</v>
      </c>
      <c r="Y92" s="7">
        <f t="shared" si="27"/>
        <v>1</v>
      </c>
      <c r="Z92" s="7">
        <f t="shared" si="35"/>
        <v>1</v>
      </c>
      <c r="AA92" s="8">
        <f t="shared" si="28"/>
        <v>1</v>
      </c>
      <c r="AB92" s="8">
        <v>1</v>
      </c>
      <c r="AC92" s="8">
        <v>0</v>
      </c>
      <c r="AD92" s="8">
        <v>1</v>
      </c>
      <c r="AE92" s="23">
        <v>0</v>
      </c>
      <c r="AF92" s="59">
        <v>1</v>
      </c>
      <c r="AG92" s="6">
        <f t="shared" si="29"/>
        <v>5</v>
      </c>
      <c r="AH92" s="8" t="s">
        <v>71</v>
      </c>
      <c r="AI92" s="14">
        <f t="shared" si="32"/>
        <v>1238</v>
      </c>
      <c r="AJ92" s="38">
        <v>1227</v>
      </c>
      <c r="AK92" s="38">
        <v>1249</v>
      </c>
      <c r="AL92" s="39" t="s">
        <v>336</v>
      </c>
      <c r="AM92" s="39" t="s">
        <v>335</v>
      </c>
      <c r="AN92" s="16" t="s">
        <v>324</v>
      </c>
      <c r="AO92" s="37">
        <v>1977</v>
      </c>
      <c r="AP92" s="16" t="s">
        <v>325</v>
      </c>
      <c r="AQ92" s="37">
        <v>14</v>
      </c>
      <c r="AR92" s="16" t="s">
        <v>326</v>
      </c>
      <c r="AS92" s="158" t="s">
        <v>327</v>
      </c>
      <c r="AT92" s="126"/>
      <c r="AU92" s="31" t="s">
        <v>658</v>
      </c>
      <c r="AV92" s="131"/>
    </row>
    <row r="93" spans="1:49" ht="42" x14ac:dyDescent="0.2">
      <c r="A93" s="28" t="s">
        <v>303</v>
      </c>
      <c r="B93" s="123" t="s">
        <v>337</v>
      </c>
      <c r="C93" s="38">
        <v>2132</v>
      </c>
      <c r="D93" s="39"/>
      <c r="E93" s="39"/>
      <c r="F93" s="38">
        <v>0</v>
      </c>
      <c r="G93" s="40">
        <v>60.900002000000001</v>
      </c>
      <c r="H93" s="40">
        <v>313.70000099999999</v>
      </c>
      <c r="I93" s="38">
        <v>7</v>
      </c>
      <c r="J93" s="38">
        <v>38</v>
      </c>
      <c r="K93" s="40">
        <v>294.29998799999998</v>
      </c>
      <c r="L93" s="40">
        <v>42.700001</v>
      </c>
      <c r="M93" s="5">
        <f t="shared" si="30"/>
        <v>42.700001</v>
      </c>
      <c r="N93" s="40">
        <v>38</v>
      </c>
      <c r="O93" s="40">
        <v>9.8000000000000007</v>
      </c>
      <c r="P93" s="110">
        <v>33.200001</v>
      </c>
      <c r="Q93" s="110">
        <v>215.300003</v>
      </c>
      <c r="R93" s="40">
        <v>7.6</v>
      </c>
      <c r="S93" s="40">
        <v>12.2</v>
      </c>
      <c r="T93" s="40">
        <f t="shared" si="31"/>
        <v>9.6291224937685769</v>
      </c>
      <c r="U93" s="34" t="s">
        <v>33</v>
      </c>
      <c r="V93" s="38"/>
      <c r="W93" s="6">
        <f t="shared" si="36"/>
        <v>1</v>
      </c>
      <c r="X93" s="7">
        <f t="shared" si="34"/>
        <v>1</v>
      </c>
      <c r="Y93" s="7">
        <f t="shared" ref="Y93:Y103" si="37">IF(N93&gt;($Y$1-0.001),1,0)</f>
        <v>1</v>
      </c>
      <c r="Z93" s="7">
        <f t="shared" si="35"/>
        <v>1</v>
      </c>
      <c r="AA93" s="8">
        <f t="shared" si="28"/>
        <v>1</v>
      </c>
      <c r="AB93" s="8">
        <v>1</v>
      </c>
      <c r="AC93" s="8">
        <v>0</v>
      </c>
      <c r="AD93" s="8">
        <v>1</v>
      </c>
      <c r="AE93" s="23">
        <v>0</v>
      </c>
      <c r="AF93" s="59">
        <v>1</v>
      </c>
      <c r="AG93" s="6">
        <f t="shared" si="29"/>
        <v>5</v>
      </c>
      <c r="AH93" s="8" t="s">
        <v>71</v>
      </c>
      <c r="AI93" s="14">
        <f t="shared" si="32"/>
        <v>1184</v>
      </c>
      <c r="AJ93" s="38">
        <v>1179</v>
      </c>
      <c r="AK93" s="38">
        <v>1189</v>
      </c>
      <c r="AL93" s="16" t="s">
        <v>338</v>
      </c>
      <c r="AM93" s="39" t="s">
        <v>337</v>
      </c>
      <c r="AN93" s="16" t="s">
        <v>330</v>
      </c>
      <c r="AO93" s="37">
        <v>1977</v>
      </c>
      <c r="AP93" s="16" t="s">
        <v>339</v>
      </c>
      <c r="AQ93" s="37">
        <v>26</v>
      </c>
      <c r="AR93" s="16" t="s">
        <v>340</v>
      </c>
      <c r="AS93" s="158" t="s">
        <v>341</v>
      </c>
      <c r="AT93" s="126"/>
      <c r="AU93" s="31" t="s">
        <v>659</v>
      </c>
      <c r="AV93" s="131"/>
    </row>
    <row r="94" spans="1:49" ht="13" customHeight="1" x14ac:dyDescent="0.15">
      <c r="A94" s="28" t="s">
        <v>303</v>
      </c>
      <c r="B94" s="123" t="s">
        <v>342</v>
      </c>
      <c r="C94" s="38">
        <v>2133</v>
      </c>
      <c r="D94" s="39"/>
      <c r="E94" s="39"/>
      <c r="F94" s="38">
        <v>0</v>
      </c>
      <c r="G94" s="40">
        <v>60.900002000000001</v>
      </c>
      <c r="H94" s="40">
        <v>313.79999900000001</v>
      </c>
      <c r="I94" s="38">
        <v>4</v>
      </c>
      <c r="J94" s="38">
        <v>22</v>
      </c>
      <c r="K94" s="40">
        <v>285.29998799999998</v>
      </c>
      <c r="L94" s="40">
        <v>46.799999000000007</v>
      </c>
      <c r="M94" s="5">
        <f t="shared" si="30"/>
        <v>46.799999000000007</v>
      </c>
      <c r="N94" s="40">
        <v>97</v>
      </c>
      <c r="O94" s="40">
        <v>9.4</v>
      </c>
      <c r="P94" s="110">
        <v>31.6</v>
      </c>
      <c r="Q94" s="110">
        <v>225.39999399999999</v>
      </c>
      <c r="R94" s="40">
        <v>7.8</v>
      </c>
      <c r="S94" s="40">
        <v>12.1</v>
      </c>
      <c r="T94" s="40">
        <f t="shared" si="31"/>
        <v>9.7149369529606311</v>
      </c>
      <c r="U94" s="34" t="s">
        <v>33</v>
      </c>
      <c r="V94" s="38"/>
      <c r="W94" s="6">
        <f t="shared" si="36"/>
        <v>1</v>
      </c>
      <c r="X94" s="7">
        <f t="shared" si="34"/>
        <v>0</v>
      </c>
      <c r="Y94" s="7">
        <f t="shared" si="37"/>
        <v>1</v>
      </c>
      <c r="Z94" s="7">
        <f t="shared" si="35"/>
        <v>1</v>
      </c>
      <c r="AA94" s="8">
        <f t="shared" si="28"/>
        <v>0</v>
      </c>
      <c r="AB94" s="8">
        <v>1</v>
      </c>
      <c r="AC94" s="8">
        <v>0</v>
      </c>
      <c r="AD94" s="8">
        <v>1</v>
      </c>
      <c r="AE94" s="23">
        <v>0</v>
      </c>
      <c r="AF94" s="59">
        <v>1</v>
      </c>
      <c r="AG94" s="6">
        <f t="shared" si="29"/>
        <v>4</v>
      </c>
      <c r="AH94" s="8" t="s">
        <v>71</v>
      </c>
      <c r="AI94" s="14">
        <f t="shared" si="32"/>
        <v>1184</v>
      </c>
      <c r="AJ94" s="38">
        <v>1179</v>
      </c>
      <c r="AK94" s="38">
        <v>1189</v>
      </c>
      <c r="AL94" s="16" t="s">
        <v>343</v>
      </c>
      <c r="AM94" s="39" t="s">
        <v>342</v>
      </c>
      <c r="AN94" s="16" t="s">
        <v>330</v>
      </c>
      <c r="AO94" s="37">
        <v>1977</v>
      </c>
      <c r="AP94" s="16" t="s">
        <v>339</v>
      </c>
      <c r="AQ94" s="37">
        <v>26</v>
      </c>
      <c r="AR94" s="16" t="s">
        <v>340</v>
      </c>
      <c r="AS94" s="158" t="s">
        <v>341</v>
      </c>
      <c r="AT94" s="141"/>
      <c r="AU94" s="31" t="s">
        <v>659</v>
      </c>
    </row>
    <row r="95" spans="1:49" ht="13" customHeight="1" x14ac:dyDescent="0.15">
      <c r="A95" s="28" t="s">
        <v>303</v>
      </c>
      <c r="B95" s="123" t="s">
        <v>344</v>
      </c>
      <c r="C95" s="38">
        <v>6610</v>
      </c>
      <c r="D95" s="39"/>
      <c r="E95" s="39"/>
      <c r="F95" s="38">
        <v>0</v>
      </c>
      <c r="G95" s="101">
        <v>61.15</v>
      </c>
      <c r="H95" s="101">
        <v>314.60000000000002</v>
      </c>
      <c r="I95" s="38">
        <v>9</v>
      </c>
      <c r="J95" s="38">
        <v>67</v>
      </c>
      <c r="K95" s="40">
        <v>299.89999399999999</v>
      </c>
      <c r="L95" s="40">
        <v>51.200001</v>
      </c>
      <c r="M95" s="5">
        <f t="shared" si="30"/>
        <v>51.200001</v>
      </c>
      <c r="N95" s="40">
        <v>20</v>
      </c>
      <c r="O95" s="40">
        <v>12</v>
      </c>
      <c r="P95" s="110">
        <v>41.799999000000007</v>
      </c>
      <c r="Q95" s="110">
        <v>215.89999399999999</v>
      </c>
      <c r="R95" s="40">
        <v>10.8</v>
      </c>
      <c r="S95" s="40">
        <v>15.9</v>
      </c>
      <c r="T95" s="40">
        <f t="shared" si="31"/>
        <v>13.104197800704934</v>
      </c>
      <c r="U95" s="34" t="s">
        <v>33</v>
      </c>
      <c r="V95" s="38"/>
      <c r="W95" s="6">
        <f t="shared" si="36"/>
        <v>1</v>
      </c>
      <c r="X95" s="7">
        <f t="shared" si="34"/>
        <v>1</v>
      </c>
      <c r="Y95" s="7">
        <f t="shared" si="37"/>
        <v>1</v>
      </c>
      <c r="Z95" s="7">
        <f t="shared" si="35"/>
        <v>1</v>
      </c>
      <c r="AA95" s="8">
        <f t="shared" ref="AA95:AA103" si="38">X95*Y95*Z95</f>
        <v>1</v>
      </c>
      <c r="AB95" s="8">
        <v>1</v>
      </c>
      <c r="AC95" s="8">
        <v>1</v>
      </c>
      <c r="AD95" s="8">
        <v>0</v>
      </c>
      <c r="AE95" s="23">
        <v>0</v>
      </c>
      <c r="AF95" s="59">
        <v>1</v>
      </c>
      <c r="AG95" s="6">
        <f t="shared" si="29"/>
        <v>5</v>
      </c>
      <c r="AH95" s="8" t="s">
        <v>67</v>
      </c>
      <c r="AI95" s="14">
        <f t="shared" si="32"/>
        <v>1163</v>
      </c>
      <c r="AJ95" s="38">
        <v>1161</v>
      </c>
      <c r="AK95" s="38">
        <v>1165</v>
      </c>
      <c r="AL95" s="16" t="s">
        <v>345</v>
      </c>
      <c r="AM95" s="39" t="s">
        <v>344</v>
      </c>
      <c r="AN95" s="16" t="s">
        <v>330</v>
      </c>
      <c r="AO95" s="37">
        <v>1992</v>
      </c>
      <c r="AP95" s="16" t="s">
        <v>1</v>
      </c>
      <c r="AQ95" s="37">
        <v>54</v>
      </c>
      <c r="AR95" s="16" t="s">
        <v>331</v>
      </c>
      <c r="AS95" s="158" t="s">
        <v>332</v>
      </c>
      <c r="AT95" s="141"/>
      <c r="AU95" s="32" t="s">
        <v>657</v>
      </c>
    </row>
    <row r="96" spans="1:49" ht="13" customHeight="1" x14ac:dyDescent="0.15">
      <c r="A96" s="28" t="s">
        <v>303</v>
      </c>
      <c r="B96" s="123" t="s">
        <v>346</v>
      </c>
      <c r="C96" s="38">
        <v>2131</v>
      </c>
      <c r="D96" s="39"/>
      <c r="E96" s="39"/>
      <c r="F96" s="38">
        <v>0</v>
      </c>
      <c r="G96" s="40">
        <v>60.900002000000001</v>
      </c>
      <c r="H96" s="40">
        <v>313.70000099999999</v>
      </c>
      <c r="I96" s="38">
        <v>13</v>
      </c>
      <c r="J96" s="38">
        <v>73</v>
      </c>
      <c r="K96" s="40">
        <v>292.20001200000002</v>
      </c>
      <c r="L96" s="40">
        <v>56.5</v>
      </c>
      <c r="M96" s="5">
        <f t="shared" si="30"/>
        <v>56.5</v>
      </c>
      <c r="N96" s="40">
        <v>30</v>
      </c>
      <c r="O96" s="40">
        <v>7.6</v>
      </c>
      <c r="P96" s="110">
        <v>42.299999000000007</v>
      </c>
      <c r="Q96" s="110">
        <v>226.10000600000001</v>
      </c>
      <c r="R96" s="40">
        <v>8</v>
      </c>
      <c r="S96" s="40">
        <v>11.1</v>
      </c>
      <c r="T96" s="40">
        <f t="shared" si="31"/>
        <v>9.4233751915117967</v>
      </c>
      <c r="U96" s="34" t="s">
        <v>33</v>
      </c>
      <c r="V96" s="38"/>
      <c r="W96" s="6">
        <f t="shared" si="36"/>
        <v>1</v>
      </c>
      <c r="X96" s="7">
        <f t="shared" si="34"/>
        <v>1</v>
      </c>
      <c r="Y96" s="7">
        <f t="shared" si="37"/>
        <v>1</v>
      </c>
      <c r="Z96" s="7">
        <f t="shared" si="35"/>
        <v>1</v>
      </c>
      <c r="AA96" s="8">
        <f t="shared" si="38"/>
        <v>1</v>
      </c>
      <c r="AB96" s="8">
        <v>1</v>
      </c>
      <c r="AC96" s="8">
        <v>0</v>
      </c>
      <c r="AD96" s="8">
        <v>1</v>
      </c>
      <c r="AE96" s="23">
        <v>0</v>
      </c>
      <c r="AF96" s="59">
        <v>1</v>
      </c>
      <c r="AG96" s="6">
        <f t="shared" si="29"/>
        <v>5</v>
      </c>
      <c r="AH96" s="8" t="s">
        <v>71</v>
      </c>
      <c r="AI96" s="14">
        <f t="shared" si="32"/>
        <v>1163</v>
      </c>
      <c r="AJ96" s="38">
        <v>1161</v>
      </c>
      <c r="AK96" s="38">
        <v>1165</v>
      </c>
      <c r="AL96" s="16" t="s">
        <v>347</v>
      </c>
      <c r="AM96" s="39" t="s">
        <v>346</v>
      </c>
      <c r="AN96" s="16" t="s">
        <v>330</v>
      </c>
      <c r="AO96" s="37">
        <v>1977</v>
      </c>
      <c r="AP96" s="16" t="s">
        <v>339</v>
      </c>
      <c r="AQ96" s="37">
        <v>26</v>
      </c>
      <c r="AR96" s="16" t="s">
        <v>340</v>
      </c>
      <c r="AS96" s="158" t="s">
        <v>341</v>
      </c>
      <c r="AT96" s="126"/>
      <c r="AU96" s="31" t="s">
        <v>659</v>
      </c>
    </row>
    <row r="97" spans="1:48" ht="13" customHeight="1" x14ac:dyDescent="0.15">
      <c r="A97" s="28" t="s">
        <v>303</v>
      </c>
      <c r="B97" s="123" t="s">
        <v>348</v>
      </c>
      <c r="C97" s="38">
        <v>6609</v>
      </c>
      <c r="D97" s="39"/>
      <c r="E97" s="39"/>
      <c r="F97" s="38">
        <v>0</v>
      </c>
      <c r="G97" s="101">
        <v>61.15</v>
      </c>
      <c r="H97" s="101">
        <v>314.60000000000002</v>
      </c>
      <c r="I97" s="38">
        <v>18</v>
      </c>
      <c r="J97" s="38">
        <v>102</v>
      </c>
      <c r="K97" s="40">
        <v>282.89999399999999</v>
      </c>
      <c r="L97" s="40">
        <v>50.900002000000001</v>
      </c>
      <c r="M97" s="5">
        <f t="shared" si="30"/>
        <v>50.900002000000001</v>
      </c>
      <c r="N97" s="40">
        <v>46</v>
      </c>
      <c r="O97" s="40">
        <v>5</v>
      </c>
      <c r="P97" s="110">
        <v>33.400002000000001</v>
      </c>
      <c r="Q97" s="110">
        <v>230.800003</v>
      </c>
      <c r="R97" s="40">
        <v>4.7</v>
      </c>
      <c r="S97" s="40">
        <v>6.9</v>
      </c>
      <c r="T97" s="40">
        <f t="shared" si="31"/>
        <v>5.6947344099615389</v>
      </c>
      <c r="U97" s="34" t="s">
        <v>33</v>
      </c>
      <c r="V97" s="38"/>
      <c r="W97" s="6">
        <f t="shared" si="36"/>
        <v>1</v>
      </c>
      <c r="X97" s="7">
        <f t="shared" si="34"/>
        <v>1</v>
      </c>
      <c r="Y97" s="7">
        <f t="shared" si="37"/>
        <v>1</v>
      </c>
      <c r="Z97" s="7">
        <f t="shared" si="35"/>
        <v>1</v>
      </c>
      <c r="AA97" s="8">
        <f t="shared" si="38"/>
        <v>1</v>
      </c>
      <c r="AB97" s="8">
        <v>1</v>
      </c>
      <c r="AC97" s="8">
        <v>0</v>
      </c>
      <c r="AD97" s="8">
        <v>1</v>
      </c>
      <c r="AE97" s="23">
        <v>0</v>
      </c>
      <c r="AF97" s="59">
        <v>1</v>
      </c>
      <c r="AG97" s="6">
        <f t="shared" si="29"/>
        <v>5</v>
      </c>
      <c r="AH97" s="8" t="s">
        <v>71</v>
      </c>
      <c r="AI97" s="14">
        <f t="shared" si="32"/>
        <v>1160</v>
      </c>
      <c r="AJ97" s="38">
        <v>1155</v>
      </c>
      <c r="AK97" s="38">
        <v>1165</v>
      </c>
      <c r="AL97" s="39" t="s">
        <v>349</v>
      </c>
      <c r="AM97" s="39" t="s">
        <v>348</v>
      </c>
      <c r="AN97" s="16" t="s">
        <v>330</v>
      </c>
      <c r="AO97" s="37">
        <v>1992</v>
      </c>
      <c r="AP97" s="16" t="s">
        <v>48</v>
      </c>
      <c r="AQ97" s="37">
        <v>54</v>
      </c>
      <c r="AR97" s="16" t="s">
        <v>331</v>
      </c>
      <c r="AS97" s="158" t="s">
        <v>332</v>
      </c>
      <c r="AT97" s="126"/>
      <c r="AU97" s="32" t="s">
        <v>657</v>
      </c>
    </row>
    <row r="98" spans="1:48" ht="13" customHeight="1" x14ac:dyDescent="0.15">
      <c r="A98" s="28" t="s">
        <v>350</v>
      </c>
      <c r="B98" s="123" t="s">
        <v>351</v>
      </c>
      <c r="C98" s="38">
        <v>3222</v>
      </c>
      <c r="D98" s="39"/>
      <c r="E98" s="39"/>
      <c r="F98" s="38">
        <v>0</v>
      </c>
      <c r="G98" s="40">
        <v>66</v>
      </c>
      <c r="H98" s="40">
        <v>307</v>
      </c>
      <c r="I98" s="38">
        <v>23</v>
      </c>
      <c r="J98" s="38">
        <v>157</v>
      </c>
      <c r="K98" s="40">
        <v>220</v>
      </c>
      <c r="L98" s="40">
        <v>56</v>
      </c>
      <c r="M98" s="5">
        <f t="shared" si="30"/>
        <v>56</v>
      </c>
      <c r="N98" s="40">
        <v>190</v>
      </c>
      <c r="O98" s="40">
        <v>2.1</v>
      </c>
      <c r="P98" s="110">
        <v>17.100000000000001</v>
      </c>
      <c r="Q98" s="110">
        <v>273.79998799999998</v>
      </c>
      <c r="R98" s="40">
        <v>2.2000000000000002</v>
      </c>
      <c r="S98" s="40">
        <v>3.2</v>
      </c>
      <c r="T98" s="40">
        <f t="shared" si="31"/>
        <v>2.6532998322843202</v>
      </c>
      <c r="U98" s="34" t="s">
        <v>33</v>
      </c>
      <c r="V98" s="38"/>
      <c r="W98" s="6">
        <f t="shared" si="36"/>
        <v>1</v>
      </c>
      <c r="X98" s="7">
        <f t="shared" si="34"/>
        <v>1</v>
      </c>
      <c r="Y98" s="7">
        <f t="shared" si="37"/>
        <v>1</v>
      </c>
      <c r="Z98" s="7">
        <f t="shared" si="35"/>
        <v>1</v>
      </c>
      <c r="AA98" s="8">
        <f t="shared" si="38"/>
        <v>1</v>
      </c>
      <c r="AB98" s="8">
        <v>0</v>
      </c>
      <c r="AC98" s="8">
        <v>1</v>
      </c>
      <c r="AD98" s="8">
        <v>1</v>
      </c>
      <c r="AE98" s="23">
        <v>0</v>
      </c>
      <c r="AF98" s="59">
        <v>0</v>
      </c>
      <c r="AG98" s="6">
        <f t="shared" si="29"/>
        <v>4</v>
      </c>
      <c r="AH98" s="8" t="s">
        <v>71</v>
      </c>
      <c r="AI98" s="14">
        <f t="shared" si="32"/>
        <v>2042</v>
      </c>
      <c r="AJ98" s="38">
        <v>2030</v>
      </c>
      <c r="AK98" s="38">
        <v>2054</v>
      </c>
      <c r="AL98" s="16" t="s">
        <v>352</v>
      </c>
      <c r="AM98" s="39" t="s">
        <v>351</v>
      </c>
      <c r="AN98" s="16" t="s">
        <v>353</v>
      </c>
      <c r="AO98" s="37">
        <v>1976</v>
      </c>
      <c r="AP98" s="16" t="s">
        <v>354</v>
      </c>
      <c r="AQ98" s="37"/>
      <c r="AR98" s="16" t="s">
        <v>355</v>
      </c>
      <c r="AS98" s="158" t="s">
        <v>356</v>
      </c>
      <c r="AT98" s="141" t="s">
        <v>357</v>
      </c>
      <c r="AU98" s="32" t="s">
        <v>660</v>
      </c>
    </row>
    <row r="99" spans="1:48" ht="13" customHeight="1" x14ac:dyDescent="0.15">
      <c r="A99" s="28" t="s">
        <v>380</v>
      </c>
      <c r="B99" s="122" t="s">
        <v>642</v>
      </c>
      <c r="C99" s="27" t="s">
        <v>382</v>
      </c>
      <c r="D99" s="26" t="s">
        <v>383</v>
      </c>
      <c r="E99" s="26" t="s">
        <v>384</v>
      </c>
      <c r="F99" s="27">
        <v>100</v>
      </c>
      <c r="G99" s="30">
        <v>58</v>
      </c>
      <c r="H99" s="30">
        <v>354.5</v>
      </c>
      <c r="I99" s="133"/>
      <c r="J99" s="27">
        <v>610</v>
      </c>
      <c r="K99" s="30">
        <v>310.8</v>
      </c>
      <c r="L99" s="30">
        <v>34.700000000000003</v>
      </c>
      <c r="M99" s="5">
        <f t="shared" si="30"/>
        <v>34.700000000000003</v>
      </c>
      <c r="N99" s="132">
        <v>1000</v>
      </c>
      <c r="O99" s="132">
        <v>0.1</v>
      </c>
      <c r="P99" s="30">
        <v>37.200000000000003</v>
      </c>
      <c r="Q99" s="30">
        <v>238.4</v>
      </c>
      <c r="R99" s="30">
        <v>7.7</v>
      </c>
      <c r="S99" s="30">
        <v>7.7</v>
      </c>
      <c r="T99" s="30">
        <f t="shared" si="31"/>
        <v>7.7</v>
      </c>
      <c r="U99" s="27" t="s">
        <v>70</v>
      </c>
      <c r="V99" s="27">
        <v>4</v>
      </c>
      <c r="W99" s="6">
        <f t="shared" si="36"/>
        <v>0</v>
      </c>
      <c r="X99" s="7">
        <f t="shared" si="34"/>
        <v>1</v>
      </c>
      <c r="Y99" s="7">
        <f t="shared" si="37"/>
        <v>1</v>
      </c>
      <c r="Z99" s="7">
        <f t="shared" si="35"/>
        <v>1</v>
      </c>
      <c r="AA99" s="8">
        <f t="shared" si="38"/>
        <v>1</v>
      </c>
      <c r="AB99" s="27">
        <v>1</v>
      </c>
      <c r="AC99" s="27">
        <v>1</v>
      </c>
      <c r="AD99" s="27">
        <v>1</v>
      </c>
      <c r="AE99" s="29">
        <v>1</v>
      </c>
      <c r="AF99" s="57">
        <v>0</v>
      </c>
      <c r="AG99" s="6">
        <f t="shared" ref="AG99:AG103" si="39">W99+SUM(AA99:AF99)</f>
        <v>5</v>
      </c>
      <c r="AH99" s="27" t="s">
        <v>71</v>
      </c>
      <c r="AI99" s="14">
        <f t="shared" si="32"/>
        <v>1199</v>
      </c>
      <c r="AJ99" s="27">
        <v>1129</v>
      </c>
      <c r="AK99" s="27">
        <v>1269</v>
      </c>
      <c r="AL99" s="26" t="s">
        <v>385</v>
      </c>
      <c r="AM99" s="44" t="s">
        <v>381</v>
      </c>
      <c r="AN99" s="16" t="s">
        <v>49</v>
      </c>
      <c r="AO99" s="37">
        <v>2009</v>
      </c>
      <c r="AP99" s="16"/>
      <c r="AQ99" s="37"/>
      <c r="AR99" s="16"/>
      <c r="AS99" s="158"/>
      <c r="AT99" s="141" t="s">
        <v>386</v>
      </c>
      <c r="AU99" s="28" t="s">
        <v>661</v>
      </c>
    </row>
    <row r="100" spans="1:48" ht="13" customHeight="1" x14ac:dyDescent="0.15">
      <c r="A100" s="28" t="s">
        <v>380</v>
      </c>
      <c r="B100" s="122" t="s">
        <v>641</v>
      </c>
      <c r="C100" s="27" t="s">
        <v>382</v>
      </c>
      <c r="D100" s="26" t="s">
        <v>388</v>
      </c>
      <c r="E100" s="26" t="s">
        <v>384</v>
      </c>
      <c r="F100" s="27">
        <v>100</v>
      </c>
      <c r="G100" s="30">
        <v>57.9</v>
      </c>
      <c r="H100" s="30">
        <v>354.3</v>
      </c>
      <c r="I100" s="133"/>
      <c r="J100" s="27">
        <v>880</v>
      </c>
      <c r="K100" s="30">
        <v>119.6</v>
      </c>
      <c r="L100" s="30">
        <v>56.7</v>
      </c>
      <c r="M100" s="5">
        <f t="shared" si="30"/>
        <v>56.7</v>
      </c>
      <c r="N100" s="132">
        <v>1000</v>
      </c>
      <c r="O100" s="132">
        <v>0.1</v>
      </c>
      <c r="P100" s="30">
        <v>-17.7</v>
      </c>
      <c r="Q100" s="30">
        <v>220.9</v>
      </c>
      <c r="R100" s="30">
        <v>7.1</v>
      </c>
      <c r="S100" s="30">
        <v>7.1</v>
      </c>
      <c r="T100" s="30">
        <f t="shared" si="31"/>
        <v>7.1</v>
      </c>
      <c r="U100" s="27" t="s">
        <v>70</v>
      </c>
      <c r="V100" s="27">
        <v>4</v>
      </c>
      <c r="W100" s="6">
        <f t="shared" si="36"/>
        <v>0</v>
      </c>
      <c r="X100" s="7">
        <f t="shared" si="34"/>
        <v>1</v>
      </c>
      <c r="Y100" s="7">
        <f t="shared" si="37"/>
        <v>1</v>
      </c>
      <c r="Z100" s="7">
        <f t="shared" si="35"/>
        <v>1</v>
      </c>
      <c r="AA100" s="8">
        <f t="shared" si="38"/>
        <v>1</v>
      </c>
      <c r="AB100" s="27">
        <v>1</v>
      </c>
      <c r="AC100" s="27">
        <v>1</v>
      </c>
      <c r="AD100" s="27">
        <v>1</v>
      </c>
      <c r="AE100" s="29">
        <v>1</v>
      </c>
      <c r="AF100" s="57">
        <v>0</v>
      </c>
      <c r="AG100" s="6">
        <f t="shared" si="39"/>
        <v>5</v>
      </c>
      <c r="AH100" s="27" t="s">
        <v>71</v>
      </c>
      <c r="AI100" s="14">
        <f t="shared" si="32"/>
        <v>925</v>
      </c>
      <c r="AJ100" s="27">
        <v>780</v>
      </c>
      <c r="AK100" s="27">
        <v>1070</v>
      </c>
      <c r="AL100" s="26"/>
      <c r="AM100" s="44" t="s">
        <v>387</v>
      </c>
      <c r="AN100" s="16" t="s">
        <v>49</v>
      </c>
      <c r="AO100" s="37">
        <v>2009</v>
      </c>
      <c r="AP100" s="16"/>
      <c r="AQ100" s="37"/>
      <c r="AR100" s="16"/>
      <c r="AS100" s="158"/>
      <c r="AT100" s="141" t="s">
        <v>389</v>
      </c>
      <c r="AU100" s="28" t="s">
        <v>661</v>
      </c>
    </row>
    <row r="101" spans="1:48" ht="13" customHeight="1" x14ac:dyDescent="0.15">
      <c r="A101" s="33" t="s">
        <v>497</v>
      </c>
      <c r="B101" s="117" t="s">
        <v>498</v>
      </c>
      <c r="C101" s="38" t="s">
        <v>66</v>
      </c>
      <c r="D101" s="69"/>
      <c r="E101" s="69" t="s">
        <v>499</v>
      </c>
      <c r="F101" s="68">
        <v>100</v>
      </c>
      <c r="G101" s="70">
        <v>79</v>
      </c>
      <c r="H101" s="70">
        <v>18</v>
      </c>
      <c r="I101" s="68">
        <v>4</v>
      </c>
      <c r="J101" s="68">
        <v>53</v>
      </c>
      <c r="K101" s="71">
        <v>354.4</v>
      </c>
      <c r="L101" s="70">
        <v>16.100000000000001</v>
      </c>
      <c r="M101" s="70">
        <f t="shared" si="30"/>
        <v>16.100000000000001</v>
      </c>
      <c r="N101" s="70">
        <v>39.9</v>
      </c>
      <c r="O101" s="70">
        <v>14.7</v>
      </c>
      <c r="P101" s="72">
        <v>19.600000000000001</v>
      </c>
      <c r="Q101" s="73">
        <v>204.9</v>
      </c>
      <c r="R101" s="70">
        <v>7.8</v>
      </c>
      <c r="S101" s="70">
        <v>15.1</v>
      </c>
      <c r="T101" s="70">
        <f t="shared" si="31"/>
        <v>10.852649446103012</v>
      </c>
      <c r="U101" s="68" t="s">
        <v>70</v>
      </c>
      <c r="V101" s="68">
        <v>4</v>
      </c>
      <c r="W101" s="74">
        <f t="shared" si="36"/>
        <v>1</v>
      </c>
      <c r="X101" s="75">
        <f t="shared" si="34"/>
        <v>1</v>
      </c>
      <c r="Y101" s="75">
        <f t="shared" si="37"/>
        <v>1</v>
      </c>
      <c r="Z101" s="75">
        <f t="shared" si="35"/>
        <v>1</v>
      </c>
      <c r="AA101" s="66">
        <f t="shared" si="38"/>
        <v>1</v>
      </c>
      <c r="AB101" s="66">
        <v>1</v>
      </c>
      <c r="AC101" s="66">
        <v>0</v>
      </c>
      <c r="AD101" s="2">
        <v>0</v>
      </c>
      <c r="AE101" s="66">
        <f>IF(OR(U101="0or100",U101=0,U101=100),0,1)</f>
        <v>1</v>
      </c>
      <c r="AF101" s="2">
        <v>1</v>
      </c>
      <c r="AG101" s="6">
        <f t="shared" si="39"/>
        <v>5</v>
      </c>
      <c r="AH101" s="66" t="s">
        <v>71</v>
      </c>
      <c r="AI101" s="14">
        <f t="shared" si="32"/>
        <v>830.5</v>
      </c>
      <c r="AJ101" s="85">
        <v>811</v>
      </c>
      <c r="AK101" s="66">
        <v>850</v>
      </c>
      <c r="AL101" s="77" t="s">
        <v>500</v>
      </c>
      <c r="AM101" s="78" t="s">
        <v>498</v>
      </c>
      <c r="AN101" s="78" t="s">
        <v>501</v>
      </c>
      <c r="AO101" s="66">
        <v>2006</v>
      </c>
      <c r="AP101" s="78" t="s">
        <v>502</v>
      </c>
      <c r="AQ101" s="66">
        <v>118</v>
      </c>
      <c r="AR101" s="79" t="s">
        <v>503</v>
      </c>
      <c r="AS101" s="148" t="s">
        <v>504</v>
      </c>
      <c r="AT101" s="141"/>
      <c r="AU101" s="160" t="s">
        <v>631</v>
      </c>
      <c r="AV101" s="95"/>
    </row>
    <row r="102" spans="1:48" ht="13" customHeight="1" x14ac:dyDescent="0.15">
      <c r="A102" s="33" t="s">
        <v>497</v>
      </c>
      <c r="B102" s="117" t="s">
        <v>505</v>
      </c>
      <c r="C102" s="38" t="s">
        <v>66</v>
      </c>
      <c r="D102" s="69"/>
      <c r="E102" s="69" t="s">
        <v>499</v>
      </c>
      <c r="F102" s="68">
        <v>100</v>
      </c>
      <c r="G102" s="70">
        <v>78.900000000000006</v>
      </c>
      <c r="H102" s="70">
        <v>18.2</v>
      </c>
      <c r="I102" s="68">
        <v>5</v>
      </c>
      <c r="J102" s="68">
        <v>107</v>
      </c>
      <c r="K102" s="71">
        <v>126.3</v>
      </c>
      <c r="L102" s="70">
        <v>14.7</v>
      </c>
      <c r="M102" s="70">
        <f t="shared" si="30"/>
        <v>14.7</v>
      </c>
      <c r="N102" s="70">
        <v>84.2</v>
      </c>
      <c r="O102" s="70">
        <v>8.4</v>
      </c>
      <c r="P102" s="72">
        <v>-1.1000000000000001</v>
      </c>
      <c r="Q102" s="73">
        <v>252.6</v>
      </c>
      <c r="R102" s="70">
        <v>4.4000000000000004</v>
      </c>
      <c r="S102" s="70">
        <v>8.6</v>
      </c>
      <c r="T102" s="70">
        <f t="shared" si="31"/>
        <v>6.1514225996918794</v>
      </c>
      <c r="U102" s="68" t="s">
        <v>70</v>
      </c>
      <c r="V102" s="68">
        <v>4</v>
      </c>
      <c r="W102" s="74">
        <f t="shared" si="36"/>
        <v>1</v>
      </c>
      <c r="X102" s="75">
        <f t="shared" si="34"/>
        <v>1</v>
      </c>
      <c r="Y102" s="75">
        <f t="shared" si="37"/>
        <v>1</v>
      </c>
      <c r="Z102" s="75">
        <f t="shared" si="35"/>
        <v>1</v>
      </c>
      <c r="AA102" s="66">
        <f t="shared" si="38"/>
        <v>1</v>
      </c>
      <c r="AB102" s="66">
        <v>1</v>
      </c>
      <c r="AC102" s="66">
        <v>0</v>
      </c>
      <c r="AD102" s="2">
        <v>0</v>
      </c>
      <c r="AE102" s="66">
        <f>IF(OR(U102="0or100",U102=0,U102=100),0,1)</f>
        <v>1</v>
      </c>
      <c r="AF102" s="2">
        <v>1</v>
      </c>
      <c r="AG102" s="6">
        <f t="shared" si="39"/>
        <v>5</v>
      </c>
      <c r="AH102" s="66" t="s">
        <v>71</v>
      </c>
      <c r="AI102" s="14">
        <f t="shared" si="32"/>
        <v>800</v>
      </c>
      <c r="AJ102" s="85">
        <v>789</v>
      </c>
      <c r="AK102" s="85">
        <v>811</v>
      </c>
      <c r="AL102" s="77" t="s">
        <v>506</v>
      </c>
      <c r="AM102" s="78" t="s">
        <v>507</v>
      </c>
      <c r="AN102" s="78" t="s">
        <v>501</v>
      </c>
      <c r="AO102" s="66">
        <v>2006</v>
      </c>
      <c r="AP102" s="78" t="s">
        <v>502</v>
      </c>
      <c r="AQ102" s="66">
        <v>118</v>
      </c>
      <c r="AR102" s="79" t="s">
        <v>503</v>
      </c>
      <c r="AS102" s="148" t="s">
        <v>504</v>
      </c>
      <c r="AT102" s="126"/>
      <c r="AU102" s="160" t="s">
        <v>631</v>
      </c>
      <c r="AV102" s="95"/>
    </row>
    <row r="103" spans="1:48" ht="13" customHeight="1" x14ac:dyDescent="0.15">
      <c r="A103" s="33" t="s">
        <v>497</v>
      </c>
      <c r="B103" s="117" t="s">
        <v>508</v>
      </c>
      <c r="C103" s="38" t="s">
        <v>66</v>
      </c>
      <c r="D103" s="69"/>
      <c r="E103" s="69" t="s">
        <v>509</v>
      </c>
      <c r="F103" s="68">
        <v>100</v>
      </c>
      <c r="G103" s="70">
        <v>78.5</v>
      </c>
      <c r="H103" s="70">
        <v>18</v>
      </c>
      <c r="I103" s="68">
        <v>1</v>
      </c>
      <c r="J103" s="68">
        <v>18</v>
      </c>
      <c r="K103" s="71">
        <v>333.2</v>
      </c>
      <c r="L103" s="70">
        <v>29.4</v>
      </c>
      <c r="M103" s="70">
        <f t="shared" si="30"/>
        <v>29.4</v>
      </c>
      <c r="N103" s="70">
        <v>25.2</v>
      </c>
      <c r="O103" s="70">
        <v>7</v>
      </c>
      <c r="P103" s="72">
        <v>25.9</v>
      </c>
      <c r="Q103" s="73">
        <v>226.8</v>
      </c>
      <c r="R103" s="70">
        <v>4.3</v>
      </c>
      <c r="S103" s="70">
        <v>7.7</v>
      </c>
      <c r="T103" s="70">
        <f t="shared" si="31"/>
        <v>5.7541289523263206</v>
      </c>
      <c r="U103" s="68" t="s">
        <v>149</v>
      </c>
      <c r="V103" s="68">
        <v>4</v>
      </c>
      <c r="W103" s="74">
        <f t="shared" si="36"/>
        <v>1</v>
      </c>
      <c r="X103" s="75">
        <f t="shared" si="34"/>
        <v>0</v>
      </c>
      <c r="Y103" s="75">
        <f t="shared" si="37"/>
        <v>1</v>
      </c>
      <c r="Z103" s="75">
        <f t="shared" si="35"/>
        <v>1</v>
      </c>
      <c r="AA103" s="66">
        <f t="shared" si="38"/>
        <v>0</v>
      </c>
      <c r="AB103" s="66">
        <v>1</v>
      </c>
      <c r="AC103" s="66">
        <v>1</v>
      </c>
      <c r="AD103" s="2">
        <v>0</v>
      </c>
      <c r="AE103" s="66">
        <f>IF(OR(U103="0or100",U103=0,U103=100),0,1)</f>
        <v>0</v>
      </c>
      <c r="AF103" s="2">
        <v>1</v>
      </c>
      <c r="AG103" s="6">
        <f t="shared" si="39"/>
        <v>4</v>
      </c>
      <c r="AH103" s="66" t="s">
        <v>71</v>
      </c>
      <c r="AI103" s="14">
        <f t="shared" si="32"/>
        <v>759.5</v>
      </c>
      <c r="AJ103" s="85">
        <v>730</v>
      </c>
      <c r="AK103" s="85">
        <v>789</v>
      </c>
      <c r="AL103" s="77" t="s">
        <v>510</v>
      </c>
      <c r="AM103" s="78" t="s">
        <v>508</v>
      </c>
      <c r="AN103" s="78" t="s">
        <v>501</v>
      </c>
      <c r="AO103" s="66">
        <v>2006</v>
      </c>
      <c r="AP103" s="78" t="s">
        <v>502</v>
      </c>
      <c r="AQ103" s="66">
        <v>118</v>
      </c>
      <c r="AR103" s="79" t="s">
        <v>503</v>
      </c>
      <c r="AS103" s="148" t="s">
        <v>504</v>
      </c>
      <c r="AT103" s="141"/>
      <c r="AU103" s="160" t="s">
        <v>631</v>
      </c>
      <c r="AV103" s="95"/>
    </row>
  </sheetData>
  <phoneticPr fontId="2" type="noConversion"/>
  <pageMargins left="0.75" right="0.75" top="1" bottom="1" header="0.5" footer="0.5"/>
  <pageSetup scale="36" fitToHeight="100" orientation="landscape" horizontalDpi="4294967292" verticalDpi="4294967292" r:id="rId1"/>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Leirubakki-all</vt:lpstr>
      <vt:lpstr>Database</vt:lpstr>
      <vt:lpstr>'Leirubakki-all'!Print_Area</vt:lpstr>
    </vt:vector>
  </TitlesOfParts>
  <Company>Yale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Evans</dc:creator>
  <cp:lastModifiedBy>Microsoft Office User</cp:lastModifiedBy>
  <cp:lastPrinted>2009-08-14T17:56:21Z</cp:lastPrinted>
  <dcterms:created xsi:type="dcterms:W3CDTF">2006-03-16T01:33:48Z</dcterms:created>
  <dcterms:modified xsi:type="dcterms:W3CDTF">2019-10-20T23:04:29Z</dcterms:modified>
</cp:coreProperties>
</file>