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 cap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<sst xmlns="http://schemas.openxmlformats.org/spreadsheetml/2006/main" count="49" uniqueCount="49">
  <si>
    <t>Ticker</t>
  </si>
  <si>
    <t>Company</t>
  </si>
  <si>
    <t>price</t>
  </si>
  <si>
    <t>change</t>
  </si>
  <si>
    <t>%</t>
  </si>
  <si>
    <t>marketcap</t>
  </si>
  <si>
    <t>PE</t>
  </si>
  <si>
    <t>volume</t>
  </si>
  <si>
    <t>avgvolume</t>
  </si>
  <si>
    <t>MSFT</t>
  </si>
  <si>
    <t>AAPL</t>
  </si>
  <si>
    <t>TSLA</t>
  </si>
  <si>
    <t>JNJ</t>
  </si>
  <si>
    <t>WMT</t>
  </si>
  <si>
    <t>KO</t>
  </si>
  <si>
    <t>PEP</t>
  </si>
  <si>
    <t>MRK</t>
  </si>
  <si>
    <t>AMZN</t>
  </si>
  <si>
    <t>ORCL</t>
  </si>
  <si>
    <t>MA</t>
  </si>
  <si>
    <t>PG</t>
  </si>
  <si>
    <t>V</t>
  </si>
  <si>
    <t>GOOG</t>
  </si>
  <si>
    <t>F</t>
  </si>
  <si>
    <t>TCS</t>
  </si>
  <si>
    <t>BSE</t>
  </si>
  <si>
    <t>M&amp;M</t>
  </si>
  <si>
    <t>INFI</t>
  </si>
  <si>
    <t>SBIN</t>
  </si>
  <si>
    <t>RELIANCE</t>
  </si>
  <si>
    <t>BAC</t>
  </si>
  <si>
    <t>CRM</t>
  </si>
  <si>
    <t>CSCO</t>
  </si>
  <si>
    <t>ACN</t>
  </si>
  <si>
    <t>CCZ</t>
  </si>
  <si>
    <t>MS</t>
  </si>
  <si>
    <t>IBM</t>
  </si>
  <si>
    <t>PM</t>
  </si>
  <si>
    <t>GE</t>
  </si>
  <si>
    <t>TMO</t>
  </si>
  <si>
    <t>T</t>
  </si>
  <si>
    <t>UL</t>
  </si>
  <si>
    <t>BX</t>
  </si>
  <si>
    <t>DE</t>
  </si>
  <si>
    <t>C</t>
  </si>
  <si>
    <t>FI</t>
  </si>
  <si>
    <t>LMT</t>
  </si>
  <si>
    <t>COP</t>
  </si>
  <si>
    <t>SONY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</si>
</sst>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>
      <c r="B3" s="2" t="s">
        <v>9</v>
      </c>
      <c r="C3" s="3" t="str">
        <f>IFERROR(__xludf.DUMMYFUNCTION("GOOGLEFINANCE(B3,""name"")"),"Microsoft Corp")</f>
        <v>Microsoft Corp</v>
      </c>
      <c r="D3" s="4">
        <f>IFERROR(__xludf.DUMMYFUNCTION("GOOGLEFINANCE(B3,""price"")"),418.79)</f>
        <v>418.79</v>
      </c>
      <c r="E3" s="4">
        <f>IFERROR(__xludf.DUMMYFUNCTION("GOOGLEFINANCE(B3,""change"")"),1.79)</f>
        <v>1.79</v>
      </c>
      <c r="F3" s="4">
        <f>IFERROR(__xludf.DUMMYFUNCTION("GOOGLEFINANCE(B3,""changepct"")/100"),0.0043)</f>
        <v>0.0043</v>
      </c>
      <c r="G3" s="4">
        <f>IFERROR(__xludf.DUMMYFUNCTION("GOOGLEFINANCE(B3,""marketcap"")"),3.11365345873E12)</f>
        <v>3113653458730</v>
      </c>
      <c r="H3" s="4">
        <f>IFERROR(__xludf.DUMMYFUNCTION("GOOGLEFINANCE(B3,""pe"")"),34.57)</f>
        <v>34.57</v>
      </c>
      <c r="I3" s="4">
        <f>IFERROR(__xludf.DUMMYFUNCTION("GOOGLEFINANCE(B3,""volume"")"),79544.0)</f>
        <v>79544</v>
      </c>
      <c r="J3" s="4">
        <f>IFERROR(__xludf.DUMMYFUNCTION("GOOGLEFINANCE(B3,""volumeavg"")"),2.1522128E7)</f>
        <v>21522128</v>
      </c>
    </row>
    <row r="4">
      <c r="B4" s="2" t="s">
        <v>10</v>
      </c>
      <c r="C4" s="3" t="str">
        <f>IFERROR(__xludf.DUMMYFUNCTION("GOOGLEFINANCE(B4,""name"")"),"Apple Inc")</f>
        <v>Apple Inc</v>
      </c>
      <c r="D4" s="4">
        <f>IFERROR(__xludf.DUMMYFUNCTION("GOOGLEFINANCE(B4,""price"")"),232.87)</f>
        <v>232.87</v>
      </c>
      <c r="E4" s="4">
        <f>IFERROR(__xludf.DUMMYFUNCTION("GOOGLEFINANCE(B4,""change"")"),3.0)</f>
        <v>3</v>
      </c>
      <c r="F4" s="4">
        <f>IFERROR(__xludf.DUMMYFUNCTION("GOOGLEFINANCE(B4,""changepct"")/100"),0.0131)</f>
        <v>0.0131</v>
      </c>
      <c r="G4" s="4">
        <f>IFERROR(__xludf.DUMMYFUNCTION("GOOGLEFINANCE(B4,""marketcap"")"),3.520020929592E12)</f>
        <v>3520020929592</v>
      </c>
      <c r="H4" s="4">
        <f>IFERROR(__xludf.DUMMYFUNCTION("GOOGLEFINANCE(B4,""pe"")"),38.28)</f>
        <v>38.28</v>
      </c>
      <c r="I4" s="4">
        <f>IFERROR(__xludf.DUMMYFUNCTION("GOOGLEFINANCE(B4,""volume"")"),67645.0)</f>
        <v>67645</v>
      </c>
      <c r="J4" s="4">
        <f>IFERROR(__xludf.DUMMYFUNCTION("GOOGLEFINANCE(B4,""volumeavg"")"),4.3063578E7)</f>
        <v>43063578</v>
      </c>
    </row>
    <row r="5">
      <c r="B5" s="2" t="s">
        <v>11</v>
      </c>
      <c r="C5" s="3" t="str">
        <f>IFERROR(__xludf.DUMMYFUNCTION("GOOGLEFINANCE(B5,""name"")"),"Tesla Inc")</f>
        <v>Tesla Inc</v>
      </c>
      <c r="D5" s="4">
        <f>IFERROR(__xludf.DUMMYFUNCTION("GOOGLEFINANCE(B5,""price"")"),338.59)</f>
        <v>338.59</v>
      </c>
      <c r="E5" s="4">
        <f>IFERROR(__xludf.DUMMYFUNCTION("GOOGLEFINANCE(B5,""change"")"),-13.97)</f>
        <v>-13.97</v>
      </c>
      <c r="F5" s="4">
        <f>IFERROR(__xludf.DUMMYFUNCTION("GOOGLEFINANCE(B5,""changepct"")/100"),-0.039599999999999996)</f>
        <v>-0.0396</v>
      </c>
      <c r="G5" s="4">
        <f>IFERROR(__xludf.DUMMYFUNCTION("GOOGLEFINANCE(B5,""marketcap"")"),1.060961595824E12)</f>
        <v>1060961595824</v>
      </c>
      <c r="H5" s="4">
        <f>IFERROR(__xludf.DUMMYFUNCTION("GOOGLEFINANCE(B5,""pe"")"),92.84)</f>
        <v>92.84</v>
      </c>
      <c r="I5" s="4">
        <f>IFERROR(__xludf.DUMMYFUNCTION("GOOGLEFINANCE(B5,""volume"")"),621156.0)</f>
        <v>621156</v>
      </c>
      <c r="J5" s="4">
        <f>IFERROR(__xludf.DUMMYFUNCTION("GOOGLEFINANCE(B5,""volumeavg"")"),9.9478792E7)</f>
        <v>99478792</v>
      </c>
    </row>
    <row r="6">
      <c r="B6" s="2" t="s">
        <v>12</v>
      </c>
      <c r="C6" s="3" t="str">
        <f>IFERROR(__xludf.DUMMYFUNCTION("GOOGLEFINANCE(B6,""name"")"),"Johnson &amp; Johnson")</f>
        <v>Johnson &amp; Johnson</v>
      </c>
      <c r="D6" s="4">
        <f>IFERROR(__xludf.DUMMYFUNCTION("GOOGLEFINANCE(B6,""price"")"),155.78)</f>
        <v>155.78</v>
      </c>
      <c r="E6" s="4">
        <f>IFERROR(__xludf.DUMMYFUNCTION("GOOGLEFINANCE(B6,""change"")"),0.61)</f>
        <v>0.61</v>
      </c>
      <c r="F6" s="4">
        <f>IFERROR(__xludf.DUMMYFUNCTION("GOOGLEFINANCE(B6,""changepct"")/100"),0.0039000000000000003)</f>
        <v>0.0039</v>
      </c>
      <c r="G6" s="4">
        <f>IFERROR(__xludf.DUMMYFUNCTION("GOOGLEFINANCE(B6,""marketcap"")"),3.75059352221E11)</f>
        <v>375059352221</v>
      </c>
      <c r="H6" s="4">
        <f>IFERROR(__xludf.DUMMYFUNCTION("GOOGLEFINANCE(B6,""pe"")"),25.75)</f>
        <v>25.75</v>
      </c>
      <c r="I6" s="4">
        <f>IFERROR(__xludf.DUMMYFUNCTION("GOOGLEFINANCE(B6,""volume"")"),1631.0)</f>
        <v>1631</v>
      </c>
      <c r="J6" s="4">
        <f>IFERROR(__xludf.DUMMYFUNCTION("GOOGLEFINANCE(B6,""volumeavg"")"),7142049.0)</f>
        <v>7142049</v>
      </c>
    </row>
    <row r="7">
      <c r="B7" s="2" t="s">
        <v>13</v>
      </c>
      <c r="C7" s="3" t="str">
        <f>IFERROR(__xludf.DUMMYFUNCTION("GOOGLEFINANCE(B7,""name"")"),"Walmart Inc")</f>
        <v>Walmart Inc</v>
      </c>
      <c r="D7" s="4">
        <f>IFERROR(__xludf.DUMMYFUNCTION("GOOGLEFINANCE(B7,""price"")"),89.5)</f>
        <v>89.5</v>
      </c>
      <c r="E7" s="4">
        <f>IFERROR(__xludf.DUMMYFUNCTION("GOOGLEFINANCE(B7,""change"")"),-0.94)</f>
        <v>-0.94</v>
      </c>
      <c r="F7" s="4">
        <f>IFERROR(__xludf.DUMMYFUNCTION("GOOGLEFINANCE(B7,""changepct"")/100"),-0.0104)</f>
        <v>-0.0104</v>
      </c>
      <c r="G7" s="4">
        <f>IFERROR(__xludf.DUMMYFUNCTION("GOOGLEFINANCE(B7,""marketcap"")"),7.19423375E11)</f>
        <v>719423375000</v>
      </c>
      <c r="H7" s="4">
        <f>IFERROR(__xludf.DUMMYFUNCTION("GOOGLEFINANCE(B7,""pe"")"),46.56)</f>
        <v>46.56</v>
      </c>
      <c r="I7" s="4">
        <f>IFERROR(__xludf.DUMMYFUNCTION("GOOGLEFINANCE(B7,""volume"")"),5285.0)</f>
        <v>5285</v>
      </c>
      <c r="J7" s="4">
        <f>IFERROR(__xludf.DUMMYFUNCTION("GOOGLEFINANCE(B7,""volumeavg"")"),1.424961E7)</f>
        <v>14249610</v>
      </c>
    </row>
    <row r="8">
      <c r="B8" s="2" t="s">
        <v>14</v>
      </c>
      <c r="C8" s="3" t="str">
        <f>IFERROR(__xludf.DUMMYFUNCTION("GOOGLEFINANCE(B8,""name"")"),"Coca-Cola Co")</f>
        <v>Coca-Cola Co</v>
      </c>
      <c r="D8" s="4">
        <f>IFERROR(__xludf.DUMMYFUNCTION("GOOGLEFINANCE(B8,""price"")"),64.38)</f>
        <v>64.38</v>
      </c>
      <c r="E8" s="4">
        <f>IFERROR(__xludf.DUMMYFUNCTION("GOOGLEFINANCE(B8,""change"")"),0.46)</f>
        <v>0.46</v>
      </c>
      <c r="F8" s="4">
        <f>IFERROR(__xludf.DUMMYFUNCTION("GOOGLEFINANCE(B8,""changepct"")/100"),0.0072)</f>
        <v>0.0072</v>
      </c>
      <c r="G8" s="4">
        <f>IFERROR(__xludf.DUMMYFUNCTION("GOOGLEFINANCE(B8,""marketcap"")"),2.77335959028E11)</f>
        <v>277335959028</v>
      </c>
      <c r="H8" s="4">
        <f>IFERROR(__xludf.DUMMYFUNCTION("GOOGLEFINANCE(B8,""pe"")"),26.74)</f>
        <v>26.74</v>
      </c>
      <c r="I8" s="4">
        <f>IFERROR(__xludf.DUMMYFUNCTION("GOOGLEFINANCE(B8,""volume"")"),14324.0)</f>
        <v>14324</v>
      </c>
      <c r="J8" s="4">
        <f>IFERROR(__xludf.DUMMYFUNCTION("GOOGLEFINANCE(B8,""volumeavg"")"),1.5046122E7)</f>
        <v>15046122</v>
      </c>
    </row>
    <row r="9">
      <c r="B9" s="2" t="s">
        <v>15</v>
      </c>
      <c r="C9" s="3" t="str">
        <f>IFERROR(__xludf.DUMMYFUNCTION("GOOGLEFINANCE(B9,""name"")"),"PepsiCo Inc")</f>
        <v>PepsiCo Inc</v>
      </c>
      <c r="D9" s="4">
        <f>IFERROR(__xludf.DUMMYFUNCTION("GOOGLEFINANCE(B9,""price"")"),163.05)</f>
        <v>163.05</v>
      </c>
      <c r="E9" s="4">
        <f>IFERROR(__xludf.DUMMYFUNCTION("GOOGLEFINANCE(B9,""change"")"),1.05)</f>
        <v>1.05</v>
      </c>
      <c r="F9" s="4">
        <f>IFERROR(__xludf.DUMMYFUNCTION("GOOGLEFINANCE(B9,""changepct"")/100"),0.006500000000000001)</f>
        <v>0.0065</v>
      </c>
      <c r="G9" s="4">
        <f>IFERROR(__xludf.DUMMYFUNCTION("GOOGLEFINANCE(B9,""marketcap"")"),2.23702647586E11)</f>
        <v>223702647586</v>
      </c>
      <c r="H9" s="4">
        <f>IFERROR(__xludf.DUMMYFUNCTION("GOOGLEFINANCE(B9,""pe"")"),24.03)</f>
        <v>24.03</v>
      </c>
      <c r="I9" s="4">
        <f>IFERROR(__xludf.DUMMYFUNCTION("GOOGLEFINANCE(B9,""volume"")"),243.0)</f>
        <v>243</v>
      </c>
      <c r="J9" s="4">
        <f>IFERROR(__xludf.DUMMYFUNCTION("GOOGLEFINANCE(B9,""volumeavg"")"),5334581.0)</f>
        <v>5334581</v>
      </c>
    </row>
    <row r="10">
      <c r="B10" s="2" t="s">
        <v>16</v>
      </c>
      <c r="C10" s="3" t="str">
        <f>IFERROR(__xludf.DUMMYFUNCTION("GOOGLEFINANCE(B10,""name"")"),"Merck &amp; Co Inc")</f>
        <v>Merck &amp; Co Inc</v>
      </c>
      <c r="D10" s="4">
        <f>IFERROR(__xludf.DUMMYFUNCTION("GOOGLEFINANCE(B10,""price"")"),101.16)</f>
        <v>101.16</v>
      </c>
      <c r="E10" s="4">
        <f>IFERROR(__xludf.DUMMYFUNCTION("GOOGLEFINANCE(B10,""change"")"),1.98)</f>
        <v>1.98</v>
      </c>
      <c r="F10" s="4">
        <f>IFERROR(__xludf.DUMMYFUNCTION("GOOGLEFINANCE(B10,""changepct"")/100"),0.02)</f>
        <v>0.02</v>
      </c>
      <c r="G10" s="4">
        <f>IFERROR(__xludf.DUMMYFUNCTION("GOOGLEFINANCE(B10,""marketcap"")"),2.55897987023E11)</f>
        <v>255897987023</v>
      </c>
      <c r="H10" s="4">
        <f>IFERROR(__xludf.DUMMYFUNCTION("GOOGLEFINANCE(B10,""pe"")"),21.21)</f>
        <v>21.21</v>
      </c>
      <c r="I10" s="4">
        <f>IFERROR(__xludf.DUMMYFUNCTION("GOOGLEFINANCE(B10,""volume"")"),665.0)</f>
        <v>665</v>
      </c>
      <c r="J10" s="4">
        <f>IFERROR(__xludf.DUMMYFUNCTION("GOOGLEFINANCE(B10,""volumeavg"")"),1.0661082E7)</f>
        <v>10661082</v>
      </c>
    </row>
    <row r="11">
      <c r="B11" s="2" t="s">
        <v>17</v>
      </c>
      <c r="C11" s="3" t="str">
        <f>IFERROR(__xludf.DUMMYFUNCTION("GOOGLEFINANCE(B11,""name"")"),"Amazon.com Inc")</f>
        <v>Amazon.com Inc</v>
      </c>
      <c r="D11" s="4">
        <f>IFERROR(__xludf.DUMMYFUNCTION("GOOGLEFINANCE(B11,""price"")"),201.45)</f>
        <v>201.45</v>
      </c>
      <c r="E11" s="4">
        <f>IFERROR(__xludf.DUMMYFUNCTION("GOOGLEFINANCE(B11,""change"")"),4.33)</f>
        <v>4.33</v>
      </c>
      <c r="F11" s="4">
        <f>IFERROR(__xludf.DUMMYFUNCTION("GOOGLEFINANCE(B11,""changepct"")/100"),0.022000000000000002)</f>
        <v>0.022</v>
      </c>
      <c r="G11" s="4">
        <f>IFERROR(__xludf.DUMMYFUNCTION("GOOGLEFINANCE(B11,""marketcap"")"),2.11824873241E12)</f>
        <v>2118248732410</v>
      </c>
      <c r="H11" s="4">
        <f>IFERROR(__xludf.DUMMYFUNCTION("GOOGLEFINANCE(B11,""pe"")"),43.17)</f>
        <v>43.17</v>
      </c>
      <c r="I11" s="4">
        <f>IFERROR(__xludf.DUMMYFUNCTION("GOOGLEFINANCE(B11,""volume"")"),38299.0)</f>
        <v>38299</v>
      </c>
      <c r="J11" s="4">
        <f>IFERROR(__xludf.DUMMYFUNCTION("GOOGLEFINANCE(B11,""volumeavg"")"),4.0834772E7)</f>
        <v>40834772</v>
      </c>
    </row>
    <row r="12">
      <c r="B12" s="2" t="s">
        <v>18</v>
      </c>
      <c r="C12" s="3" t="str">
        <f>IFERROR(__xludf.DUMMYFUNCTION("GOOGLEFINANCE(B12,""name"")"),"Oracle Corp")</f>
        <v>Oracle Corp</v>
      </c>
      <c r="D12" s="4">
        <f>IFERROR(__xludf.DUMMYFUNCTION("GOOGLEFINANCE(B12,""price"")"),187.99)</f>
        <v>187.99</v>
      </c>
      <c r="E12" s="4">
        <f>IFERROR(__xludf.DUMMYFUNCTION("GOOGLEFINANCE(B12,""change"")"),-4.3)</f>
        <v>-4.3</v>
      </c>
      <c r="F12" s="4">
        <f>IFERROR(__xludf.DUMMYFUNCTION("GOOGLEFINANCE(B12,""changepct"")/100"),-0.022400000000000003)</f>
        <v>-0.0224</v>
      </c>
      <c r="G12" s="4">
        <f>IFERROR(__xludf.DUMMYFUNCTION("GOOGLEFINANCE(B12,""marketcap"")"),5.20932148591E11)</f>
        <v>520932148591</v>
      </c>
      <c r="H12" s="4">
        <f>IFERROR(__xludf.DUMMYFUNCTION("GOOGLEFINANCE(B12,""pe"")"),48.48)</f>
        <v>48.48</v>
      </c>
      <c r="I12" s="4">
        <f>IFERROR(__xludf.DUMMYFUNCTION("GOOGLEFINANCE(B12,""volume"")"),2954.0)</f>
        <v>2954</v>
      </c>
      <c r="J12" s="4">
        <f>IFERROR(__xludf.DUMMYFUNCTION("GOOGLEFINANCE(B12,""volumeavg"")"),6292946.0)</f>
        <v>6292946</v>
      </c>
    </row>
    <row r="13">
      <c r="B13" s="2" t="s">
        <v>19</v>
      </c>
      <c r="C13" s="3" t="str">
        <f>IFERROR(__xludf.DUMMYFUNCTION("GOOGLEFINANCE(B13,""name"")"),"Mastercard Inc")</f>
        <v>Mastercard Inc</v>
      </c>
      <c r="D13" s="4">
        <f>IFERROR(__xludf.DUMMYFUNCTION("GOOGLEFINANCE(B13,""price"")"),526.6)</f>
        <v>526.6</v>
      </c>
      <c r="E13" s="4">
        <f>IFERROR(__xludf.DUMMYFUNCTION("GOOGLEFINANCE(B13,""change"")"),5.74)</f>
        <v>5.74</v>
      </c>
      <c r="F13" s="4">
        <f>IFERROR(__xludf.DUMMYFUNCTION("GOOGLEFINANCE(B13,""changepct"")/100"),0.011000000000000001)</f>
        <v>0.011</v>
      </c>
      <c r="G13" s="4">
        <f>IFERROR(__xludf.DUMMYFUNCTION("GOOGLEFINANCE(B13,""marketcap"")"),4.83329782192E11)</f>
        <v>483329782192</v>
      </c>
      <c r="H13" s="4">
        <f>IFERROR(__xludf.DUMMYFUNCTION("GOOGLEFINANCE(B13,""pe"")"),39.8)</f>
        <v>39.8</v>
      </c>
      <c r="I13" s="4">
        <f>IFERROR(__xludf.DUMMYFUNCTION("GOOGLEFINANCE(B13,""volume"")"),35.0)</f>
        <v>35</v>
      </c>
      <c r="J13" s="4">
        <f>IFERROR(__xludf.DUMMYFUNCTION("GOOGLEFINANCE(B13,""volumeavg"")"),2584682.0)</f>
        <v>2584682</v>
      </c>
    </row>
    <row r="14">
      <c r="B14" s="2" t="s">
        <v>20</v>
      </c>
      <c r="C14" s="3" t="str">
        <f>IFERROR(__xludf.DUMMYFUNCTION("GOOGLEFINANCE(B14,""name"")"),"Procter &amp; Gamble Co")</f>
        <v>Procter &amp; Gamble Co</v>
      </c>
      <c r="D14" s="4">
        <f>IFERROR(__xludf.DUMMYFUNCTION("GOOGLEFINANCE(B14,""price"")"),177.39)</f>
        <v>177.39</v>
      </c>
      <c r="E14" s="4">
        <f>IFERROR(__xludf.DUMMYFUNCTION("GOOGLEFINANCE(B14,""change"")"),1.11)</f>
        <v>1.11</v>
      </c>
      <c r="F14" s="4">
        <f>IFERROR(__xludf.DUMMYFUNCTION("GOOGLEFINANCE(B14,""changepct"")/100"),0.0063)</f>
        <v>0.0063</v>
      </c>
      <c r="G14" s="4">
        <f>IFERROR(__xludf.DUMMYFUNCTION("GOOGLEFINANCE(B14,""marketcap"")"),4.17760721552E11)</f>
        <v>417760721552</v>
      </c>
      <c r="H14" s="4">
        <f>IFERROR(__xludf.DUMMYFUNCTION("GOOGLEFINANCE(B14,""pe"")"),30.6)</f>
        <v>30.6</v>
      </c>
      <c r="I14" s="4">
        <f>IFERROR(__xludf.DUMMYFUNCTION("GOOGLEFINANCE(B14,""volume"")"),233.0)</f>
        <v>233</v>
      </c>
      <c r="J14" s="4">
        <f>IFERROR(__xludf.DUMMYFUNCTION("GOOGLEFINANCE(B14,""volumeavg"")"),6707409.0)</f>
        <v>6707409</v>
      </c>
    </row>
    <row r="15">
      <c r="B15" s="2" t="s">
        <v>21</v>
      </c>
      <c r="C15" s="3" t="str">
        <f>IFERROR(__xludf.DUMMYFUNCTION("GOOGLEFINANCE(B15,""name"")"),"Visa Inc")</f>
        <v>Visa Inc</v>
      </c>
      <c r="D15" s="4">
        <f>IFERROR(__xludf.DUMMYFUNCTION("GOOGLEFINANCE(B15,""price"")"),313.19)</f>
        <v>313.19</v>
      </c>
      <c r="E15" s="4">
        <f>IFERROR(__xludf.DUMMYFUNCTION("GOOGLEFINANCE(B15,""change"")"),3.27)</f>
        <v>3.27</v>
      </c>
      <c r="F15" s="4">
        <f>IFERROR(__xludf.DUMMYFUNCTION("GOOGLEFINANCE(B15,""changepct"")/100"),0.0106)</f>
        <v>0.0106</v>
      </c>
      <c r="G15" s="4">
        <f>IFERROR(__xludf.DUMMYFUNCTION("GOOGLEFINANCE(B15,""marketcap"")"),6.13770662194E11)</f>
        <v>613770662194</v>
      </c>
      <c r="H15" s="4">
        <f>IFERROR(__xludf.DUMMYFUNCTION("GOOGLEFINANCE(B15,""pe"")"),32.19)</f>
        <v>32.19</v>
      </c>
      <c r="I15" s="4">
        <f>IFERROR(__xludf.DUMMYFUNCTION("GOOGLEFINANCE(B15,""volume"")"),569.0)</f>
        <v>569</v>
      </c>
      <c r="J15" s="4">
        <f>IFERROR(__xludf.DUMMYFUNCTION("GOOGLEFINANCE(B15,""volumeavg"")"),5863932.0)</f>
        <v>5863932</v>
      </c>
    </row>
    <row r="16">
      <c r="B16" s="2" t="s">
        <v>22</v>
      </c>
      <c r="C16" s="3" t="str">
        <f>IFERROR(__xludf.DUMMYFUNCTION("GOOGLEFINANCE(B16,""name"")"),"Alphabet Inc Class C")</f>
        <v>Alphabet Inc Class C</v>
      </c>
      <c r="D16" s="4">
        <f>IFERROR(__xludf.DUMMYFUNCTION("GOOGLEFINANCE(B16,""price"")"),169.43)</f>
        <v>169.43</v>
      </c>
      <c r="E16" s="4">
        <f>IFERROR(__xludf.DUMMYFUNCTION("GOOGLEFINANCE(B16,""change"")"),2.86)</f>
        <v>2.86</v>
      </c>
      <c r="F16" s="4">
        <f>IFERROR(__xludf.DUMMYFUNCTION("GOOGLEFINANCE(B16,""changepct"")/100"),0.0172)</f>
        <v>0.0172</v>
      </c>
      <c r="G16" s="4">
        <f>IFERROR(__xludf.DUMMYFUNCTION("GOOGLEFINANCE(B16,""marketcap"")"),2.062395018415E12)</f>
        <v>2062395018415</v>
      </c>
      <c r="H16" s="4">
        <f>IFERROR(__xludf.DUMMYFUNCTION("GOOGLEFINANCE(B16,""pe"")"),22.48)</f>
        <v>22.48</v>
      </c>
      <c r="I16" s="4">
        <f>IFERROR(__xludf.DUMMYFUNCTION("GOOGLEFINANCE(B16,""volume"")"),40915.0)</f>
        <v>40915</v>
      </c>
      <c r="J16" s="4">
        <f>IFERROR(__xludf.DUMMYFUNCTION("GOOGLEFINANCE(B16,""volumeavg"")"),1.871074E7)</f>
        <v>18710740</v>
      </c>
    </row>
    <row r="17">
      <c r="B17" s="2" t="s">
        <v>23</v>
      </c>
      <c r="C17" s="3" t="str">
        <f>IFERROR(__xludf.DUMMYFUNCTION("GOOGLEFINANCE(B17,""name"")"),"Ford Motor Co")</f>
        <v>Ford Motor Co</v>
      </c>
      <c r="D17" s="4">
        <f>IFERROR(__xludf.DUMMYFUNCTION("GOOGLEFINANCE(B17,""price"")"),11.4)</f>
        <v>11.4</v>
      </c>
      <c r="E17" s="4">
        <f>IFERROR(__xludf.DUMMYFUNCTION("GOOGLEFINANCE(B17,""change"")"),0.22)</f>
        <v>0.22</v>
      </c>
      <c r="F17" s="4">
        <f>IFERROR(__xludf.DUMMYFUNCTION("GOOGLEFINANCE(B17,""changepct"")/100"),0.0197)</f>
        <v>0.0197</v>
      </c>
      <c r="G17" s="4">
        <f>IFERROR(__xludf.DUMMYFUNCTION("GOOGLEFINANCE(B17,""marketcap"")"),4.5306881683E10)</f>
        <v>45306881683</v>
      </c>
      <c r="H17" s="4">
        <f>IFERROR(__xludf.DUMMYFUNCTION("GOOGLEFINANCE(B17,""pe"")"),13.0)</f>
        <v>13</v>
      </c>
      <c r="I17" s="4">
        <f>IFERROR(__xludf.DUMMYFUNCTION("GOOGLEFINANCE(B17,""volume"")"),73223.0)</f>
        <v>73223</v>
      </c>
      <c r="J17" s="4">
        <f>IFERROR(__xludf.DUMMYFUNCTION("GOOGLEFINANCE(B17,""volumeavg"")"),5.7414801E7)</f>
        <v>57414801</v>
      </c>
    </row>
    <row r="18">
      <c r="B18" s="2" t="s">
        <v>24</v>
      </c>
      <c r="C18" s="3" t="str">
        <f>IFERROR(__xludf.DUMMYFUNCTION("GOOGLEFINANCE(B18,""name"")"),"Container Store Group Inc")</f>
        <v>Container Store Group Inc</v>
      </c>
      <c r="D18" s="4">
        <f>IFERROR(__xludf.DUMMYFUNCTION("GOOGLEFINANCE(B18,""price"")"),3.81)</f>
        <v>3.81</v>
      </c>
      <c r="E18" s="4">
        <f>IFERROR(__xludf.DUMMYFUNCTION("GOOGLEFINANCE(B18,""change"")"),-0.16)</f>
        <v>-0.16</v>
      </c>
      <c r="F18" s="4">
        <f>IFERROR(__xludf.DUMMYFUNCTION("GOOGLEFINANCE(B18,""changepct"")/100"),-0.0403)</f>
        <v>-0.0403</v>
      </c>
      <c r="G18" s="4">
        <f>IFERROR(__xludf.DUMMYFUNCTION("GOOGLEFINANCE(B18,""marketcap"")"),1.3149258E7)</f>
        <v>13149258</v>
      </c>
      <c r="H18" s="4" t="str">
        <f>IFERROR(__xludf.DUMMYFUNCTION("GOOGLEFINANCE(B18,""pe"")"),"#N/A")</f>
        <v>#N/A</v>
      </c>
      <c r="I18" s="4">
        <f>IFERROR(__xludf.DUMMYFUNCTION("GOOGLEFINANCE(B18,""volume"")"),0.0)</f>
        <v>0</v>
      </c>
      <c r="J18" s="4">
        <f>IFERROR(__xludf.DUMMYFUNCTION("GOOGLEFINANCE(B18,""volumeavg"")"),207854.0)</f>
        <v>207854</v>
      </c>
    </row>
    <row r="19">
      <c r="B19" s="2" t="s">
        <v>25</v>
      </c>
      <c r="C19" s="3" t="str">
        <f>IFERROR(__xludf.DUMMYFUNCTION("GOOGLEFINANCE(B19,""name"")"),"BSE Ltd")</f>
        <v>BSE Ltd</v>
      </c>
      <c r="D19" s="4">
        <f>IFERROR(__xludf.DUMMYFUNCTION("GOOGLEFINANCE(B19,""price"")"),4429.0)</f>
        <v>4429</v>
      </c>
      <c r="E19" s="4">
        <f>IFERROR(__xludf.DUMMYFUNCTION("GOOGLEFINANCE(B19,""change"")"),-257.8)</f>
        <v>-257.8</v>
      </c>
      <c r="F19" s="4">
        <f>IFERROR(__xludf.DUMMYFUNCTION("GOOGLEFINANCE(B19,""changepct"")/100"),-0.055)</f>
        <v>-0.055</v>
      </c>
      <c r="G19" s="4">
        <f>IFERROR(__xludf.DUMMYFUNCTION("GOOGLEFINANCE(B19,""marketcap"")"),5.995816327E11)</f>
        <v>599581632700</v>
      </c>
      <c r="H19" s="4">
        <f>IFERROR(__xludf.DUMMYFUNCTION("GOOGLEFINANCE(B19,""pe"")"),73.54)</f>
        <v>73.54</v>
      </c>
      <c r="I19" s="4">
        <f>IFERROR(__xludf.DUMMYFUNCTION("GOOGLEFINANCE(B19,""volume"")"),4382423.0)</f>
        <v>4382423</v>
      </c>
      <c r="J19" s="4">
        <f>IFERROR(__xludf.DUMMYFUNCTION("GOOGLEFINANCE(B19,""volumeavg"")"),2900216.0)</f>
        <v>2900216</v>
      </c>
    </row>
    <row r="20">
      <c r="B20" s="2" t="s">
        <v>26</v>
      </c>
      <c r="C20" s="3" t="str">
        <f>IFERROR(__xludf.DUMMYFUNCTION("GOOGLEFINANCE(B20,""name"")"),"Mahindra And Mahindra Ltd")</f>
        <v>Mahindra And Mahindra Ltd</v>
      </c>
      <c r="D20" s="4">
        <f>IFERROR(__xludf.DUMMYFUNCTION("GOOGLEFINANCE(B20,""price"")"),3005.0)</f>
        <v>3005</v>
      </c>
      <c r="E20" s="4">
        <f>IFERROR(__xludf.DUMMYFUNCTION("GOOGLEFINANCE(B20,""change"")"),-40.6)</f>
        <v>-40.6</v>
      </c>
      <c r="F20" s="4">
        <f>IFERROR(__xludf.DUMMYFUNCTION("GOOGLEFINANCE(B20,""changepct"")/100"),-0.013300000000000001)</f>
        <v>-0.0133</v>
      </c>
      <c r="G20" s="4">
        <f>IFERROR(__xludf.DUMMYFUNCTION("GOOGLEFINANCE(B20,""marketcap"")"),3.581431337307E12)</f>
        <v>3581431337307</v>
      </c>
      <c r="H20" s="4">
        <f>IFERROR(__xludf.DUMMYFUNCTION("GOOGLEFINANCE(B20,""pe"")"),28.35)</f>
        <v>28.35</v>
      </c>
      <c r="I20" s="4">
        <f>IFERROR(__xludf.DUMMYFUNCTION("GOOGLEFINANCE(B20,""volume"")"),2144702.0)</f>
        <v>2144702</v>
      </c>
      <c r="J20" s="4">
        <f>IFERROR(__xludf.DUMMYFUNCTION("GOOGLEFINANCE(B20,""volumeavg"")"),3675740.0)</f>
        <v>3675740</v>
      </c>
    </row>
    <row r="21">
      <c r="B21" s="2" t="s">
        <v>27</v>
      </c>
      <c r="C21" s="3" t="str">
        <f>IFERROR(__xludf.DUMMYFUNCTION("GOOGLEFINANCE(B21,""name"")"),"Infinitum Copper Corp")</f>
        <v>Infinitum Copper Corp</v>
      </c>
      <c r="D21" s="4">
        <f>IFERROR(__xludf.DUMMYFUNCTION("GOOGLEFINANCE(B21,""price"")"),0.02)</f>
        <v>0.02</v>
      </c>
      <c r="E21" s="4">
        <f>IFERROR(__xludf.DUMMYFUNCTION("GOOGLEFINANCE(B21,""change"")"),0.0)</f>
        <v>0</v>
      </c>
      <c r="F21" s="4">
        <f>IFERROR(__xludf.DUMMYFUNCTION("GOOGLEFINANCE(B21,""changepct"")/100"),0.0)</f>
        <v>0</v>
      </c>
      <c r="G21" s="4">
        <f>IFERROR(__xludf.DUMMYFUNCTION("GOOGLEFINANCE(B21,""marketcap"")"),545977.0)</f>
        <v>545977</v>
      </c>
      <c r="H21" s="4" t="str">
        <f>IFERROR(__xludf.DUMMYFUNCTION("GOOGLEFINANCE(B21,""pe"")"),"#N/A")</f>
        <v>#N/A</v>
      </c>
      <c r="I21" s="4">
        <f>IFERROR(__xludf.DUMMYFUNCTION("GOOGLEFINANCE(B21,""volume"")"),26000.0)</f>
        <v>26000</v>
      </c>
      <c r="J21" s="4">
        <f>IFERROR(__xludf.DUMMYFUNCTION("GOOGLEFINANCE(B21,""volumeavg"")"),94601.0)</f>
        <v>94601</v>
      </c>
    </row>
    <row r="22">
      <c r="B22" s="2" t="s">
        <v>28</v>
      </c>
      <c r="C22" s="3" t="str">
        <f>IFERROR(__xludf.DUMMYFUNCTION("GOOGLEFINANCE(B22,""name"")"),"State Bank of India")</f>
        <v>State Bank of India</v>
      </c>
      <c r="D22" s="4">
        <f>IFERROR(__xludf.DUMMYFUNCTION("GOOGLEFINANCE(B22,""price"")"),838.3)</f>
        <v>838.3</v>
      </c>
      <c r="E22" s="4">
        <f>IFERROR(__xludf.DUMMYFUNCTION("GOOGLEFINANCE(B22,""change"")"),-6.15)</f>
        <v>-6.15</v>
      </c>
      <c r="F22" s="4">
        <f>IFERROR(__xludf.DUMMYFUNCTION("GOOGLEFINANCE(B22,""changepct"")/100"),-0.0073)</f>
        <v>-0.0073</v>
      </c>
      <c r="G22" s="4">
        <f>IFERROR(__xludf.DUMMYFUNCTION("GOOGLEFINANCE(B22,""marketcap"")"),7.481598886433E12)</f>
        <v>7481598886433</v>
      </c>
      <c r="H22" s="4">
        <f>IFERROR(__xludf.DUMMYFUNCTION("GOOGLEFINANCE(B22,""pe"")"),10.46)</f>
        <v>10.46</v>
      </c>
      <c r="I22" s="4">
        <f>IFERROR(__xludf.DUMMYFUNCTION("GOOGLEFINANCE(B22,""volume"")"),8893744.0)</f>
        <v>8893744</v>
      </c>
      <c r="J22" s="4">
        <f>IFERROR(__xludf.DUMMYFUNCTION("GOOGLEFINANCE(B22,""volumeavg"")"),1.3774368E7)</f>
        <v>13774368</v>
      </c>
    </row>
    <row r="23">
      <c r="B23" s="2" t="s">
        <v>29</v>
      </c>
      <c r="C23" s="3" t="str">
        <f>IFERROR(__xludf.DUMMYFUNCTION("GOOGLEFINANCE(B23,""name"")"),"Reliance Industries Ltd")</f>
        <v>Reliance Industries Ltd</v>
      </c>
      <c r="D23" s="4">
        <f>IFERROR(__xludf.DUMMYFUNCTION("GOOGLEFINANCE(B23,""price"")"),1295.6)</f>
        <v>1295.6</v>
      </c>
      <c r="E23" s="4">
        <f>IFERROR(__xludf.DUMMYFUNCTION("GOOGLEFINANCE(B23,""change"")"),8.6)</f>
        <v>8.6</v>
      </c>
      <c r="F23" s="4">
        <f>IFERROR(__xludf.DUMMYFUNCTION("GOOGLEFINANCE(B23,""changepct"")/100"),0.0067)</f>
        <v>0.0067</v>
      </c>
      <c r="G23" s="4">
        <f>IFERROR(__xludf.DUMMYFUNCTION("GOOGLEFINANCE(B23,""marketcap"")"),1.7524231824472E13)</f>
        <v>17524231824472</v>
      </c>
      <c r="H23" s="4">
        <f>IFERROR(__xludf.DUMMYFUNCTION("GOOGLEFINANCE(B23,""pe"")"),25.82)</f>
        <v>25.82</v>
      </c>
      <c r="I23" s="4">
        <f>IFERROR(__xludf.DUMMYFUNCTION("GOOGLEFINANCE(B23,""volume"")"),9247557.0)</f>
        <v>9247557</v>
      </c>
      <c r="J23" s="4">
        <f>IFERROR(__xludf.DUMMYFUNCTION("GOOGLEFINANCE(B23,""volumeavg"")"),1.4876346E7)</f>
        <v>14876346</v>
      </c>
    </row>
    <row r="24">
      <c r="B24" s="2" t="s">
        <v>30</v>
      </c>
      <c r="C24" s="3" t="str">
        <f>IFERROR(__xludf.DUMMYFUNCTION("GOOGLEFINANCE(B24,""name"")"),"Bank of America Corp")</f>
        <v>Bank of America Corp</v>
      </c>
      <c r="D24" s="4">
        <f>IFERROR(__xludf.DUMMYFUNCTION("GOOGLEFINANCE(B24,""price"")"),47.5)</f>
        <v>47.5</v>
      </c>
      <c r="E24" s="4">
        <f>IFERROR(__xludf.DUMMYFUNCTION("GOOGLEFINANCE(B24,""change"")"),0.5)</f>
        <v>0.5</v>
      </c>
      <c r="F24" s="4">
        <f>IFERROR(__xludf.DUMMYFUNCTION("GOOGLEFINANCE(B24,""changepct"")/100"),0.0106)</f>
        <v>0.0106</v>
      </c>
      <c r="G24" s="4">
        <f>IFERROR(__xludf.DUMMYFUNCTION("GOOGLEFINANCE(B24,""marketcap"")"),3.64461705E11)</f>
        <v>364461705000</v>
      </c>
      <c r="H24" s="4">
        <f>IFERROR(__xludf.DUMMYFUNCTION("GOOGLEFINANCE(B24,""pe"")"),17.27)</f>
        <v>17.27</v>
      </c>
      <c r="I24" s="4">
        <f>IFERROR(__xludf.DUMMYFUNCTION("GOOGLEFINANCE(B24,""volume"")"),2051.0)</f>
        <v>2051</v>
      </c>
      <c r="J24" s="4">
        <f>IFERROR(__xludf.DUMMYFUNCTION("GOOGLEFINANCE(B24,""volumeavg"")"),3.7076847E7)</f>
        <v>37076847</v>
      </c>
    </row>
    <row r="25">
      <c r="B25" s="2" t="s">
        <v>31</v>
      </c>
      <c r="C25" s="3" t="str">
        <f>IFERROR(__xludf.DUMMYFUNCTION("GOOGLEFINANCE(B25,""name"")"),"Salesforce Inc")</f>
        <v>Salesforce Inc</v>
      </c>
      <c r="D25" s="4">
        <f>IFERROR(__xludf.DUMMYFUNCTION("GOOGLEFINANCE(B25,""price"")"),339.11)</f>
        <v>339.11</v>
      </c>
      <c r="E25" s="4">
        <f>IFERROR(__xludf.DUMMYFUNCTION("GOOGLEFINANCE(B25,""change"")"),-2.91)</f>
        <v>-2.91</v>
      </c>
      <c r="F25" s="4">
        <f>IFERROR(__xludf.DUMMYFUNCTION("GOOGLEFINANCE(B25,""changepct"")/100"),-0.0085)</f>
        <v>-0.0085</v>
      </c>
      <c r="G25" s="4">
        <f>IFERROR(__xludf.DUMMYFUNCTION("GOOGLEFINANCE(B25,""marketcap"")"),3.24189112085E11)</f>
        <v>324189112085</v>
      </c>
      <c r="H25" s="4">
        <f>IFERROR(__xludf.DUMMYFUNCTION("GOOGLEFINANCE(B25,""pe"")"),59.01)</f>
        <v>59.01</v>
      </c>
      <c r="I25" s="4">
        <f>IFERROR(__xludf.DUMMYFUNCTION("GOOGLEFINANCE(B25,""volume"")"),146.0)</f>
        <v>146</v>
      </c>
      <c r="J25" s="4">
        <f>IFERROR(__xludf.DUMMYFUNCTION("GOOGLEFINANCE(B25,""volumeavg"")"),5056665.0)</f>
        <v>5056665</v>
      </c>
    </row>
    <row r="26">
      <c r="B26" s="2" t="s">
        <v>32</v>
      </c>
      <c r="C26" s="3" t="str">
        <f>IFERROR(__xludf.DUMMYFUNCTION("GOOGLEFINANCE(B26,""name"")"),"Cisco Systems Inc")</f>
        <v>Cisco Systems Inc</v>
      </c>
      <c r="D26" s="4">
        <f>IFERROR(__xludf.DUMMYFUNCTION("GOOGLEFINANCE(B26,""price"")"),58.74)</f>
        <v>58.74</v>
      </c>
      <c r="E26" s="4">
        <f>IFERROR(__xludf.DUMMYFUNCTION("GOOGLEFINANCE(B26,""change"")"),0.19)</f>
        <v>0.19</v>
      </c>
      <c r="F26" s="4">
        <f>IFERROR(__xludf.DUMMYFUNCTION("GOOGLEFINANCE(B26,""changepct"")/100"),0.0032)</f>
        <v>0.0032</v>
      </c>
      <c r="G26" s="4">
        <f>IFERROR(__xludf.DUMMYFUNCTION("GOOGLEFINANCE(B26,""marketcap"")"),2.33947211604E11)</f>
        <v>233947211604</v>
      </c>
      <c r="H26" s="4">
        <f>IFERROR(__xludf.DUMMYFUNCTION("GOOGLEFINANCE(B26,""pe"")"),25.29)</f>
        <v>25.29</v>
      </c>
      <c r="I26" s="4">
        <f>IFERROR(__xludf.DUMMYFUNCTION("GOOGLEFINANCE(B26,""volume"")"),1847.0)</f>
        <v>1847</v>
      </c>
      <c r="J26" s="4">
        <f>IFERROR(__xludf.DUMMYFUNCTION("GOOGLEFINANCE(B26,""volumeavg"")"),1.8770602E7)</f>
        <v>18770602</v>
      </c>
    </row>
    <row r="27">
      <c r="B27" s="2" t="s">
        <v>33</v>
      </c>
      <c r="C27" s="3" t="str">
        <f>IFERROR(__xludf.DUMMYFUNCTION("GOOGLEFINANCE(B27,""name"")"),"Accenture Plc")</f>
        <v>Accenture Plc</v>
      </c>
      <c r="D27" s="4">
        <f>IFERROR(__xludf.DUMMYFUNCTION("GOOGLEFINANCE(B27,""price"")"),361.29)</f>
        <v>361.29</v>
      </c>
      <c r="E27" s="4">
        <f>IFERROR(__xludf.DUMMYFUNCTION("GOOGLEFINANCE(B27,""change"")"),2.63)</f>
        <v>2.63</v>
      </c>
      <c r="F27" s="4">
        <f>IFERROR(__xludf.DUMMYFUNCTION("GOOGLEFINANCE(B27,""changepct"")/100"),0.0073)</f>
        <v>0.0073</v>
      </c>
      <c r="G27" s="4">
        <f>IFERROR(__xludf.DUMMYFUNCTION("GOOGLEFINANCE(B27,""marketcap"")"),2.43034333269E11)</f>
        <v>243034333269</v>
      </c>
      <c r="H27" s="4">
        <f>IFERROR(__xludf.DUMMYFUNCTION("GOOGLEFINANCE(B27,""pe"")"),31.6)</f>
        <v>31.6</v>
      </c>
      <c r="I27" s="4">
        <f>IFERROR(__xludf.DUMMYFUNCTION("GOOGLEFINANCE(B27,""volume"")"),312.0)</f>
        <v>312</v>
      </c>
      <c r="J27" s="4">
        <f>IFERROR(__xludf.DUMMYFUNCTION("GOOGLEFINANCE(B27,""volumeavg"")"),2480818.0)</f>
        <v>2480818</v>
      </c>
    </row>
    <row r="28">
      <c r="B28" s="2" t="s">
        <v>34</v>
      </c>
      <c r="C28" s="3" t="str">
        <f>IFERROR(__xludf.DUMMYFUNCTION("GOOGLEFINANCE(B28,""name"")"),"Comcast Holdings ZONES 2 Exchangeable Subor Debentures Exp 15 Nov 2029")</f>
        <v>Comcast Holdings ZONES 2 Exchangeable Subor Debentures Exp 15 Nov 2029</v>
      </c>
      <c r="D28" s="4">
        <f>IFERROR(__xludf.DUMMYFUNCTION("GOOGLEFINANCE(B28,""price"")"),59.0)</f>
        <v>59</v>
      </c>
      <c r="E28" s="4">
        <f>IFERROR(__xludf.DUMMYFUNCTION("GOOGLEFINANCE(B28,""change"")"),-0.37)</f>
        <v>-0.37</v>
      </c>
      <c r="F28" s="4">
        <f>IFERROR(__xludf.DUMMYFUNCTION("GOOGLEFINANCE(B28,""changepct"")/100"),-0.0062)</f>
        <v>-0.0062</v>
      </c>
      <c r="G28" s="4" t="str">
        <f>IFERROR(__xludf.DUMMYFUNCTION("GOOGLEFINANCE(B28,""marketcap"")"),"#N/A")</f>
        <v>#N/A</v>
      </c>
      <c r="H28" s="4" t="str">
        <f>IFERROR(__xludf.DUMMYFUNCTION("GOOGLEFINANCE(B28,""pe"")"),"#N/A")</f>
        <v>#N/A</v>
      </c>
      <c r="I28" s="4">
        <f>IFERROR(__xludf.DUMMYFUNCTION("GOOGLEFINANCE(B28,""volume"")"),0.0)</f>
        <v>0</v>
      </c>
      <c r="J28" s="4">
        <f>IFERROR(__xludf.DUMMYFUNCTION("GOOGLEFINANCE(B28,""volumeavg"")"),13571.0)</f>
        <v>13571</v>
      </c>
    </row>
    <row r="29">
      <c r="B29" s="2" t="s">
        <v>35</v>
      </c>
      <c r="C29" s="3" t="str">
        <f>IFERROR(__xludf.DUMMYFUNCTION("GOOGLEFINANCE(B29,""name"")"),"Morgan Stanley")</f>
        <v>Morgan Stanley</v>
      </c>
      <c r="D29" s="4">
        <f>IFERROR(__xludf.DUMMYFUNCTION("GOOGLEFINANCE(B29,""price"")"),133.66)</f>
        <v>133.66</v>
      </c>
      <c r="E29" s="4">
        <f>IFERROR(__xludf.DUMMYFUNCTION("GOOGLEFINANCE(B29,""change"")"),-1.03)</f>
        <v>-1.03</v>
      </c>
      <c r="F29" s="4">
        <f>IFERROR(__xludf.DUMMYFUNCTION("GOOGLEFINANCE(B29,""changepct"")/100"),-0.0076)</f>
        <v>-0.0076</v>
      </c>
      <c r="G29" s="4">
        <f>IFERROR(__xludf.DUMMYFUNCTION("GOOGLEFINANCE(B29,""marketcap"")"),2.15330943999E11)</f>
        <v>215330943999</v>
      </c>
      <c r="H29" s="4">
        <f>IFERROR(__xludf.DUMMYFUNCTION("GOOGLEFINANCE(B29,""pe"")"),20.31)</f>
        <v>20.31</v>
      </c>
      <c r="I29" s="4">
        <f>IFERROR(__xludf.DUMMYFUNCTION("GOOGLEFINANCE(B29,""volume"")"),3.0)</f>
        <v>3</v>
      </c>
      <c r="J29" s="4">
        <f>IFERROR(__xludf.DUMMYFUNCTION("GOOGLEFINANCE(B29,""volumeavg"")"),7365611.0)</f>
        <v>7365611</v>
      </c>
    </row>
    <row r="30">
      <c r="B30" s="2" t="s">
        <v>36</v>
      </c>
      <c r="C30" s="3" t="str">
        <f>IFERROR(__xludf.DUMMYFUNCTION("GOOGLEFINANCE(B30,""name"")"),"IBM Common Stock")</f>
        <v>IBM Common Stock</v>
      </c>
      <c r="D30" s="4">
        <f>IFERROR(__xludf.DUMMYFUNCTION("GOOGLEFINANCE(B30,""price"")"),226.13)</f>
        <v>226.13</v>
      </c>
      <c r="E30" s="4">
        <f>IFERROR(__xludf.DUMMYFUNCTION("GOOGLEFINANCE(B30,""change"")"),3.16)</f>
        <v>3.16</v>
      </c>
      <c r="F30" s="4">
        <f>IFERROR(__xludf.DUMMYFUNCTION("GOOGLEFINANCE(B30,""changepct"")/100"),0.014199999999999999)</f>
        <v>0.0142</v>
      </c>
      <c r="G30" s="4">
        <f>IFERROR(__xludf.DUMMYFUNCTION("GOOGLEFINANCE(B30,""marketcap"")"),2.09089978364E11)</f>
        <v>209089978364</v>
      </c>
      <c r="H30" s="4">
        <f>IFERROR(__xludf.DUMMYFUNCTION("GOOGLEFINANCE(B30,""pe"")"),32.91)</f>
        <v>32.91</v>
      </c>
      <c r="I30" s="4">
        <f>IFERROR(__xludf.DUMMYFUNCTION("GOOGLEFINANCE(B30,""volume"")"),663.0)</f>
        <v>663</v>
      </c>
      <c r="J30" s="4">
        <f>IFERROR(__xludf.DUMMYFUNCTION("GOOGLEFINANCE(B30,""volumeavg"")"),4433274.0)</f>
        <v>4433274</v>
      </c>
    </row>
    <row r="31">
      <c r="B31" s="2" t="s">
        <v>37</v>
      </c>
      <c r="C31" s="3" t="str">
        <f>IFERROR(__xludf.DUMMYFUNCTION("GOOGLEFINANCE(B31,""name"")"),"Philip Morris International Inc.")</f>
        <v>Philip Morris International Inc.</v>
      </c>
      <c r="D31" s="4">
        <f>IFERROR(__xludf.DUMMYFUNCTION("GOOGLEFINANCE(B31,""price"")"),130.71)</f>
        <v>130.71</v>
      </c>
      <c r="E31" s="4">
        <f>IFERROR(__xludf.DUMMYFUNCTION("GOOGLEFINANCE(B31,""change"")"),0.72)</f>
        <v>0.72</v>
      </c>
      <c r="F31" s="4">
        <f>IFERROR(__xludf.DUMMYFUNCTION("GOOGLEFINANCE(B31,""changepct"")/100"),0.0055000000000000005)</f>
        <v>0.0055</v>
      </c>
      <c r="G31" s="4">
        <f>IFERROR(__xludf.DUMMYFUNCTION("GOOGLEFINANCE(B31,""marketcap"")"),2.03232231868E11)</f>
        <v>203232231868</v>
      </c>
      <c r="H31" s="4">
        <f>IFERROR(__xludf.DUMMYFUNCTION("GOOGLEFINANCE(B31,""pe"")"),20.73)</f>
        <v>20.73</v>
      </c>
      <c r="I31" s="4">
        <f>IFERROR(__xludf.DUMMYFUNCTION("GOOGLEFINANCE(B31,""volume"")"),24.0)</f>
        <v>24</v>
      </c>
      <c r="J31" s="4">
        <f>IFERROR(__xludf.DUMMYFUNCTION("GOOGLEFINANCE(B31,""volumeavg"")"),5620616.0)</f>
        <v>5620616</v>
      </c>
    </row>
    <row r="32">
      <c r="B32" s="2" t="s">
        <v>38</v>
      </c>
      <c r="C32" s="3" t="str">
        <f>IFERROR(__xludf.DUMMYFUNCTION("GOOGLEFINANCE(B32,""name"")"),"General Electric Co")</f>
        <v>General Electric Co</v>
      </c>
      <c r="D32" s="4">
        <f>IFERROR(__xludf.DUMMYFUNCTION("GOOGLEFINANCE(B32,""price"")"),180.21)</f>
        <v>180.21</v>
      </c>
      <c r="E32" s="4">
        <f>IFERROR(__xludf.DUMMYFUNCTION("GOOGLEFINANCE(B32,""change"")"),-0.94)</f>
        <v>-0.94</v>
      </c>
      <c r="F32" s="4">
        <f>IFERROR(__xludf.DUMMYFUNCTION("GOOGLEFINANCE(B32,""changepct"")/100"),-0.0052)</f>
        <v>-0.0052</v>
      </c>
      <c r="G32" s="4">
        <f>IFERROR(__xludf.DUMMYFUNCTION("GOOGLEFINANCE(B32,""marketcap"")"),1.95040209006E11)</f>
        <v>195040209006</v>
      </c>
      <c r="H32" s="4">
        <f>IFERROR(__xludf.DUMMYFUNCTION("GOOGLEFINANCE(B32,""pe"")"),31.68)</f>
        <v>31.68</v>
      </c>
      <c r="I32" s="4">
        <f>IFERROR(__xludf.DUMMYFUNCTION("GOOGLEFINANCE(B32,""volume"")"),60.0)</f>
        <v>60</v>
      </c>
      <c r="J32" s="4">
        <f>IFERROR(__xludf.DUMMYFUNCTION("GOOGLEFINANCE(B32,""volumeavg"")"),4646990.0)</f>
        <v>4646990</v>
      </c>
    </row>
    <row r="33">
      <c r="B33" s="2" t="s">
        <v>39</v>
      </c>
      <c r="C33" s="3" t="str">
        <f>IFERROR(__xludf.DUMMYFUNCTION("GOOGLEFINANCE(B33,""name"")"),"Thermo Fisher Scientific Inc")</f>
        <v>Thermo Fisher Scientific Inc</v>
      </c>
      <c r="D33" s="4">
        <f>IFERROR(__xludf.DUMMYFUNCTION("GOOGLEFINANCE(B33,""price"")"),514.2)</f>
        <v>514.2</v>
      </c>
      <c r="E33" s="4">
        <f>IFERROR(__xludf.DUMMYFUNCTION("GOOGLEFINANCE(B33,""change"")"),0.94)</f>
        <v>0.94</v>
      </c>
      <c r="F33" s="4">
        <f>IFERROR(__xludf.DUMMYFUNCTION("GOOGLEFINANCE(B33,""changepct"")/100"),0.0018)</f>
        <v>0.0018</v>
      </c>
      <c r="G33" s="4">
        <f>IFERROR(__xludf.DUMMYFUNCTION("GOOGLEFINANCE(B33,""marketcap"")"),1.96681607509E11)</f>
        <v>196681607509</v>
      </c>
      <c r="H33" s="4">
        <f>IFERROR(__xludf.DUMMYFUNCTION("GOOGLEFINANCE(B33,""pe"")"),32.25)</f>
        <v>32.25</v>
      </c>
      <c r="I33" s="4">
        <f>IFERROR(__xludf.DUMMYFUNCTION("GOOGLEFINANCE(B33,""volume"")"),5.0)</f>
        <v>5</v>
      </c>
      <c r="J33" s="4">
        <f>IFERROR(__xludf.DUMMYFUNCTION("GOOGLEFINANCE(B33,""volumeavg"")"),1660121.0)</f>
        <v>1660121</v>
      </c>
    </row>
    <row r="34">
      <c r="B34" s="2" t="s">
        <v>40</v>
      </c>
      <c r="C34" s="3" t="str">
        <f>IFERROR(__xludf.DUMMYFUNCTION("GOOGLEFINANCE(B34,""name"")"),"AT&amp;T Inc")</f>
        <v>AT&amp;T Inc</v>
      </c>
      <c r="D34" s="4">
        <f>IFERROR(__xludf.DUMMYFUNCTION("GOOGLEFINANCE(B34,""price"")"),23.1)</f>
        <v>23.1</v>
      </c>
      <c r="E34" s="4">
        <f>IFERROR(__xludf.DUMMYFUNCTION("GOOGLEFINANCE(B34,""change"")"),-0.08)</f>
        <v>-0.08</v>
      </c>
      <c r="F34" s="4">
        <f>IFERROR(__xludf.DUMMYFUNCTION("GOOGLEFINANCE(B34,""changepct"")/100"),-0.0034999999999999996)</f>
        <v>-0.0035</v>
      </c>
      <c r="G34" s="4">
        <f>IFERROR(__xludf.DUMMYFUNCTION("GOOGLEFINANCE(B34,""marketcap"")"),1.65749178637E11)</f>
        <v>165749178637</v>
      </c>
      <c r="H34" s="4">
        <f>IFERROR(__xludf.DUMMYFUNCTION("GOOGLEFINANCE(B34,""pe"")"),18.77)</f>
        <v>18.77</v>
      </c>
      <c r="I34" s="4">
        <f>IFERROR(__xludf.DUMMYFUNCTION("GOOGLEFINANCE(B34,""volume"")"),4279.0)</f>
        <v>4279</v>
      </c>
      <c r="J34" s="4">
        <f>IFERROR(__xludf.DUMMYFUNCTION("GOOGLEFINANCE(B34,""volumeavg"")"),3.3038546E7)</f>
        <v>33038546</v>
      </c>
    </row>
    <row r="35">
      <c r="B35" s="2" t="s">
        <v>41</v>
      </c>
      <c r="C35" s="3" t="str">
        <f>IFERROR(__xludf.DUMMYFUNCTION("GOOGLEFINANCE(B35,""name"")"),"Unilever plc")</f>
        <v>Unilever plc</v>
      </c>
      <c r="D35" s="4">
        <f>IFERROR(__xludf.DUMMYFUNCTION("GOOGLEFINANCE(B35,""price"")"),58.78)</f>
        <v>58.78</v>
      </c>
      <c r="E35" s="4">
        <f>IFERROR(__xludf.DUMMYFUNCTION("GOOGLEFINANCE(B35,""change"")"),0.17)</f>
        <v>0.17</v>
      </c>
      <c r="F35" s="4">
        <f>IFERROR(__xludf.DUMMYFUNCTION("GOOGLEFINANCE(B35,""changepct"")/100"),0.0029)</f>
        <v>0.0029</v>
      </c>
      <c r="G35" s="4">
        <f>IFERROR(__xludf.DUMMYFUNCTION("GOOGLEFINANCE(B35,""marketcap"")"),1.160280911E11)</f>
        <v>116028091100</v>
      </c>
      <c r="H35" s="4">
        <f>IFERROR(__xludf.DUMMYFUNCTION("GOOGLEFINANCE(B35,""pe"")"),21.4)</f>
        <v>21.4</v>
      </c>
      <c r="I35" s="4">
        <f>IFERROR(__xludf.DUMMYFUNCTION("GOOGLEFINANCE(B35,""volume"")"),4268.0)</f>
        <v>4268</v>
      </c>
      <c r="J35" s="4">
        <f>IFERROR(__xludf.DUMMYFUNCTION("GOOGLEFINANCE(B35,""volumeavg"")"),2077080.0)</f>
        <v>2077080</v>
      </c>
    </row>
    <row r="36">
      <c r="B36" s="2" t="s">
        <v>42</v>
      </c>
      <c r="C36" s="3" t="str">
        <f>IFERROR(__xludf.DUMMYFUNCTION("GOOGLEFINANCE(B36,""name"")"),"Blackstone Inc")</f>
        <v>Blackstone Inc</v>
      </c>
      <c r="D36" s="4">
        <f>IFERROR(__xludf.DUMMYFUNCTION("GOOGLEFINANCE(B36,""price"")"),193.12)</f>
        <v>193.12</v>
      </c>
      <c r="E36" s="4">
        <f>IFERROR(__xludf.DUMMYFUNCTION("GOOGLEFINANCE(B36,""change"")"),-5.93)</f>
        <v>-5.93</v>
      </c>
      <c r="F36" s="4">
        <f>IFERROR(__xludf.DUMMYFUNCTION("GOOGLEFINANCE(B36,""changepct"")/100"),-0.0298)</f>
        <v>-0.0298</v>
      </c>
      <c r="G36" s="4">
        <f>IFERROR(__xludf.DUMMYFUNCTION("GOOGLEFINANCE(B36,""marketcap"")"),2.34231959037E11)</f>
        <v>234231959037</v>
      </c>
      <c r="H36" s="4">
        <f>IFERROR(__xludf.DUMMYFUNCTION("GOOGLEFINANCE(B36,""pe"")"),66.39)</f>
        <v>66.39</v>
      </c>
      <c r="I36" s="4">
        <f>IFERROR(__xludf.DUMMYFUNCTION("GOOGLEFINANCE(B36,""volume"")"),187.0)</f>
        <v>187</v>
      </c>
      <c r="J36" s="4">
        <f>IFERROR(__xludf.DUMMYFUNCTION("GOOGLEFINANCE(B36,""volumeavg"")"),3387288.0)</f>
        <v>3387288</v>
      </c>
    </row>
    <row r="37">
      <c r="B37" s="2" t="s">
        <v>43</v>
      </c>
      <c r="C37" s="3" t="str">
        <f>IFERROR(__xludf.DUMMYFUNCTION("GOOGLEFINANCE(B37,""name"")"),"Deere &amp; Co")</f>
        <v>Deere &amp; Co</v>
      </c>
      <c r="D37" s="4">
        <f>IFERROR(__xludf.DUMMYFUNCTION("GOOGLEFINANCE(B37,""price"")"),462.69)</f>
        <v>462.69</v>
      </c>
      <c r="E37" s="4">
        <f>IFERROR(__xludf.DUMMYFUNCTION("GOOGLEFINANCE(B37,""change"")"),16.04)</f>
        <v>16.04</v>
      </c>
      <c r="F37" s="4">
        <f>IFERROR(__xludf.DUMMYFUNCTION("GOOGLEFINANCE(B37,""changepct"")/100"),0.0359)</f>
        <v>0.0359</v>
      </c>
      <c r="G37" s="4">
        <f>IFERROR(__xludf.DUMMYFUNCTION("GOOGLEFINANCE(B37,""marketcap"")"),1.26591938398E11)</f>
        <v>126591938398</v>
      </c>
      <c r="H37" s="4">
        <f>IFERROR(__xludf.DUMMYFUNCTION("GOOGLEFINANCE(B37,""pe"")"),18.06)</f>
        <v>18.06</v>
      </c>
      <c r="I37" s="4">
        <f>IFERROR(__xludf.DUMMYFUNCTION("GOOGLEFINANCE(B37,""volume"")"),168.0)</f>
        <v>168</v>
      </c>
      <c r="J37" s="4">
        <f>IFERROR(__xludf.DUMMYFUNCTION("GOOGLEFINANCE(B37,""volumeavg"")"),1198457.0)</f>
        <v>1198457</v>
      </c>
    </row>
    <row r="38">
      <c r="B38" s="2" t="s">
        <v>44</v>
      </c>
      <c r="C38" s="3" t="str">
        <f>IFERROR(__xludf.DUMMYFUNCTION("GOOGLEFINANCE(B38,""name"")"),"Citigroup Inc")</f>
        <v>Citigroup Inc</v>
      </c>
      <c r="D38" s="4">
        <f>IFERROR(__xludf.DUMMYFUNCTION("GOOGLEFINANCE(B38,""price"")"),70.75)</f>
        <v>70.75</v>
      </c>
      <c r="E38" s="4">
        <f>IFERROR(__xludf.DUMMYFUNCTION("GOOGLEFINANCE(B38,""change"")"),0.91)</f>
        <v>0.91</v>
      </c>
      <c r="F38" s="4">
        <f>IFERROR(__xludf.DUMMYFUNCTION("GOOGLEFINANCE(B38,""changepct"")/100"),0.013000000000000001)</f>
        <v>0.013</v>
      </c>
      <c r="G38" s="4">
        <f>IFERROR(__xludf.DUMMYFUNCTION("GOOGLEFINANCE(B38,""marketcap"")"),1.33806928E11)</f>
        <v>133806928000</v>
      </c>
      <c r="H38" s="4">
        <f>IFERROR(__xludf.DUMMYFUNCTION("GOOGLEFINANCE(B38,""pe"")"),20.48)</f>
        <v>20.48</v>
      </c>
      <c r="I38" s="4">
        <f>IFERROR(__xludf.DUMMYFUNCTION("GOOGLEFINANCE(B38,""volume"")"),289.0)</f>
        <v>289</v>
      </c>
      <c r="J38" s="4">
        <f>IFERROR(__xludf.DUMMYFUNCTION("GOOGLEFINANCE(B38,""volumeavg"")"),1.5098472E7)</f>
        <v>15098472</v>
      </c>
    </row>
    <row r="39">
      <c r="B39" s="2" t="s">
        <v>45</v>
      </c>
      <c r="C39" s="3" t="str">
        <f>IFERROR(__xludf.DUMMYFUNCTION("GOOGLEFINANCE(B39,""name"")"),"Fiserv Inc")</f>
        <v>Fiserv Inc</v>
      </c>
      <c r="D39" s="4">
        <f>IFERROR(__xludf.DUMMYFUNCTION("GOOGLEFINANCE(B39,""price"")"),221.76)</f>
        <v>221.76</v>
      </c>
      <c r="E39" s="4">
        <f>IFERROR(__xludf.DUMMYFUNCTION("GOOGLEFINANCE(B39,""change"")"),0.2)</f>
        <v>0.2</v>
      </c>
      <c r="F39" s="4">
        <f>IFERROR(__xludf.DUMMYFUNCTION("GOOGLEFINANCE(B39,""changepct"")/100"),9.0E-4)</f>
        <v>0.0009</v>
      </c>
      <c r="G39" s="4">
        <f>IFERROR(__xludf.DUMMYFUNCTION("GOOGLEFINANCE(B39,""marketcap"")"),1.26163363434E11)</f>
        <v>126163363434</v>
      </c>
      <c r="H39" s="4">
        <f>IFERROR(__xludf.DUMMYFUNCTION("GOOGLEFINANCE(B39,""pe"")"),42.78)</f>
        <v>42.78</v>
      </c>
      <c r="I39" s="4">
        <f>IFERROR(__xludf.DUMMYFUNCTION("GOOGLEFINANCE(B39,""volume"")"),79.0)</f>
        <v>79</v>
      </c>
      <c r="J39" s="4">
        <f>IFERROR(__xludf.DUMMYFUNCTION("GOOGLEFINANCE(B39,""volumeavg"")"),2665668.0)</f>
        <v>2665668</v>
      </c>
    </row>
    <row r="40">
      <c r="B40" s="2" t="s">
        <v>46</v>
      </c>
      <c r="C40" s="3" t="str">
        <f>IFERROR(__xludf.DUMMYFUNCTION("GOOGLEFINANCE(B40,""name"")"),"Lockheed Martin Corp")</f>
        <v>Lockheed Martin Corp</v>
      </c>
      <c r="D40" s="4">
        <f>IFERROR(__xludf.DUMMYFUNCTION("GOOGLEFINANCE(B40,""price"")"),521.89)</f>
        <v>521.89</v>
      </c>
      <c r="E40" s="4">
        <f>IFERROR(__xludf.DUMMYFUNCTION("GOOGLEFINANCE(B40,""change"")"),-20.33)</f>
        <v>-20.33</v>
      </c>
      <c r="F40" s="4">
        <f>IFERROR(__xludf.DUMMYFUNCTION("GOOGLEFINANCE(B40,""changepct"")/100"),-0.0375)</f>
        <v>-0.0375</v>
      </c>
      <c r="G40" s="4">
        <f>IFERROR(__xludf.DUMMYFUNCTION("GOOGLEFINANCE(B40,""marketcap"")"),1.23706356189E11)</f>
        <v>123706356189</v>
      </c>
      <c r="H40" s="4">
        <f>IFERROR(__xludf.DUMMYFUNCTION("GOOGLEFINANCE(B40,""pe"")"),18.88)</f>
        <v>18.88</v>
      </c>
      <c r="I40" s="4">
        <f>IFERROR(__xludf.DUMMYFUNCTION("GOOGLEFINANCE(B40,""volume"")"),115.0)</f>
        <v>115</v>
      </c>
      <c r="J40" s="4">
        <f>IFERROR(__xludf.DUMMYFUNCTION("GOOGLEFINANCE(B40,""volumeavg"")"),1128535.0)</f>
        <v>1128535</v>
      </c>
    </row>
    <row r="41">
      <c r="B41" s="2" t="s">
        <v>47</v>
      </c>
      <c r="C41" s="3" t="str">
        <f>IFERROR(__xludf.DUMMYFUNCTION("GOOGLEFINANCE(B41,""name"")"),"ConocoPhillips")</f>
        <v>ConocoPhillips</v>
      </c>
      <c r="D41" s="4">
        <f>IFERROR(__xludf.DUMMYFUNCTION("GOOGLEFINANCE(B41,""price"")"),106.1)</f>
        <v>106.1</v>
      </c>
      <c r="E41" s="4">
        <f>IFERROR(__xludf.DUMMYFUNCTION("GOOGLEFINANCE(B41,""change"")"),-5.65)</f>
        <v>-5.65</v>
      </c>
      <c r="F41" s="4">
        <f>IFERROR(__xludf.DUMMYFUNCTION("GOOGLEFINANCE(B41,""changepct"")/100"),-0.0506)</f>
        <v>-0.0506</v>
      </c>
      <c r="G41" s="4">
        <f>IFERROR(__xludf.DUMMYFUNCTION("GOOGLEFINANCE(B41,""marketcap"")"),1.22111761443E11)</f>
        <v>122111761443</v>
      </c>
      <c r="H41" s="4">
        <f>IFERROR(__xludf.DUMMYFUNCTION("GOOGLEFINANCE(B41,""pe"")"),12.6)</f>
        <v>12.6</v>
      </c>
      <c r="I41" s="4">
        <f>IFERROR(__xludf.DUMMYFUNCTION("GOOGLEFINANCE(B41,""volume"")"),95.0)</f>
        <v>95</v>
      </c>
      <c r="J41" s="4">
        <f>IFERROR(__xludf.DUMMYFUNCTION("GOOGLEFINANCE(B41,""volumeavg"")"),5612016.0)</f>
        <v>5612016</v>
      </c>
    </row>
    <row r="42">
      <c r="B42" s="2" t="s">
        <v>48</v>
      </c>
      <c r="C42" s="3" t="str">
        <f>IFERROR(__xludf.DUMMYFUNCTION("GOOGLEFINANCE(B42,""name"")"),"Sony Group Corp")</f>
        <v>Sony Group Corp</v>
      </c>
      <c r="D42" s="4">
        <f>IFERROR(__xludf.DUMMYFUNCTION("GOOGLEFINANCE(B42,""price"")"),19.42)</f>
        <v>19.42</v>
      </c>
      <c r="E42" s="4">
        <f>IFERROR(__xludf.DUMMYFUNCTION("GOOGLEFINANCE(B42,""change"")"),0.36)</f>
        <v>0.36</v>
      </c>
      <c r="F42" s="4">
        <f>IFERROR(__xludf.DUMMYFUNCTION("GOOGLEFINANCE(B42,""changepct"")/100"),0.0189)</f>
        <v>0.0189</v>
      </c>
      <c r="G42" s="4">
        <f>IFERROR(__xludf.DUMMYFUNCTION("GOOGLEFINANCE(B42,""marketcap"")"),1.8623158351E13)</f>
        <v>18623158351000</v>
      </c>
      <c r="H42" s="4">
        <f>IFERROR(__xludf.DUMMYFUNCTION("GOOGLEFINANCE(B42,""pe"")"),13.57)</f>
        <v>13.57</v>
      </c>
      <c r="I42" s="4">
        <f>IFERROR(__xludf.DUMMYFUNCTION("GOOGLEFINANCE(B42,""volume"")"),32.0)</f>
        <v>32</v>
      </c>
      <c r="J42" s="4">
        <f>IFERROR(__xludf.DUMMYFUNCTION("GOOGLEFINANCE(B42,""volumeavg"")"),2905151.0)</f>
        <v>2905151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