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wnloads\"/>
    </mc:Choice>
  </mc:AlternateContent>
  <xr:revisionPtr revIDLastSave="0" documentId="8_{A3812A73-D045-4BB1-8BCD-D3D9C62883FA}" xr6:coauthVersionLast="47" xr6:coauthVersionMax="47" xr10:uidLastSave="{00000000-0000-0000-0000-000000000000}"/>
  <bookViews>
    <workbookView xWindow="-108" yWindow="-108" windowWidth="23256" windowHeight="12576" activeTab="6" xr2:uid="{F2FFEEEA-C9A6-ED41-B776-6BCFAC069C6B}"/>
  </bookViews>
  <sheets>
    <sheet name="Calculations" sheetId="1" r:id="rId1"/>
    <sheet name="Demand" sheetId="2" r:id="rId2"/>
    <sheet name="Assumptions" sheetId="3" r:id="rId3"/>
    <sheet name="WindT" sheetId="4" r:id="rId4"/>
    <sheet name="Sheet1" sheetId="5" r:id="rId5"/>
    <sheet name="Sheet1 (2)" sheetId="6" r:id="rId6"/>
    <sheet name="Tidal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7" l="1"/>
  <c r="C14" i="7" s="1"/>
  <c r="C15" i="7" s="1"/>
  <c r="C16" i="7" s="1"/>
  <c r="F19" i="7" s="1"/>
  <c r="F20" i="7" s="1"/>
  <c r="C26" i="7" s="1"/>
  <c r="C27" i="7" s="1"/>
  <c r="C25" i="7"/>
  <c r="E14" i="6"/>
  <c r="G14" i="6" s="1"/>
  <c r="H14" i="6" s="1"/>
  <c r="J14" i="6" s="1"/>
  <c r="J16" i="6" s="1"/>
  <c r="C58" i="6"/>
  <c r="C59" i="6" s="1"/>
  <c r="C60" i="6" s="1"/>
  <c r="L8" i="5"/>
  <c r="M8" i="5"/>
  <c r="P27" i="5"/>
  <c r="P28" i="5"/>
  <c r="P29" i="5"/>
  <c r="P30" i="5"/>
  <c r="P68" i="5" s="1"/>
  <c r="P69" i="5" s="1"/>
  <c r="P70" i="5" s="1"/>
  <c r="P71" i="5" s="1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C10" i="4"/>
  <c r="C11" i="4" s="1"/>
  <c r="C28" i="4"/>
  <c r="C29" i="4"/>
  <c r="B33" i="4" s="1"/>
  <c r="D33" i="4" s="1"/>
  <c r="D34" i="4" s="1"/>
  <c r="C31" i="4"/>
  <c r="C13" i="4" l="1"/>
  <c r="B14" i="4"/>
  <c r="D14" i="4" s="1"/>
  <c r="D15" i="4" s="1"/>
  <c r="D16" i="4" s="1"/>
  <c r="E16" i="4" s="1"/>
  <c r="E17" i="4" s="1"/>
  <c r="W68" i="2"/>
  <c r="U61" i="2"/>
  <c r="U62" i="2"/>
  <c r="U63" i="2"/>
  <c r="U64" i="2"/>
  <c r="U65" i="2"/>
  <c r="U66" i="2"/>
  <c r="U67" i="2"/>
  <c r="U60" i="2"/>
  <c r="V60" i="2" s="1"/>
  <c r="V61" i="2" s="1"/>
  <c r="V62" i="2" s="1"/>
  <c r="V63" i="2" s="1"/>
  <c r="V64" i="2" s="1"/>
  <c r="V65" i="2" s="1"/>
  <c r="V66" i="2" s="1"/>
  <c r="V67" i="2" s="1"/>
  <c r="L63" i="2"/>
  <c r="AB155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C155" i="2" s="1"/>
  <c r="AC157" i="2" s="1"/>
  <c r="AC158" i="2" s="1"/>
  <c r="AA156" i="2"/>
  <c r="AA157" i="2"/>
  <c r="AA158" i="2"/>
  <c r="AA141" i="2"/>
  <c r="AB131" i="2"/>
  <c r="AB124" i="2"/>
  <c r="AA135" i="2"/>
  <c r="AA136" i="2"/>
  <c r="AA137" i="2"/>
  <c r="AA138" i="2"/>
  <c r="AA139" i="2"/>
  <c r="AA140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17" i="2"/>
  <c r="AB119" i="2" s="1"/>
  <c r="AA116" i="2"/>
  <c r="AF113" i="2" s="1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35" i="2"/>
  <c r="L154" i="2"/>
  <c r="L147" i="2"/>
  <c r="K108" i="2"/>
  <c r="L127" i="2"/>
  <c r="L120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M120" i="2" s="1"/>
  <c r="M121" i="2" s="1"/>
  <c r="M127" i="2" s="1" a="1"/>
  <c r="M127" i="2" s="1"/>
  <c r="M129" i="2" s="1"/>
  <c r="M131" i="2" s="1"/>
  <c r="N109" i="2" s="1"/>
  <c r="N111" i="2" s="1"/>
  <c r="N112" i="2" s="1"/>
  <c r="N113" i="2" s="1"/>
  <c r="K121" i="2"/>
  <c r="K122" i="2"/>
  <c r="K123" i="2"/>
  <c r="K124" i="2"/>
  <c r="K125" i="2"/>
  <c r="K126" i="2"/>
  <c r="K127" i="2"/>
  <c r="K128" i="2"/>
  <c r="K129" i="2"/>
  <c r="K130" i="2"/>
  <c r="K131" i="2"/>
  <c r="M83" i="2"/>
  <c r="M79" i="2"/>
  <c r="M73" i="2"/>
  <c r="L61" i="2"/>
  <c r="L62" i="2"/>
  <c r="L64" i="2"/>
  <c r="L65" i="2"/>
  <c r="L66" i="2"/>
  <c r="L67" i="2"/>
  <c r="L68" i="2"/>
  <c r="L69" i="2"/>
  <c r="L70" i="2"/>
  <c r="L71" i="2"/>
  <c r="L72" i="2"/>
  <c r="L73" i="2"/>
  <c r="N73" i="2" s="1"/>
  <c r="L74" i="2"/>
  <c r="L75" i="2"/>
  <c r="L76" i="2"/>
  <c r="L77" i="2"/>
  <c r="L78" i="2"/>
  <c r="L79" i="2"/>
  <c r="L80" i="2"/>
  <c r="L81" i="2"/>
  <c r="L82" i="2"/>
  <c r="L83" i="2"/>
  <c r="L60" i="2"/>
  <c r="K84" i="2"/>
  <c r="M58" i="2"/>
  <c r="AC124" i="2" l="1"/>
  <c r="AC125" i="2" s="1"/>
  <c r="AC131" i="2" s="1"/>
  <c r="AC133" i="2" s="1"/>
  <c r="AC135" i="2" s="1"/>
  <c r="AC137" i="2" s="1"/>
  <c r="AC140" i="2" s="1"/>
  <c r="AC141" i="2" s="1"/>
  <c r="AC142" i="2" s="1"/>
  <c r="AC143" i="2" s="1"/>
  <c r="M147" i="2"/>
  <c r="M148" i="2" s="1"/>
  <c r="M154" i="2" s="1" a="1"/>
  <c r="M154" i="2" s="1"/>
  <c r="M156" i="2" s="1"/>
  <c r="M158" i="2" s="1"/>
  <c r="N136" i="2" s="1"/>
  <c r="N138" i="2" s="1"/>
  <c r="N139" i="2" s="1"/>
  <c r="N140" i="2" s="1"/>
  <c r="N141" i="2" s="1"/>
  <c r="N142" i="2" s="1"/>
  <c r="N83" i="2"/>
  <c r="N79" i="2"/>
  <c r="U68" i="2"/>
  <c r="N80" i="2"/>
  <c r="O80" i="2" s="1"/>
  <c r="O60" i="2" s="1"/>
  <c r="O61" i="2" s="1"/>
  <c r="P64" i="2" s="1"/>
  <c r="P65" i="2" s="1"/>
  <c r="P66" i="2" s="1"/>
  <c r="P67" i="2" s="1"/>
  <c r="N114" i="2"/>
  <c r="N115" i="2" s="1"/>
  <c r="BS16" i="2"/>
  <c r="BS14" i="2"/>
  <c r="BS11" i="2"/>
  <c r="BS9" i="2"/>
  <c r="BS10" i="2"/>
  <c r="BS12" i="2"/>
  <c r="BS13" i="2"/>
  <c r="BS17" i="2"/>
  <c r="BS7" i="2"/>
  <c r="BS6" i="2"/>
  <c r="BR8" i="2"/>
  <c r="BS8" i="2" s="1"/>
  <c r="BR15" i="2"/>
  <c r="BS15" i="2" s="1"/>
  <c r="BB23" i="2"/>
  <c r="AX23" i="2"/>
  <c r="AT23" i="2"/>
  <c r="AU231" i="2"/>
  <c r="AV231" i="2"/>
  <c r="AZ231" i="2"/>
  <c r="AY231" i="2"/>
  <c r="AX231" i="2"/>
  <c r="AN231" i="2"/>
  <c r="AX230" i="2"/>
  <c r="AN230" i="2"/>
  <c r="BC229" i="2"/>
  <c r="AX229" i="2"/>
  <c r="AN229" i="2"/>
  <c r="AZ228" i="2"/>
  <c r="AX228" i="2"/>
  <c r="AW228" i="2"/>
  <c r="AN228" i="2"/>
  <c r="BA227" i="2"/>
  <c r="AZ227" i="2"/>
  <c r="AY227" i="2"/>
  <c r="AX227" i="2"/>
  <c r="AW227" i="2"/>
  <c r="AN227" i="2"/>
  <c r="AX226" i="2"/>
  <c r="AN226" i="2"/>
  <c r="AZ225" i="2"/>
  <c r="AX225" i="2"/>
  <c r="AN225" i="2"/>
  <c r="AX224" i="2"/>
  <c r="AN224" i="2"/>
  <c r="BA223" i="2"/>
  <c r="AZ223" i="2"/>
  <c r="AX223" i="2"/>
  <c r="AN223" i="2"/>
  <c r="AX222" i="2"/>
  <c r="AN222" i="2"/>
  <c r="AZ221" i="2"/>
  <c r="AX221" i="2"/>
  <c r="AP221" i="2"/>
  <c r="AN221" i="2"/>
  <c r="AX220" i="2"/>
  <c r="AN220" i="2"/>
  <c r="AZ219" i="2"/>
  <c r="AX219" i="2"/>
  <c r="AN219" i="2"/>
  <c r="AX218" i="2"/>
  <c r="AN218" i="2"/>
  <c r="AX217" i="2"/>
  <c r="AN217" i="2"/>
  <c r="AX216" i="2"/>
  <c r="AN216" i="2"/>
  <c r="BC215" i="2"/>
  <c r="AX215" i="2"/>
  <c r="AN215" i="2"/>
  <c r="BC214" i="2"/>
  <c r="AX214" i="2"/>
  <c r="AN214" i="2"/>
  <c r="AX213" i="2"/>
  <c r="AQ213" i="2"/>
  <c r="AP213" i="2"/>
  <c r="AN213" i="2"/>
  <c r="AX212" i="2"/>
  <c r="AQ212" i="2"/>
  <c r="AN212" i="2"/>
  <c r="AX211" i="2"/>
  <c r="AW211" i="2"/>
  <c r="AN211" i="2"/>
  <c r="AZ210" i="2"/>
  <c r="AX210" i="2"/>
  <c r="AW210" i="2"/>
  <c r="AN210" i="2"/>
  <c r="BA209" i="2"/>
  <c r="AY209" i="2"/>
  <c r="AX209" i="2"/>
  <c r="AN209" i="2"/>
  <c r="BB208" i="2"/>
  <c r="AZ208" i="2"/>
  <c r="AX208" i="2"/>
  <c r="AN208" i="2"/>
  <c r="AV181" i="2"/>
  <c r="AZ203" i="2"/>
  <c r="AY203" i="2"/>
  <c r="AX203" i="2"/>
  <c r="AN203" i="2"/>
  <c r="AX202" i="2"/>
  <c r="AN202" i="2"/>
  <c r="BC201" i="2"/>
  <c r="AX201" i="2"/>
  <c r="AN201" i="2"/>
  <c r="AZ200" i="2"/>
  <c r="AX200" i="2"/>
  <c r="AW200" i="2"/>
  <c r="AN200" i="2"/>
  <c r="BA199" i="2"/>
  <c r="AZ199" i="2"/>
  <c r="AY199" i="2"/>
  <c r="AX199" i="2"/>
  <c r="AW199" i="2"/>
  <c r="AN199" i="2"/>
  <c r="AX198" i="2"/>
  <c r="AN198" i="2"/>
  <c r="AZ197" i="2"/>
  <c r="AX197" i="2"/>
  <c r="AN197" i="2"/>
  <c r="AX196" i="2"/>
  <c r="AN196" i="2"/>
  <c r="BA195" i="2"/>
  <c r="AZ195" i="2"/>
  <c r="AX195" i="2"/>
  <c r="AN195" i="2"/>
  <c r="AX194" i="2"/>
  <c r="AN194" i="2"/>
  <c r="AZ193" i="2"/>
  <c r="AX193" i="2"/>
  <c r="AP193" i="2"/>
  <c r="AN193" i="2"/>
  <c r="AX192" i="2"/>
  <c r="AN192" i="2"/>
  <c r="AZ191" i="2"/>
  <c r="AX191" i="2"/>
  <c r="AN191" i="2"/>
  <c r="AX190" i="2"/>
  <c r="AN190" i="2"/>
  <c r="AX189" i="2"/>
  <c r="AN189" i="2"/>
  <c r="AX188" i="2"/>
  <c r="AN188" i="2"/>
  <c r="BC187" i="2"/>
  <c r="AX187" i="2"/>
  <c r="AN187" i="2"/>
  <c r="BC186" i="2"/>
  <c r="AX186" i="2"/>
  <c r="AN186" i="2"/>
  <c r="AX185" i="2"/>
  <c r="AQ185" i="2"/>
  <c r="AP185" i="2"/>
  <c r="AN185" i="2"/>
  <c r="AX184" i="2"/>
  <c r="AQ184" i="2"/>
  <c r="AN184" i="2"/>
  <c r="AX183" i="2"/>
  <c r="AW183" i="2"/>
  <c r="AN183" i="2"/>
  <c r="AZ182" i="2"/>
  <c r="AX182" i="2"/>
  <c r="AW182" i="2"/>
  <c r="AN182" i="2"/>
  <c r="BA181" i="2"/>
  <c r="AY181" i="2"/>
  <c r="AX181" i="2"/>
  <c r="AN181" i="2"/>
  <c r="BB180" i="2"/>
  <c r="AZ180" i="2"/>
  <c r="AX180" i="2"/>
  <c r="AN180" i="2"/>
  <c r="AU155" i="2"/>
  <c r="AZ173" i="2"/>
  <c r="AY173" i="2"/>
  <c r="AX173" i="2"/>
  <c r="AN173" i="2"/>
  <c r="AX172" i="2"/>
  <c r="AN172" i="2"/>
  <c r="BC171" i="2"/>
  <c r="AX171" i="2"/>
  <c r="AN171" i="2"/>
  <c r="AZ170" i="2"/>
  <c r="AX170" i="2"/>
  <c r="AW170" i="2"/>
  <c r="AN170" i="2"/>
  <c r="BA169" i="2"/>
  <c r="AZ169" i="2"/>
  <c r="AY169" i="2"/>
  <c r="AX169" i="2"/>
  <c r="AW169" i="2"/>
  <c r="AN169" i="2"/>
  <c r="AX168" i="2"/>
  <c r="AN168" i="2"/>
  <c r="AZ167" i="2"/>
  <c r="AX167" i="2"/>
  <c r="AN167" i="2"/>
  <c r="AX166" i="2"/>
  <c r="AN166" i="2"/>
  <c r="BA165" i="2"/>
  <c r="AZ165" i="2"/>
  <c r="AX165" i="2"/>
  <c r="AN165" i="2"/>
  <c r="AX164" i="2"/>
  <c r="AN164" i="2"/>
  <c r="BD164" i="2" s="1"/>
  <c r="BE164" i="2" s="1"/>
  <c r="AZ163" i="2"/>
  <c r="AX163" i="2"/>
  <c r="AP163" i="2"/>
  <c r="AN163" i="2"/>
  <c r="AX162" i="2"/>
  <c r="AN162" i="2"/>
  <c r="AZ161" i="2"/>
  <c r="AX161" i="2"/>
  <c r="AN161" i="2"/>
  <c r="AX160" i="2"/>
  <c r="AN160" i="2"/>
  <c r="AX159" i="2"/>
  <c r="AN159" i="2"/>
  <c r="AX158" i="2"/>
  <c r="AN158" i="2"/>
  <c r="BC157" i="2"/>
  <c r="AX157" i="2"/>
  <c r="AN157" i="2"/>
  <c r="BC156" i="2"/>
  <c r="AX156" i="2"/>
  <c r="AN156" i="2"/>
  <c r="AX155" i="2"/>
  <c r="AQ155" i="2"/>
  <c r="AP155" i="2"/>
  <c r="AN155" i="2"/>
  <c r="AX154" i="2"/>
  <c r="AQ154" i="2"/>
  <c r="AN154" i="2"/>
  <c r="BD154" i="2" s="1"/>
  <c r="BE154" i="2" s="1"/>
  <c r="AX153" i="2"/>
  <c r="AW153" i="2"/>
  <c r="AN153" i="2"/>
  <c r="AZ152" i="2"/>
  <c r="AX152" i="2"/>
  <c r="AW152" i="2"/>
  <c r="AN152" i="2"/>
  <c r="BA151" i="2"/>
  <c r="AY151" i="2"/>
  <c r="AX151" i="2"/>
  <c r="AN151" i="2"/>
  <c r="BB150" i="2"/>
  <c r="AZ150" i="2"/>
  <c r="AX150" i="2"/>
  <c r="AN150" i="2"/>
  <c r="AU127" i="2"/>
  <c r="BD197" i="2" l="1"/>
  <c r="BE197" i="2" s="1"/>
  <c r="BD184" i="2"/>
  <c r="BE184" i="2" s="1"/>
  <c r="BD158" i="2"/>
  <c r="BE158" i="2" s="1"/>
  <c r="BD202" i="2"/>
  <c r="BE202" i="2" s="1"/>
  <c r="BD162" i="2"/>
  <c r="BE162" i="2" s="1"/>
  <c r="BD194" i="2"/>
  <c r="BE194" i="2" s="1"/>
  <c r="BD224" i="2"/>
  <c r="BE224" i="2" s="1"/>
  <c r="BD172" i="2"/>
  <c r="BE172" i="2" s="1"/>
  <c r="BD152" i="2"/>
  <c r="BE152" i="2" s="1"/>
  <c r="BD153" i="2"/>
  <c r="BE153" i="2" s="1"/>
  <c r="BD161" i="2"/>
  <c r="BE161" i="2" s="1"/>
  <c r="BD186" i="2"/>
  <c r="BE186" i="2" s="1"/>
  <c r="BD222" i="2"/>
  <c r="BE222" i="2" s="1"/>
  <c r="BD173" i="2"/>
  <c r="BE173" i="2" s="1"/>
  <c r="BD223" i="2"/>
  <c r="BE223" i="2" s="1"/>
  <c r="BD169" i="2"/>
  <c r="BE169" i="2" s="1"/>
  <c r="BD208" i="2"/>
  <c r="BE208" i="2" s="1"/>
  <c r="BD189" i="2"/>
  <c r="BE189" i="2" s="1"/>
  <c r="BD200" i="2"/>
  <c r="BE200" i="2" s="1"/>
  <c r="BD196" i="2"/>
  <c r="BE196" i="2" s="1"/>
  <c r="BD220" i="2"/>
  <c r="BE220" i="2" s="1"/>
  <c r="BD230" i="2"/>
  <c r="BE230" i="2" s="1"/>
  <c r="BD150" i="2"/>
  <c r="BE150" i="2" s="1"/>
  <c r="BD160" i="2"/>
  <c r="BE160" i="2" s="1"/>
  <c r="BD166" i="2"/>
  <c r="BE166" i="2" s="1"/>
  <c r="BD192" i="2"/>
  <c r="BE192" i="2" s="1"/>
  <c r="BD215" i="2"/>
  <c r="BE215" i="2" s="1"/>
  <c r="BD198" i="2"/>
  <c r="BE198" i="2" s="1"/>
  <c r="BD167" i="2"/>
  <c r="BE167" i="2" s="1"/>
  <c r="BD151" i="2"/>
  <c r="BE151" i="2" s="1"/>
  <c r="BD199" i="2"/>
  <c r="BE199" i="2" s="1"/>
  <c r="BD211" i="2"/>
  <c r="BE211" i="2" s="1"/>
  <c r="BD156" i="2"/>
  <c r="BE156" i="2" s="1"/>
  <c r="BD168" i="2"/>
  <c r="BE168" i="2" s="1"/>
  <c r="BD183" i="2"/>
  <c r="BE183" i="2" s="1"/>
  <c r="BD219" i="2"/>
  <c r="BE219" i="2" s="1"/>
  <c r="BD225" i="2"/>
  <c r="BE225" i="2" s="1"/>
  <c r="BD180" i="2"/>
  <c r="BE180" i="2" s="1"/>
  <c r="BD190" i="2"/>
  <c r="BE190" i="2" s="1"/>
  <c r="BD209" i="2"/>
  <c r="BE209" i="2" s="1"/>
  <c r="BD159" i="2"/>
  <c r="BE159" i="2" s="1"/>
  <c r="BD170" i="2"/>
  <c r="BE170" i="2" s="1"/>
  <c r="BD191" i="2"/>
  <c r="BE191" i="2" s="1"/>
  <c r="BD214" i="2"/>
  <c r="BE214" i="2" s="1"/>
  <c r="BD226" i="2"/>
  <c r="BE226" i="2" s="1"/>
  <c r="BD227" i="2"/>
  <c r="BE227" i="2" s="1"/>
  <c r="BD216" i="2"/>
  <c r="BE216" i="2" s="1"/>
  <c r="BD217" i="2"/>
  <c r="BE217" i="2" s="1"/>
  <c r="BD212" i="2"/>
  <c r="BE212" i="2" s="1"/>
  <c r="BD218" i="2"/>
  <c r="BE218" i="2" s="1"/>
  <c r="BD228" i="2"/>
  <c r="BE228" i="2" s="1"/>
  <c r="BD213" i="2"/>
  <c r="BE213" i="2" s="1"/>
  <c r="BD188" i="2"/>
  <c r="BE188" i="2" s="1"/>
  <c r="BD165" i="2"/>
  <c r="BE165" i="2" s="1"/>
  <c r="BD229" i="2"/>
  <c r="BE229" i="2" s="1"/>
  <c r="BS18" i="2"/>
  <c r="BS19" i="2" s="1"/>
  <c r="BD195" i="2"/>
  <c r="BE195" i="2" s="1"/>
  <c r="BD155" i="2"/>
  <c r="BE155" i="2" s="1"/>
  <c r="BD181" i="2"/>
  <c r="BE181" i="2" s="1"/>
  <c r="BD185" i="2"/>
  <c r="BE185" i="2" s="1"/>
  <c r="BD201" i="2"/>
  <c r="BE201" i="2" s="1"/>
  <c r="BD171" i="2"/>
  <c r="BE171" i="2" s="1"/>
  <c r="BD210" i="2"/>
  <c r="BE210" i="2" s="1"/>
  <c r="BD221" i="2"/>
  <c r="BE221" i="2" s="1"/>
  <c r="BD157" i="2"/>
  <c r="BE157" i="2" s="1"/>
  <c r="BD163" i="2"/>
  <c r="BE163" i="2" s="1"/>
  <c r="BD193" i="2"/>
  <c r="BE193" i="2" s="1"/>
  <c r="BD182" i="2"/>
  <c r="BE182" i="2" s="1"/>
  <c r="BD187" i="2"/>
  <c r="BE187" i="2" s="1"/>
  <c r="BD203" i="2"/>
  <c r="BE203" i="2" s="1"/>
  <c r="BD231" i="2"/>
  <c r="BE231" i="2" s="1"/>
  <c r="BD232" i="2" l="1"/>
  <c r="BE232" i="2" s="1"/>
  <c r="BD204" i="2"/>
  <c r="BE204" i="2" s="1"/>
  <c r="BD174" i="2"/>
  <c r="BE174" i="2" s="1"/>
  <c r="AV123" i="2" l="1"/>
  <c r="AZ143" i="2"/>
  <c r="AY143" i="2"/>
  <c r="AX143" i="2"/>
  <c r="AN143" i="2"/>
  <c r="AX142" i="2"/>
  <c r="AN142" i="2"/>
  <c r="BC141" i="2"/>
  <c r="AX141" i="2"/>
  <c r="AN141" i="2"/>
  <c r="BD141" i="2" s="1"/>
  <c r="BE141" i="2" s="1"/>
  <c r="AZ140" i="2"/>
  <c r="AX140" i="2"/>
  <c r="AW140" i="2"/>
  <c r="AN140" i="2"/>
  <c r="BA139" i="2"/>
  <c r="AZ139" i="2"/>
  <c r="AY139" i="2"/>
  <c r="AX139" i="2"/>
  <c r="AW139" i="2"/>
  <c r="AN139" i="2"/>
  <c r="AX138" i="2"/>
  <c r="AN138" i="2"/>
  <c r="AZ137" i="2"/>
  <c r="AX137" i="2"/>
  <c r="AN137" i="2"/>
  <c r="AX136" i="2"/>
  <c r="AN136" i="2"/>
  <c r="BA135" i="2"/>
  <c r="AZ135" i="2"/>
  <c r="AX135" i="2"/>
  <c r="AN135" i="2"/>
  <c r="AX134" i="2"/>
  <c r="AN134" i="2"/>
  <c r="BD134" i="2" s="1"/>
  <c r="BE134" i="2" s="1"/>
  <c r="AZ133" i="2"/>
  <c r="AX133" i="2"/>
  <c r="AP133" i="2"/>
  <c r="AN133" i="2"/>
  <c r="AX132" i="2"/>
  <c r="AN132" i="2"/>
  <c r="BD132" i="2" s="1"/>
  <c r="BE132" i="2" s="1"/>
  <c r="AZ131" i="2"/>
  <c r="AX131" i="2"/>
  <c r="AN131" i="2"/>
  <c r="BD131" i="2" s="1"/>
  <c r="BE131" i="2" s="1"/>
  <c r="AX130" i="2"/>
  <c r="AN130" i="2"/>
  <c r="AX129" i="2"/>
  <c r="AN129" i="2"/>
  <c r="BD129" i="2" s="1"/>
  <c r="BE129" i="2" s="1"/>
  <c r="AX128" i="2"/>
  <c r="AN128" i="2"/>
  <c r="BC127" i="2"/>
  <c r="AX127" i="2"/>
  <c r="AN127" i="2"/>
  <c r="BD127" i="2" s="1"/>
  <c r="BE127" i="2" s="1"/>
  <c r="BC126" i="2"/>
  <c r="AX126" i="2"/>
  <c r="AN126" i="2"/>
  <c r="BD126" i="2" s="1"/>
  <c r="BE126" i="2" s="1"/>
  <c r="AX125" i="2"/>
  <c r="AQ125" i="2"/>
  <c r="AP125" i="2"/>
  <c r="AN125" i="2"/>
  <c r="AX124" i="2"/>
  <c r="AQ124" i="2"/>
  <c r="AN124" i="2"/>
  <c r="BD124" i="2" s="1"/>
  <c r="BE124" i="2" s="1"/>
  <c r="AX123" i="2"/>
  <c r="AW123" i="2"/>
  <c r="AN123" i="2"/>
  <c r="AZ122" i="2"/>
  <c r="AX122" i="2"/>
  <c r="AW122" i="2"/>
  <c r="AN122" i="2"/>
  <c r="BA121" i="2"/>
  <c r="AY121" i="2"/>
  <c r="AX121" i="2"/>
  <c r="AN121" i="2"/>
  <c r="BD121" i="2" s="1"/>
  <c r="BE121" i="2" s="1"/>
  <c r="BB120" i="2"/>
  <c r="AZ120" i="2"/>
  <c r="AX120" i="2"/>
  <c r="AN120" i="2"/>
  <c r="BC37" i="2"/>
  <c r="BC51" i="2"/>
  <c r="BC112" i="2"/>
  <c r="BC82" i="2"/>
  <c r="BC36" i="2"/>
  <c r="BC97" i="2"/>
  <c r="BC98" i="2"/>
  <c r="BC68" i="2"/>
  <c r="BC69" i="2"/>
  <c r="BD136" i="2" l="1"/>
  <c r="BE136" i="2" s="1"/>
  <c r="BD143" i="2"/>
  <c r="BE143" i="2" s="1"/>
  <c r="BD142" i="2"/>
  <c r="BE142" i="2" s="1"/>
  <c r="BD140" i="2"/>
  <c r="BE140" i="2" s="1"/>
  <c r="BD137" i="2"/>
  <c r="BE137" i="2" s="1"/>
  <c r="BD135" i="2"/>
  <c r="BE135" i="2" s="1"/>
  <c r="BD120" i="2"/>
  <c r="BE120" i="2" s="1"/>
  <c r="BD139" i="2"/>
  <c r="BE139" i="2" s="1"/>
  <c r="BD128" i="2"/>
  <c r="BE128" i="2" s="1"/>
  <c r="BD138" i="2"/>
  <c r="BE138" i="2" s="1"/>
  <c r="BD122" i="2"/>
  <c r="BE122" i="2" s="1"/>
  <c r="BD133" i="2"/>
  <c r="BE133" i="2" s="1"/>
  <c r="BD123" i="2"/>
  <c r="BE123" i="2" s="1"/>
  <c r="BD125" i="2"/>
  <c r="BE125" i="2" s="1"/>
  <c r="BD130" i="2"/>
  <c r="BE130" i="2" s="1"/>
  <c r="BB113" i="2"/>
  <c r="BB107" i="2"/>
  <c r="BB103" i="2"/>
  <c r="BB94" i="2"/>
  <c r="BB91" i="2"/>
  <c r="BA110" i="2"/>
  <c r="BA106" i="2"/>
  <c r="BA92" i="2"/>
  <c r="AZ114" i="2"/>
  <c r="AZ111" i="2"/>
  <c r="AZ110" i="2"/>
  <c r="AZ108" i="2"/>
  <c r="AZ106" i="2"/>
  <c r="AZ104" i="2"/>
  <c r="AZ102" i="2"/>
  <c r="AZ95" i="2"/>
  <c r="AZ93" i="2"/>
  <c r="AZ91" i="2"/>
  <c r="AX91" i="2"/>
  <c r="AY92" i="2"/>
  <c r="AY114" i="2"/>
  <c r="AY110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W111" i="2"/>
  <c r="AW110" i="2"/>
  <c r="AW94" i="2"/>
  <c r="AW93" i="2"/>
  <c r="AV113" i="2"/>
  <c r="AV91" i="2"/>
  <c r="AV114" i="2"/>
  <c r="AV92" i="2"/>
  <c r="AV93" i="2"/>
  <c r="AV94" i="2"/>
  <c r="AV95" i="2"/>
  <c r="AT113" i="2"/>
  <c r="AT110" i="2"/>
  <c r="AT107" i="2"/>
  <c r="AT94" i="2"/>
  <c r="AT91" i="2"/>
  <c r="AS91" i="2"/>
  <c r="AS92" i="2"/>
  <c r="AS93" i="2"/>
  <c r="AS94" i="2"/>
  <c r="AS95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91" i="2"/>
  <c r="AQ96" i="2"/>
  <c r="AQ95" i="2"/>
  <c r="AP104" i="2"/>
  <c r="AP96" i="2"/>
  <c r="AO95" i="2"/>
  <c r="AO103" i="2" s="1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91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30" i="2"/>
  <c r="AU93" i="2"/>
  <c r="AU95" i="2"/>
  <c r="AU96" i="2"/>
  <c r="AU97" i="2"/>
  <c r="AU98" i="2"/>
  <c r="AU99" i="2"/>
  <c r="AU100" i="2"/>
  <c r="AU101" i="2"/>
  <c r="AU102" i="2"/>
  <c r="AU103" i="2"/>
  <c r="AU104" i="2"/>
  <c r="AU105" i="2"/>
  <c r="AU94" i="2"/>
  <c r="BN7" i="2"/>
  <c r="BN8" i="2" s="1"/>
  <c r="BN9" i="2"/>
  <c r="AZ85" i="2"/>
  <c r="AY85" i="2"/>
  <c r="AX85" i="2"/>
  <c r="AX84" i="2"/>
  <c r="AX83" i="2"/>
  <c r="AZ82" i="2"/>
  <c r="AX82" i="2"/>
  <c r="AW82" i="2"/>
  <c r="BA81" i="2"/>
  <c r="AZ81" i="2"/>
  <c r="AY81" i="2"/>
  <c r="AX81" i="2"/>
  <c r="AW81" i="2"/>
  <c r="AX80" i="2"/>
  <c r="AZ79" i="2"/>
  <c r="AX79" i="2"/>
  <c r="AX78" i="2"/>
  <c r="BA77" i="2"/>
  <c r="AZ77" i="2"/>
  <c r="AX77" i="2"/>
  <c r="AX76" i="2"/>
  <c r="AZ75" i="2"/>
  <c r="AX75" i="2"/>
  <c r="AP75" i="2"/>
  <c r="AX74" i="2"/>
  <c r="AZ73" i="2"/>
  <c r="AX73" i="2"/>
  <c r="AX72" i="2"/>
  <c r="BD72" i="2" s="1"/>
  <c r="BE72" i="2" s="1"/>
  <c r="AX71" i="2"/>
  <c r="AX70" i="2"/>
  <c r="AX69" i="2"/>
  <c r="AX68" i="2"/>
  <c r="AX67" i="2"/>
  <c r="AQ67" i="2"/>
  <c r="AP67" i="2"/>
  <c r="AX66" i="2"/>
  <c r="AQ66" i="2"/>
  <c r="AX65" i="2"/>
  <c r="AW65" i="2"/>
  <c r="AZ64" i="2"/>
  <c r="AX64" i="2"/>
  <c r="AW64" i="2"/>
  <c r="BA63" i="2"/>
  <c r="AY63" i="2"/>
  <c r="AX63" i="2"/>
  <c r="BB62" i="2"/>
  <c r="AZ62" i="2"/>
  <c r="AX62" i="2"/>
  <c r="AZ43" i="2"/>
  <c r="BA45" i="2"/>
  <c r="BA49" i="2"/>
  <c r="BA31" i="2"/>
  <c r="AZ49" i="2"/>
  <c r="AZ41" i="2"/>
  <c r="AZ50" i="2"/>
  <c r="AZ47" i="2"/>
  <c r="AZ45" i="2"/>
  <c r="AZ53" i="2"/>
  <c r="AY53" i="2"/>
  <c r="AY49" i="2"/>
  <c r="AY31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W50" i="2"/>
  <c r="AW49" i="2"/>
  <c r="AW33" i="2"/>
  <c r="AW32" i="2"/>
  <c r="AP43" i="2"/>
  <c r="AP35" i="2"/>
  <c r="AZ32" i="2"/>
  <c r="AZ30" i="2"/>
  <c r="S49" i="1"/>
  <c r="Q49" i="1"/>
  <c r="BB30" i="2"/>
  <c r="AX31" i="2"/>
  <c r="AX32" i="2"/>
  <c r="AX33" i="2"/>
  <c r="AX34" i="2"/>
  <c r="AX35" i="2"/>
  <c r="AX30" i="2"/>
  <c r="B60" i="1"/>
  <c r="B56" i="1"/>
  <c r="B54" i="1"/>
  <c r="AQ35" i="2"/>
  <c r="AQ34" i="2"/>
  <c r="BM9" i="2"/>
  <c r="S54" i="1"/>
  <c r="N5" i="2"/>
  <c r="S50" i="1"/>
  <c r="BM7" i="2"/>
  <c r="BM8" i="2" s="1"/>
  <c r="BJ21" i="2" s="1"/>
  <c r="BJ18" i="2"/>
  <c r="BJ16" i="2"/>
  <c r="BJ14" i="2"/>
  <c r="BJ12" i="2"/>
  <c r="BJ11" i="2"/>
  <c r="BJ10" i="2"/>
  <c r="BJ9" i="2"/>
  <c r="BJ8" i="2"/>
  <c r="BJ7" i="2"/>
  <c r="BJ6" i="2"/>
  <c r="BD52" i="2" l="1"/>
  <c r="BE52" i="2" s="1"/>
  <c r="BD144" i="2"/>
  <c r="BE144" i="2" s="1"/>
  <c r="BD74" i="2"/>
  <c r="BE74" i="2" s="1"/>
  <c r="BD80" i="2"/>
  <c r="BE80" i="2" s="1"/>
  <c r="BD51" i="2"/>
  <c r="BE51" i="2" s="1"/>
  <c r="BD92" i="2"/>
  <c r="BE92" i="2" s="1"/>
  <c r="BD48" i="2"/>
  <c r="BE48" i="2" s="1"/>
  <c r="BD47" i="2"/>
  <c r="BE47" i="2" s="1"/>
  <c r="BD109" i="2"/>
  <c r="BE109" i="2" s="1"/>
  <c r="BD76" i="2"/>
  <c r="BE76" i="2" s="1"/>
  <c r="BD98" i="2"/>
  <c r="BE98" i="2" s="1"/>
  <c r="BD38" i="2"/>
  <c r="BE38" i="2" s="1"/>
  <c r="BD78" i="2"/>
  <c r="BE78" i="2" s="1"/>
  <c r="BD37" i="2"/>
  <c r="BE37" i="2" s="1"/>
  <c r="BD95" i="2"/>
  <c r="BE95" i="2" s="1"/>
  <c r="BD94" i="2"/>
  <c r="BE94" i="2" s="1"/>
  <c r="BD96" i="2"/>
  <c r="BE96" i="2" s="1"/>
  <c r="BD112" i="2"/>
  <c r="BE112" i="2" s="1"/>
  <c r="BD111" i="2"/>
  <c r="BE111" i="2" s="1"/>
  <c r="BD39" i="2"/>
  <c r="BE39" i="2" s="1"/>
  <c r="BD40" i="2"/>
  <c r="BE40" i="2" s="1"/>
  <c r="BD91" i="2"/>
  <c r="BE91" i="2" s="1"/>
  <c r="BD99" i="2"/>
  <c r="BE99" i="2" s="1"/>
  <c r="BJ22" i="2"/>
  <c r="BD34" i="2"/>
  <c r="BE34" i="2" s="1"/>
  <c r="BD35" i="2"/>
  <c r="BE35" i="2" s="1"/>
  <c r="BD49" i="2"/>
  <c r="BE49" i="2" s="1"/>
  <c r="BD66" i="2"/>
  <c r="BE66" i="2" s="1"/>
  <c r="BF66" i="2" s="1"/>
  <c r="BD32" i="2"/>
  <c r="BE32" i="2" s="1"/>
  <c r="BD41" i="2"/>
  <c r="BE41" i="2" s="1"/>
  <c r="BD33" i="2"/>
  <c r="BE33" i="2" s="1"/>
  <c r="BD83" i="2"/>
  <c r="BE83" i="2" s="1"/>
  <c r="BD84" i="2"/>
  <c r="BE84" i="2" s="1"/>
  <c r="BD67" i="2"/>
  <c r="BE67" i="2" s="1"/>
  <c r="BD85" i="2"/>
  <c r="BE85" i="2" s="1"/>
  <c r="BD31" i="2"/>
  <c r="BE31" i="2" s="1"/>
  <c r="BD30" i="2"/>
  <c r="BE30" i="2" s="1"/>
  <c r="BD69" i="2"/>
  <c r="BE69" i="2" s="1"/>
  <c r="BD106" i="2"/>
  <c r="BE106" i="2" s="1"/>
  <c r="BD107" i="2"/>
  <c r="BE107" i="2" s="1"/>
  <c r="BD70" i="2"/>
  <c r="BE70" i="2" s="1"/>
  <c r="BD71" i="2"/>
  <c r="BE71" i="2" s="1"/>
  <c r="BD42" i="2"/>
  <c r="BE42" i="2" s="1"/>
  <c r="BD46" i="2"/>
  <c r="BE46" i="2" s="1"/>
  <c r="BD45" i="2"/>
  <c r="BE45" i="2" s="1"/>
  <c r="BD44" i="2"/>
  <c r="BE44" i="2" s="1"/>
  <c r="BD53" i="2"/>
  <c r="BE53" i="2" s="1"/>
  <c r="BD100" i="2"/>
  <c r="BE100" i="2" s="1"/>
  <c r="BD101" i="2"/>
  <c r="BE101" i="2" s="1"/>
  <c r="BD102" i="2"/>
  <c r="BE102" i="2" s="1"/>
  <c r="BD103" i="2"/>
  <c r="BE103" i="2" s="1"/>
  <c r="BD105" i="2"/>
  <c r="BE105" i="2" s="1"/>
  <c r="BD104" i="2"/>
  <c r="BE104" i="2" s="1"/>
  <c r="BD82" i="2"/>
  <c r="BE82" i="2" s="1"/>
  <c r="BD68" i="2"/>
  <c r="BE68" i="2" s="1"/>
  <c r="BD43" i="2"/>
  <c r="BE43" i="2" s="1"/>
  <c r="BD63" i="2"/>
  <c r="BE63" i="2" s="1"/>
  <c r="BF63" i="2" s="1"/>
  <c r="BD79" i="2"/>
  <c r="BE79" i="2" s="1"/>
  <c r="BD97" i="2"/>
  <c r="BE97" i="2" s="1"/>
  <c r="BD50" i="2"/>
  <c r="BE50" i="2" s="1"/>
  <c r="BD108" i="2"/>
  <c r="BE108" i="2" s="1"/>
  <c r="BD36" i="2"/>
  <c r="BE36" i="2" s="1"/>
  <c r="BD110" i="2"/>
  <c r="BE110" i="2" s="1"/>
  <c r="BJ19" i="2"/>
  <c r="BL6" i="2" s="1"/>
  <c r="BL9" i="2" s="1"/>
  <c r="BD75" i="2"/>
  <c r="BE75" i="2" s="1"/>
  <c r="BD77" i="2"/>
  <c r="BE77" i="2" s="1"/>
  <c r="BD62" i="2"/>
  <c r="BD64" i="2"/>
  <c r="BE64" i="2" s="1"/>
  <c r="BF64" i="2" s="1"/>
  <c r="BD81" i="2"/>
  <c r="BE81" i="2" s="1"/>
  <c r="BD73" i="2"/>
  <c r="BE73" i="2" s="1"/>
  <c r="BD114" i="2"/>
  <c r="BE114" i="2" s="1"/>
  <c r="BD65" i="2"/>
  <c r="BE65" i="2" s="1"/>
  <c r="BF65" i="2" s="1"/>
  <c r="BD93" i="2"/>
  <c r="BE93" i="2" s="1"/>
  <c r="BD113" i="2"/>
  <c r="BE113" i="2" s="1"/>
  <c r="BD86" i="2" l="1"/>
  <c r="BD54" i="2"/>
  <c r="BE54" i="2" s="1"/>
  <c r="BL7" i="2"/>
  <c r="BL8" i="2" s="1"/>
  <c r="BE62" i="2"/>
  <c r="BF62" i="2" s="1"/>
  <c r="BF86" i="2" s="1"/>
  <c r="BD115" i="2"/>
  <c r="BE115" i="2"/>
  <c r="BJ20" i="2"/>
  <c r="BJ27" i="2" s="1"/>
  <c r="AP23" i="2"/>
  <c r="AL23" i="2"/>
  <c r="AH23" i="2"/>
  <c r="M38" i="1"/>
  <c r="N38" i="1"/>
  <c r="R38" i="1" s="1"/>
  <c r="O38" i="1"/>
  <c r="P38" i="1"/>
  <c r="AD23" i="2"/>
  <c r="Z23" i="2"/>
  <c r="V23" i="2"/>
  <c r="R23" i="2"/>
  <c r="R22" i="2"/>
  <c r="Y20" i="1"/>
  <c r="Y34" i="1"/>
  <c r="H6" i="2"/>
  <c r="S52" i="1"/>
  <c r="S53" i="1"/>
  <c r="S51" i="1"/>
  <c r="Q50" i="1"/>
  <c r="Q51" i="1"/>
  <c r="P51" i="1"/>
  <c r="P53" i="1"/>
  <c r="Q53" i="1" s="1"/>
  <c r="P50" i="1"/>
  <c r="BE86" i="2" l="1"/>
  <c r="V31" i="2"/>
  <c r="V28" i="2"/>
  <c r="V29" i="2" s="1"/>
  <c r="V30" i="2" s="1"/>
  <c r="C17" i="2"/>
  <c r="H19" i="2"/>
  <c r="H17" i="2"/>
  <c r="H15" i="2"/>
  <c r="H14" i="2"/>
  <c r="H12" i="2"/>
  <c r="H11" i="2"/>
  <c r="H10" i="2"/>
  <c r="H8" i="2"/>
  <c r="H7" i="2"/>
  <c r="C42" i="1"/>
  <c r="C43" i="1"/>
  <c r="C41" i="1"/>
  <c r="B64" i="1"/>
  <c r="N21" i="2" s="1"/>
  <c r="BF21" i="2" s="1"/>
  <c r="N13" i="1"/>
  <c r="N14" i="1"/>
  <c r="N12" i="1"/>
  <c r="R19" i="1"/>
  <c r="R20" i="1"/>
  <c r="R21" i="1"/>
  <c r="R22" i="1"/>
  <c r="R23" i="1"/>
  <c r="Y23" i="1" s="1"/>
  <c r="R24" i="1"/>
  <c r="Y24" i="1" s="1"/>
  <c r="R25" i="1"/>
  <c r="R26" i="1"/>
  <c r="R27" i="1"/>
  <c r="Y27" i="1" s="1"/>
  <c r="R28" i="1"/>
  <c r="R29" i="1"/>
  <c r="C14" i="2" s="1"/>
  <c r="R18" i="1"/>
  <c r="Y18" i="1" s="1"/>
  <c r="P13" i="1"/>
  <c r="C11" i="2" s="1"/>
  <c r="P14" i="1"/>
  <c r="C12" i="2" s="1"/>
  <c r="P12" i="1"/>
  <c r="C10" i="2" s="1"/>
  <c r="B66" i="1"/>
  <c r="B67" i="1" s="1"/>
  <c r="C21" i="2" s="1"/>
  <c r="P49" i="1"/>
  <c r="M40" i="1"/>
  <c r="M41" i="1" s="1"/>
  <c r="M42" i="1" s="1"/>
  <c r="M43" i="1" s="1"/>
  <c r="M44" i="1" s="1"/>
  <c r="M34" i="1"/>
  <c r="M35" i="1" s="1"/>
  <c r="M36" i="1" s="1"/>
  <c r="M37" i="1" s="1"/>
  <c r="M25" i="1"/>
  <c r="M26" i="1" s="1"/>
  <c r="M27" i="1" s="1"/>
  <c r="M28" i="1" s="1"/>
  <c r="M19" i="1"/>
  <c r="M20" i="1" s="1"/>
  <c r="M21" i="1" s="1"/>
  <c r="M22" i="1" s="1"/>
  <c r="O5" i="1"/>
  <c r="O6" i="1"/>
  <c r="O7" i="1"/>
  <c r="O8" i="1"/>
  <c r="G33" i="1"/>
  <c r="G32" i="1"/>
  <c r="F35" i="1"/>
  <c r="G31" i="1"/>
  <c r="O4" i="1"/>
  <c r="V32" i="2" l="1"/>
  <c r="Y19" i="1"/>
  <c r="Y22" i="1"/>
  <c r="Y21" i="1"/>
  <c r="Y28" i="1"/>
  <c r="H21" i="2"/>
  <c r="Y29" i="1"/>
  <c r="BF14" i="2" s="1"/>
  <c r="X27" i="2" s="1"/>
  <c r="X28" i="2" s="1"/>
  <c r="X29" i="2" s="1"/>
  <c r="X30" i="2" s="1"/>
  <c r="X31" i="2" s="1"/>
  <c r="O44" i="1"/>
  <c r="Y26" i="1"/>
  <c r="P34" i="1"/>
  <c r="Y25" i="1"/>
  <c r="C19" i="2"/>
  <c r="S12" i="1"/>
  <c r="N10" i="2" s="1"/>
  <c r="BF10" i="2" s="1"/>
  <c r="S13" i="1"/>
  <c r="N11" i="2" s="1"/>
  <c r="BF11" i="2" s="1"/>
  <c r="S14" i="1"/>
  <c r="N12" i="2" s="1"/>
  <c r="BF12" i="2" s="1"/>
  <c r="BF19" i="2"/>
  <c r="O36" i="1"/>
  <c r="O40" i="1"/>
  <c r="P43" i="1"/>
  <c r="N37" i="1"/>
  <c r="P44" i="1"/>
  <c r="P39" i="1"/>
  <c r="P40" i="1"/>
  <c r="P36" i="1"/>
  <c r="N39" i="1"/>
  <c r="R39" i="1" s="1"/>
  <c r="N40" i="1"/>
  <c r="R40" i="1" s="1"/>
  <c r="P37" i="1"/>
  <c r="P33" i="1"/>
  <c r="O37" i="1"/>
  <c r="P42" i="1"/>
  <c r="P41" i="1"/>
  <c r="P35" i="1"/>
  <c r="N44" i="1"/>
  <c r="N36" i="1"/>
  <c r="O43" i="1"/>
  <c r="O39" i="1"/>
  <c r="O35" i="1"/>
  <c r="N33" i="1"/>
  <c r="N43" i="1"/>
  <c r="N35" i="1"/>
  <c r="R35" i="1" s="1"/>
  <c r="N42" i="1"/>
  <c r="N34" i="1"/>
  <c r="O42" i="1"/>
  <c r="O34" i="1"/>
  <c r="N41" i="1"/>
  <c r="O33" i="1"/>
  <c r="O41" i="1"/>
  <c r="G35" i="1"/>
  <c r="P9" i="1" l="1"/>
  <c r="P52" i="1"/>
  <c r="Q52" i="1" s="1"/>
  <c r="R36" i="1"/>
  <c r="Y36" i="1" s="1"/>
  <c r="R34" i="1"/>
  <c r="R44" i="1"/>
  <c r="X32" i="2"/>
  <c r="X33" i="2" s="1"/>
  <c r="R42" i="1"/>
  <c r="R33" i="1"/>
  <c r="Y33" i="1" s="1"/>
  <c r="R43" i="1"/>
  <c r="R41" i="1"/>
  <c r="Y41" i="1" s="1"/>
  <c r="R37" i="1"/>
  <c r="Y37" i="1" s="1"/>
  <c r="Y43" i="1"/>
  <c r="Y38" i="1"/>
  <c r="Y40" i="1"/>
  <c r="Y42" i="1"/>
  <c r="Y35" i="1"/>
  <c r="Y39" i="1"/>
  <c r="B49" i="1"/>
  <c r="N17" i="2" s="1"/>
  <c r="BF17" i="2" s="1"/>
  <c r="P6" i="1"/>
  <c r="P5" i="1"/>
  <c r="P4" i="1"/>
  <c r="P7" i="1"/>
  <c r="P8" i="1"/>
  <c r="S4" i="1" l="1"/>
  <c r="H5" i="2"/>
  <c r="C5" i="2"/>
  <c r="S5" i="1"/>
  <c r="C15" i="2"/>
  <c r="Y44" i="1"/>
  <c r="BF15" i="2" s="1"/>
  <c r="C7" i="2"/>
  <c r="S7" i="1"/>
  <c r="N7" i="2" s="1"/>
  <c r="BF7" i="2" s="1"/>
  <c r="C8" i="2"/>
  <c r="S8" i="1"/>
  <c r="N8" i="2" s="1"/>
  <c r="BF8" i="2" s="1"/>
  <c r="C6" i="2"/>
  <c r="S6" i="1"/>
  <c r="N6" i="2" s="1"/>
  <c r="C9" i="2"/>
  <c r="S9" i="1"/>
  <c r="BF6" i="2" l="1"/>
  <c r="N9" i="2"/>
  <c r="BF9" i="2" s="1"/>
  <c r="H9" i="2"/>
  <c r="H23" i="2" s="1"/>
  <c r="C23" i="2"/>
  <c r="N23" i="2" l="1"/>
  <c r="BF23" i="2"/>
  <c r="BG207" i="2"/>
  <c r="BG207" i="2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<sst xmlns="http://schemas.openxmlformats.org/spreadsheetml/2006/main" count="1100" uniqueCount="429">
  <si>
    <t>Requirement</t>
  </si>
  <si>
    <t>Fridge</t>
  </si>
  <si>
    <t>Voltage (V)</t>
  </si>
  <si>
    <t>Current (A)</t>
  </si>
  <si>
    <t>Wattage (W)</t>
  </si>
  <si>
    <t xml:space="preserve">Population </t>
  </si>
  <si>
    <t>Households</t>
  </si>
  <si>
    <t>Single</t>
  </si>
  <si>
    <t>Couple</t>
  </si>
  <si>
    <t>Family</t>
  </si>
  <si>
    <t>%</t>
  </si>
  <si>
    <t>Total</t>
  </si>
  <si>
    <t>Washing Machine</t>
  </si>
  <si>
    <t>Dryer</t>
  </si>
  <si>
    <t>Dishwasher</t>
  </si>
  <si>
    <t>Lighting</t>
  </si>
  <si>
    <t>Broadband</t>
  </si>
  <si>
    <t>TV</t>
  </si>
  <si>
    <t>Laptop</t>
  </si>
  <si>
    <t>Tablet/Phone</t>
  </si>
  <si>
    <t>Househplds</t>
  </si>
  <si>
    <t>Individual</t>
  </si>
  <si>
    <t>Max Required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</si>
  <si>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</si>
  <si>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</si>
  <si>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</si>
  <si>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</si>
  <si>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</si>
  <si>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</si>
  <si>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</si>
  <si>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</si>
  <si>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</si>
  <si>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</si>
  <si>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</si>
  <si>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</si>
  <si>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</si>
  <si>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Heating Rough</t>
  </si>
  <si>
    <t>Total (MWh y-1)</t>
  </si>
  <si>
    <t>Hours</t>
  </si>
  <si>
    <t xml:space="preserve">Transport </t>
  </si>
  <si>
    <t>Tesla Model X P100D</t>
  </si>
  <si>
    <t>Usage per km (kWh)</t>
  </si>
  <si>
    <t>Cars</t>
  </si>
  <si>
    <t>Distance (km per day)</t>
  </si>
  <si>
    <t>Energy Usage (kWh) per car</t>
  </si>
  <si>
    <t>Data from Tesla.com</t>
  </si>
  <si>
    <t>Chosen charging rate (kW)</t>
  </si>
  <si>
    <t>Cooking</t>
  </si>
  <si>
    <t xml:space="preserve">Kettle </t>
  </si>
  <si>
    <t>Equipment</t>
  </si>
  <si>
    <t>Frequency</t>
  </si>
  <si>
    <t>Microwave Oven</t>
  </si>
  <si>
    <t>Power (W)</t>
  </si>
  <si>
    <t>Time (mins)</t>
  </si>
  <si>
    <t>Model</t>
  </si>
  <si>
    <t xml:space="preserve">Russell Hobbs Quiet Boil </t>
  </si>
  <si>
    <t>Samsung MS23K3513AK (800 W Output)</t>
  </si>
  <si>
    <t>Users</t>
  </si>
  <si>
    <t>Average (W)</t>
  </si>
  <si>
    <t>Maxmimum Demand</t>
  </si>
  <si>
    <t>Max Required (MW)</t>
  </si>
  <si>
    <t>Assumption - everything is on drawing max load</t>
  </si>
  <si>
    <t>Lighting (Dec)</t>
  </si>
  <si>
    <t>Heating (Dec)</t>
  </si>
  <si>
    <t>Load (MW)</t>
  </si>
  <si>
    <t>Car Chargine</t>
  </si>
  <si>
    <t>Total Chargine rate (MW)</t>
  </si>
  <si>
    <t>Max Total (MW)</t>
  </si>
  <si>
    <t>Total (GW)</t>
  </si>
  <si>
    <t>Mac Required (MW)</t>
  </si>
  <si>
    <t>Total in a Day (MWh)</t>
  </si>
  <si>
    <t>Total Energy Usage per day (MWh)</t>
  </si>
  <si>
    <t>Summer Total Energy in a Day (June)</t>
  </si>
  <si>
    <t>Services</t>
  </si>
  <si>
    <t>Lighting (June)</t>
  </si>
  <si>
    <t>Heating (June)</t>
  </si>
  <si>
    <t>Total per day (MWh)</t>
  </si>
  <si>
    <t>Services (MWh / year)</t>
  </si>
  <si>
    <t>Total  Average (MW)</t>
  </si>
  <si>
    <t>Services (MWh / day)</t>
  </si>
  <si>
    <t>Total (GWh)</t>
  </si>
  <si>
    <t>Winter Total Energy in a Day (December)</t>
  </si>
  <si>
    <t>Individual (MW)</t>
  </si>
  <si>
    <t>Couple M(W)</t>
  </si>
  <si>
    <t>Family (MW)</t>
  </si>
  <si>
    <t>Minimum Demand</t>
  </si>
  <si>
    <t xml:space="preserve">Assumption - minimal load </t>
  </si>
  <si>
    <t>Lighting (Daytime)</t>
  </si>
  <si>
    <t>Heating (Daytime June)</t>
  </si>
  <si>
    <t>Instant Av (MW)</t>
  </si>
  <si>
    <t>Heating Totals</t>
  </si>
  <si>
    <t>Number of Units</t>
  </si>
  <si>
    <t>Assumptions</t>
  </si>
  <si>
    <t>In addition to those already defined</t>
  </si>
  <si>
    <t xml:space="preserve">Heating </t>
  </si>
  <si>
    <t>In summer hot water is still needed equivalent to 1 hour per day per household, sink stuff mainly</t>
  </si>
  <si>
    <t>Transport</t>
  </si>
  <si>
    <t>Car chosen is Tesla Model X P100, with an energy usage rate of 22.5 kWh per 100 km, and a charging rate of 30 kW</t>
  </si>
  <si>
    <t xml:space="preserve">Services </t>
  </si>
  <si>
    <t>This is a flat energy rate based on the average per person</t>
  </si>
  <si>
    <t>When judging demand, and give the number of households I am assuming that there is a semi-flat rate of energy usage across the day, based on the 15/9 hour split, however the maximum demand is based on them all being on at 10A draw</t>
  </si>
  <si>
    <t>Lights / Heating</t>
  </si>
  <si>
    <t>These are following a linear change in demand from winter-summer-winter.</t>
  </si>
  <si>
    <t>Tesla</t>
  </si>
  <si>
    <t>https://www.tesla.com/en_EU/support/european-union-energy-label</t>
  </si>
  <si>
    <t>Kettle</t>
  </si>
  <si>
    <t>https://www.argos.co.uk/product/2137074?rec=PDP[8888822]:bottomSlider:P1:OHAT:alternatives:2137074:Nfh098tiffSXmmAY7mhV</t>
  </si>
  <si>
    <t>Microwave</t>
  </si>
  <si>
    <t>https://www.samsung.com/uk/microwave-ovens/solo/microwave-solo-ms23k3513ak/</t>
  </si>
  <si>
    <t>Microwave used for 10 minutes 3 times per day, and a kettle used for 2 minutes 10 times per day. Microwave has an output of 800W but has a draw of 1150W</t>
  </si>
  <si>
    <t>Sources of Information (there is no method to why I chose these)</t>
  </si>
  <si>
    <t>total</t>
  </si>
  <si>
    <t>Oven</t>
  </si>
  <si>
    <t xml:space="preserve">Toster </t>
  </si>
  <si>
    <t>Induction</t>
  </si>
  <si>
    <t>Summer Total Energy in a Day (Jan)</t>
  </si>
  <si>
    <t>Lighting (Jan)</t>
  </si>
  <si>
    <t>Heating (Jan)</t>
  </si>
  <si>
    <t>Summer Total Energy in a Day (Feb)</t>
  </si>
  <si>
    <t>Lighting (Feb)</t>
  </si>
  <si>
    <t>Heating (Feb)</t>
  </si>
  <si>
    <t>Summer Total Energy in a Day (March)</t>
  </si>
  <si>
    <t>Heating (March)</t>
  </si>
  <si>
    <t>Lighting (March)</t>
  </si>
  <si>
    <t>Summer Total Energy in a Day (April)</t>
  </si>
  <si>
    <t>Summer Total Energy in a Day (May)</t>
  </si>
  <si>
    <t>Lighting (May)</t>
  </si>
  <si>
    <t>Heating (May)</t>
  </si>
  <si>
    <t>Summer Total Energy in a Day (July)</t>
  </si>
  <si>
    <t>Lighting (July)</t>
  </si>
  <si>
    <t>Heating (July)</t>
  </si>
  <si>
    <t>Summer Total Energy in a Day (Aughust)</t>
  </si>
  <si>
    <t>Lighting (Aughust)</t>
  </si>
  <si>
    <t>Heating (Aughust)</t>
  </si>
  <si>
    <t>Summer Total Energy in a Day (Sept)</t>
  </si>
  <si>
    <t>Lighting (Sept)</t>
  </si>
  <si>
    <t>Heating (Sept)</t>
  </si>
  <si>
    <t>Summer Total Energy in a Day (Oct)</t>
  </si>
  <si>
    <t>Lighting (Oct)</t>
  </si>
  <si>
    <t>Heating (Oct)</t>
  </si>
  <si>
    <t>Summer Total Energy in a Day (Nov)</t>
  </si>
  <si>
    <t>Lighting (Nov)</t>
  </si>
  <si>
    <t>Heating (Nov)</t>
  </si>
  <si>
    <t xml:space="preserve">Total </t>
  </si>
  <si>
    <t>Total at 40%  for 5 hrs</t>
  </si>
  <si>
    <t>hours</t>
  </si>
  <si>
    <t>Applinces</t>
  </si>
  <si>
    <t>fridge</t>
  </si>
  <si>
    <t>washing machine</t>
  </si>
  <si>
    <t>dryer</t>
  </si>
  <si>
    <t>dish washer</t>
  </si>
  <si>
    <t>wifi</t>
  </si>
  <si>
    <t>Tv</t>
  </si>
  <si>
    <t>laptop</t>
  </si>
  <si>
    <t>heating</t>
  </si>
  <si>
    <t xml:space="preserve">lighting </t>
  </si>
  <si>
    <t>services</t>
  </si>
  <si>
    <t>oven</t>
  </si>
  <si>
    <t xml:space="preserve">induction </t>
  </si>
  <si>
    <t xml:space="preserve">kettele </t>
  </si>
  <si>
    <t xml:space="preserve">maicrovawe </t>
  </si>
  <si>
    <t>toaster</t>
  </si>
  <si>
    <t>total time</t>
  </si>
  <si>
    <t>trans</t>
  </si>
  <si>
    <t>1am</t>
  </si>
  <si>
    <t>2am</t>
  </si>
  <si>
    <t>3am</t>
  </si>
  <si>
    <t>4am</t>
  </si>
  <si>
    <t>5am</t>
  </si>
  <si>
    <t>6am</t>
  </si>
  <si>
    <t>7am</t>
  </si>
  <si>
    <t>8am</t>
  </si>
  <si>
    <t>9am</t>
  </si>
  <si>
    <t>10am</t>
  </si>
  <si>
    <t>11am</t>
  </si>
  <si>
    <t>12am</t>
  </si>
  <si>
    <t xml:space="preserve">total energy </t>
  </si>
  <si>
    <t>in GWH</t>
  </si>
  <si>
    <t xml:space="preserve">with 40 % </t>
  </si>
  <si>
    <t>inGWH</t>
  </si>
  <si>
    <t xml:space="preserve">Peak for july secnario 2 </t>
  </si>
  <si>
    <t>Peak for december  Senario 1</t>
  </si>
  <si>
    <t>Peak for Feb  Senario 3</t>
  </si>
  <si>
    <t xml:space="preserve">40 % increase  others </t>
  </si>
  <si>
    <t>light</t>
  </si>
  <si>
    <t>heat</t>
  </si>
  <si>
    <t>https://www.bosch-home.co.uk/product-list/cooking-baking/ovens/built-in-ovens/HRG6769S6B#/Togglebox=accessories/Togglebox=manuals/Togglebox=accessoriesOthers/</t>
  </si>
  <si>
    <t>Boasch series 8</t>
  </si>
  <si>
    <t>Bosch  compact toster</t>
  </si>
  <si>
    <t>Toaster</t>
  </si>
  <si>
    <t>https://www.bosch-home.co.uk/product-list/kettles-toasters/toasters/TAT8613GB#/Togglebox=manuals/</t>
  </si>
  <si>
    <t>https://www.bosch-home.co.uk/product-list/cooking-baking/hobs/induction-hobs/PXY875KW1E</t>
  </si>
  <si>
    <t>Bosch series 8</t>
  </si>
  <si>
    <t xml:space="preserve">Peak for May secnario 2 </t>
  </si>
  <si>
    <t xml:space="preserve">Peak for April </t>
  </si>
  <si>
    <t xml:space="preserve">Peak for March </t>
  </si>
  <si>
    <t>Peak for Feb</t>
  </si>
  <si>
    <t>Peak</t>
  </si>
  <si>
    <t>jan</t>
  </si>
  <si>
    <t>feb</t>
  </si>
  <si>
    <t>march</t>
  </si>
  <si>
    <t>april</t>
  </si>
  <si>
    <t>may</t>
  </si>
  <si>
    <t>jun</t>
  </si>
  <si>
    <t>july</t>
  </si>
  <si>
    <t>Sep</t>
  </si>
  <si>
    <t>oct</t>
  </si>
  <si>
    <t>nov</t>
  </si>
  <si>
    <t>dec</t>
  </si>
  <si>
    <t>GWH</t>
  </si>
  <si>
    <t>time</t>
  </si>
  <si>
    <t>12-2am</t>
  </si>
  <si>
    <t>1-2am</t>
  </si>
  <si>
    <t>12-1am</t>
  </si>
  <si>
    <t xml:space="preserve">GWH per day </t>
  </si>
  <si>
    <t>GWH per month</t>
  </si>
  <si>
    <t>total TWH</t>
  </si>
  <si>
    <t>energy in storage when production is not able to meet demand</t>
  </si>
  <si>
    <t xml:space="preserve"> </t>
  </si>
  <si>
    <t>highest energy stored</t>
  </si>
  <si>
    <t>min. backup needed for july secnario</t>
  </si>
  <si>
    <r>
      <t xml:space="preserve"> </t>
    </r>
    <r>
      <rPr>
        <b/>
        <sz val="12"/>
        <color theme="1"/>
        <rFont val="Calibri"/>
        <family val="2"/>
        <scheme val="minor"/>
      </rPr>
      <t>Scenario 2 JULY</t>
    </r>
  </si>
  <si>
    <t>Secnario 1 December</t>
  </si>
  <si>
    <t>need for extra backup =  41.9 GW</t>
  </si>
  <si>
    <t>Scenario 3 Feb</t>
  </si>
  <si>
    <t>When nucler and NGCC runs on full power</t>
  </si>
  <si>
    <t>Scenario 1 energy requirement up by 40 and no wind or tidal availiable</t>
  </si>
  <si>
    <t xml:space="preserve">            </t>
  </si>
  <si>
    <t>Power Efficiency (W)</t>
  </si>
  <si>
    <t>No of Turbines</t>
  </si>
  <si>
    <t>Cp</t>
  </si>
  <si>
    <t>Power Output (W)</t>
  </si>
  <si>
    <r>
      <t>πd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/4</t>
    </r>
  </si>
  <si>
    <r>
      <t>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</si>
  <si>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Air Density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)</t>
    </r>
  </si>
  <si>
    <t>Output Speed</t>
  </si>
  <si>
    <t>8-10.4 m/s</t>
  </si>
  <si>
    <t>Expected Wind Speed</t>
  </si>
  <si>
    <t>Dia (m)</t>
  </si>
  <si>
    <t>240m</t>
  </si>
  <si>
    <t>Hub Height</t>
  </si>
  <si>
    <t>https://www.gsi.ie/en-ie/publications/Pages/Geothermal-Energy-for-District-Heating-in-Ireland.aspx</t>
  </si>
  <si>
    <t>Size of the Turbine</t>
  </si>
  <si>
    <t>sep</t>
  </si>
  <si>
    <t>aug</t>
  </si>
  <si>
    <t>june</t>
  </si>
  <si>
    <t xml:space="preserve">may </t>
  </si>
  <si>
    <t xml:space="preserve">april </t>
  </si>
  <si>
    <t>https://gis.seai.ie/wind/</t>
  </si>
  <si>
    <t>7-9.25 m/s</t>
  </si>
  <si>
    <t>https://www.vestas.com/en/products/enventus-platform/enventus-platform</t>
  </si>
  <si>
    <t>166m</t>
  </si>
  <si>
    <t>End</t>
  </si>
  <si>
    <t>Mid</t>
  </si>
  <si>
    <t>Start</t>
  </si>
  <si>
    <t>Annual output-</t>
  </si>
  <si>
    <t>County Cork</t>
  </si>
  <si>
    <t>Owenbeg</t>
  </si>
  <si>
    <t>County Carlow</t>
  </si>
  <si>
    <t>Milford</t>
  </si>
  <si>
    <t>1 × 5,800 h.p. Kaplan turbine</t>
  </si>
  <si>
    <t>County Kildare</t>
  </si>
  <si>
    <t>Liffey</t>
  </si>
  <si>
    <t>Leixlip</t>
  </si>
  <si>
    <t>County Kilkenny</t>
  </si>
  <si>
    <t>Inch Mills</t>
  </si>
  <si>
    <t>County Tipperary</t>
  </si>
  <si>
    <t>Holy Cross</t>
  </si>
  <si>
    <t>1 × 5,230 h.p. propellor turbine</t>
  </si>
  <si>
    <t>County Wicklow</t>
  </si>
  <si>
    <t>Golden Falls</t>
  </si>
  <si>
    <t>Glenlough</t>
  </si>
  <si>
    <t>Vertical Pelton (188 metres head)</t>
  </si>
  <si>
    <t>County Donegal</t>
  </si>
  <si>
    <t>Lough Belshade</t>
  </si>
  <si>
    <t>Edergole</t>
  </si>
  <si>
    <t>County Kerry</t>
  </si>
  <si>
    <t>Kilorgan</t>
  </si>
  <si>
    <t>Cottoners</t>
  </si>
  <si>
    <t>County Sligo</t>
  </si>
  <si>
    <t>Collooney</t>
  </si>
  <si>
    <t>1 × 45,650 h.p. Francis turbine</t>
  </si>
  <si>
    <t>Gweedore</t>
  </si>
  <si>
    <t>Clady</t>
  </si>
  <si>
    <t>Celbridge</t>
  </si>
  <si>
    <t>Castlegrace</t>
  </si>
  <si>
    <t>County Roscommon</t>
  </si>
  <si>
    <t>Boyle</t>
  </si>
  <si>
    <t>Bennetsbridge</t>
  </si>
  <si>
    <t>County Offaly</t>
  </si>
  <si>
    <t>Belmont</t>
  </si>
  <si>
    <t>Ballisodare</t>
  </si>
  <si>
    <t>Ashgrove</t>
  </si>
  <si>
    <t>Anarget</t>
  </si>
  <si>
    <t>Wicklow: Glenmacnass</t>
  </si>
  <si>
    <t>Wicklow: Cloghoge</t>
  </si>
  <si>
    <t>Date unavailable at this time</t>
  </si>
  <si>
    <t>DG980</t>
  </si>
  <si>
    <t>Trewell (Cottoners)</t>
  </si>
  <si>
    <t>ZG1062</t>
  </si>
  <si>
    <t>Anarget Hydro</t>
  </si>
  <si>
    <t>DG976</t>
  </si>
  <si>
    <t>Rockygrange Hydroel</t>
  </si>
  <si>
    <t>Pre 2000</t>
  </si>
  <si>
    <t>DG958</t>
  </si>
  <si>
    <t>Lee - Carrigadrohid</t>
  </si>
  <si>
    <t>Lee - Inniscara</t>
  </si>
  <si>
    <t>1950-1955</t>
  </si>
  <si>
    <t>Erne - Cliff</t>
  </si>
  <si>
    <t>9.5,9.5,14.7</t>
  </si>
  <si>
    <t>47,17.4,17.5</t>
  </si>
  <si>
    <t>Liffey - Pollaphuca</t>
  </si>
  <si>
    <t>1200mm.</t>
  </si>
  <si>
    <t>1951-1952</t>
  </si>
  <si>
    <t>Erne - Cathleen's Falls</t>
  </si>
  <si>
    <t>1929-1934</t>
  </si>
  <si>
    <t>Ardnacrusha</t>
  </si>
  <si>
    <t xml:space="preserve"> Improved </t>
  </si>
  <si>
    <t>no. of turbines</t>
  </si>
  <si>
    <t>improved hm</t>
  </si>
  <si>
    <t xml:space="preserve"> improved Q m/s3</t>
  </si>
  <si>
    <t xml:space="preserve"> current annual output gwH </t>
  </si>
  <si>
    <t>Catchment Area (km²)</t>
  </si>
  <si>
    <t xml:space="preserve">Rainfall (mm) </t>
  </si>
  <si>
    <t>Flow m³/s</t>
  </si>
  <si>
    <t>Head (m)</t>
  </si>
  <si>
    <t>ITM_NORTH</t>
  </si>
  <si>
    <t>ITM_EAST</t>
  </si>
  <si>
    <t>MEC</t>
  </si>
  <si>
    <t>Estimated_Connection_Date</t>
  </si>
  <si>
    <t>GeneratorReference</t>
  </si>
  <si>
    <t>Generator</t>
  </si>
  <si>
    <r>
      <t>Q</t>
    </r>
    <r>
      <rPr>
        <sz val="12"/>
        <color rgb="FF000000"/>
        <rFont val="Helvetica Neue"/>
      </rPr>
      <t> is the discharge</t>
    </r>
  </si>
  <si>
    <r>
      <t>h</t>
    </r>
    <r>
      <rPr>
        <sz val="12"/>
        <color rgb="FF000000"/>
        <rFont val="Helvetica Neue"/>
      </rPr>
      <t> is the head, or the usable fall height.</t>
    </r>
  </si>
  <si>
    <r>
      <t>g</t>
    </r>
    <r>
      <rPr>
        <sz val="12"/>
        <color rgb="FF000000"/>
        <rFont val="Helvetica Neue"/>
      </rPr>
      <t xml:space="preserve"> is the acceleration of gravity, equal to 9.81 m/s² </t>
    </r>
  </si>
  <si>
    <r>
      <t>ρ</t>
    </r>
    <r>
      <rPr>
        <sz val="12"/>
        <color rgb="FF000000"/>
        <rFont val="Helvetica Neue"/>
      </rPr>
      <t xml:space="preserve"> is the density of water, taken as 998 kg/m³ </t>
    </r>
  </si>
  <si>
    <r>
      <t>v</t>
    </r>
    <r>
      <rPr>
        <sz val="12"/>
        <color rgb="FF000000"/>
        <rFont val="Helvetica Neue"/>
      </rPr>
      <t> is the flow velocity</t>
    </r>
  </si>
  <si>
    <t>η is the efficiency of the turbine 0.4</t>
  </si>
  <si>
    <t>A is the cross-sectional area of the channel</t>
  </si>
  <si>
    <r>
      <t>P</t>
    </r>
    <r>
      <rPr>
        <sz val="12"/>
        <color rgb="FF000000"/>
        <rFont val="Helvetica Neue"/>
      </rPr>
      <t> is the power output Watts</t>
    </r>
  </si>
  <si>
    <t>Q = A * v</t>
  </si>
  <si>
    <t>P = η * ρ * g * h * Q</t>
  </si>
  <si>
    <t>25,25,47</t>
  </si>
  <si>
    <t>h</t>
  </si>
  <si>
    <t>f</t>
  </si>
  <si>
    <t xml:space="preserve"> improved</t>
  </si>
  <si>
    <t xml:space="preserve"> annual output gwH </t>
  </si>
  <si>
    <t>Ai</t>
  </si>
  <si>
    <t>Waste Heat Recovery</t>
  </si>
  <si>
    <t>Combined Cycle</t>
  </si>
  <si>
    <t>Distillate Oil</t>
  </si>
  <si>
    <t>Gas</t>
  </si>
  <si>
    <t>WG1</t>
  </si>
  <si>
    <t>Whitegate power station [4]</t>
  </si>
  <si>
    <t>air</t>
  </si>
  <si>
    <t>n/a</t>
  </si>
  <si>
    <t>TYC</t>
  </si>
  <si>
    <t>Tynagh</t>
  </si>
  <si>
    <t>water</t>
  </si>
  <si>
    <t>Open Cycle</t>
  </si>
  <si>
    <t>SK4</t>
  </si>
  <si>
    <t>Sealrock</t>
  </si>
  <si>
    <t>SK3</t>
  </si>
  <si>
    <t>Water</t>
  </si>
  <si>
    <t>PBC</t>
  </si>
  <si>
    <t>Poolbeg</t>
  </si>
  <si>
    <t>NW5</t>
  </si>
  <si>
    <t>North Wall [1]</t>
  </si>
  <si>
    <t>MRT</t>
  </si>
  <si>
    <t>Marina CC [1]</t>
  </si>
  <si>
    <t>Air</t>
  </si>
  <si>
    <t>HN2</t>
  </si>
  <si>
    <t>Huntstown</t>
  </si>
  <si>
    <t>HNC</t>
  </si>
  <si>
    <t>HRSG</t>
  </si>
  <si>
    <t>DO</t>
  </si>
  <si>
    <t>GI4</t>
  </si>
  <si>
    <t>Great Island CCGT</t>
  </si>
  <si>
    <t>Seawater</t>
  </si>
  <si>
    <t>Single Shaft Combined Cycle</t>
  </si>
  <si>
    <t>DB1</t>
  </si>
  <si>
    <t>Dublin Bay</t>
  </si>
  <si>
    <t>AD2</t>
  </si>
  <si>
    <t>Aghada</t>
  </si>
  <si>
    <t>AT4</t>
  </si>
  <si>
    <t>AT2</t>
  </si>
  <si>
    <t>AT1</t>
  </si>
  <si>
    <t>Aghada [1]</t>
  </si>
  <si>
    <t>Once Through</t>
  </si>
  <si>
    <t>Condensing Steam Turbine</t>
  </si>
  <si>
    <t>AD1</t>
  </si>
  <si>
    <t>Aghada [1]</t>
  </si>
  <si>
    <t>DSU</t>
  </si>
  <si>
    <t>All Demand Side Units</t>
  </si>
  <si>
    <t>MW</t>
  </si>
  <si>
    <t xml:space="preserve">energy produced in after ccs </t>
  </si>
  <si>
    <t>energy to run CCs</t>
  </si>
  <si>
    <t>tons of co2 per year</t>
  </si>
  <si>
    <t>annual output</t>
  </si>
  <si>
    <t>Capacity MW</t>
  </si>
  <si>
    <t>energy produced =</t>
  </si>
  <si>
    <t>amount of NG to produce 1 ton C02 =</t>
  </si>
  <si>
    <t>m3</t>
  </si>
  <si>
    <t>energy to capture 1 ton of C02</t>
  </si>
  <si>
    <t>Co2 for 1m3 of natural gas=</t>
  </si>
  <si>
    <t>CO2 Kg</t>
  </si>
  <si>
    <t>GWh per year</t>
  </si>
  <si>
    <t>TOTAL energy</t>
  </si>
  <si>
    <t>No. of turbines</t>
  </si>
  <si>
    <t>per day Combined Gwh</t>
  </si>
  <si>
    <t>GWh per day</t>
  </si>
  <si>
    <t xml:space="preserve">GWh </t>
  </si>
  <si>
    <t>GWh per cycle</t>
  </si>
  <si>
    <t xml:space="preserve">Avg Energy </t>
  </si>
  <si>
    <t>J</t>
  </si>
  <si>
    <t>Energy</t>
  </si>
  <si>
    <t>can change according to need</t>
  </si>
  <si>
    <t>m</t>
  </si>
  <si>
    <t>Tidal Range</t>
  </si>
  <si>
    <t>m2</t>
  </si>
  <si>
    <t>Area</t>
  </si>
  <si>
    <t>m/s2</t>
  </si>
  <si>
    <t>g</t>
  </si>
  <si>
    <t>kg/m3</t>
  </si>
  <si>
    <t>Desnsity of Water</t>
  </si>
  <si>
    <t>?</t>
  </si>
  <si>
    <t>Flow rate</t>
  </si>
  <si>
    <t>Max Tidal Range</t>
  </si>
  <si>
    <t>Min Tidal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</si>
</sst>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8"/>
      <color rgb="FF202122"/>
      <name val="Arial"/>
      <family val="2"/>
    </font>
    <font>
      <sz val="7"/>
      <color rgb="FF333333"/>
      <name val="Verdana"/>
      <family val="2"/>
    </font>
    <font>
      <b/>
      <sz val="7"/>
      <color rgb="FF333333"/>
      <name val="Verdana"/>
      <family val="2"/>
    </font>
    <font>
      <sz val="12"/>
      <color rgb="FF000000"/>
      <name val="Helvetica Neue"/>
    </font>
    <font>
      <b/>
      <sz val="12"/>
      <color rgb="FF000000"/>
      <name val="Helvetica Neue"/>
    </font>
    <font>
      <sz val="12"/>
      <color rgb="FF000000"/>
      <name val="Arial"/>
      <family val="2"/>
    </font>
    <font>
      <sz val="10"/>
      <color rgb="FF444444"/>
      <name val="Helvetica Neue"/>
    </font>
    <font>
      <sz val="10"/>
      <color rgb="FF444444"/>
      <name val="Courier New"/>
      <family val="3"/>
    </font>
    <font>
      <u/>
      <sz val="11"/>
      <color theme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8F9FA"/>
        <bgColor rgb="FFF8F9FA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7">
    <xf numFmtId="0" fontId="0" fillId="0" borderId="0"/>
    <xf numFmtId="0" fontId="1" fillId="0" borderId="0"/>
    <xf numFmtId="0" fontId="1" fillId="15" borderId="9" applyNumberFormat="0" applyFont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7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2" fontId="0" fillId="2" borderId="0" xfId="0" applyNumberFormat="1" applyFill="1"/>
    <xf numFmtId="0" fontId="0" fillId="2" borderId="0" xfId="0" applyFill="1"/>
    <xf numFmtId="2" fontId="0" fillId="2" borderId="5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4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3" fillId="4" borderId="4" xfId="0" applyFont="1" applyFill="1" applyBorder="1"/>
    <xf numFmtId="0" fontId="3" fillId="5" borderId="4" xfId="0" applyFont="1" applyFill="1" applyBorder="1"/>
    <xf numFmtId="0" fontId="0" fillId="5" borderId="3" xfId="0" applyFill="1" applyBorder="1"/>
    <xf numFmtId="0" fontId="0" fillId="6" borderId="0" xfId="0" applyFill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3" fillId="6" borderId="1" xfId="0" applyFont="1" applyFill="1" applyBorder="1"/>
    <xf numFmtId="0" fontId="3" fillId="6" borderId="4" xfId="0" applyFont="1" applyFill="1" applyBorder="1"/>
    <xf numFmtId="0" fontId="0" fillId="3" borderId="3" xfId="0" applyFill="1" applyBorder="1"/>
    <xf numFmtId="2" fontId="0" fillId="3" borderId="5" xfId="0" applyNumberFormat="1" applyFill="1" applyBorder="1"/>
    <xf numFmtId="0" fontId="0" fillId="3" borderId="0" xfId="0" applyFill="1"/>
    <xf numFmtId="0" fontId="3" fillId="6" borderId="0" xfId="0" applyFont="1" applyFill="1"/>
    <xf numFmtId="0" fontId="3" fillId="3" borderId="0" xfId="0" applyFont="1" applyFill="1"/>
    <xf numFmtId="0" fontId="3" fillId="7" borderId="1" xfId="0" applyFont="1" applyFill="1" applyBorder="1"/>
    <xf numFmtId="0" fontId="3" fillId="7" borderId="2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3" fillId="7" borderId="4" xfId="0" applyFont="1" applyFill="1" applyBorder="1"/>
    <xf numFmtId="0" fontId="3" fillId="7" borderId="0" xfId="0" applyFont="1" applyFill="1"/>
    <xf numFmtId="0" fontId="0" fillId="7" borderId="0" xfId="0" applyFill="1"/>
    <xf numFmtId="0" fontId="0" fillId="7" borderId="5" xfId="0" applyFill="1" applyBorder="1"/>
    <xf numFmtId="0" fontId="0" fillId="7" borderId="4" xfId="0" applyFill="1" applyBorder="1"/>
    <xf numFmtId="2" fontId="0" fillId="7" borderId="0" xfId="0" applyNumberFormat="1" applyFill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3" fillId="8" borderId="1" xfId="0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4" xfId="0" applyFont="1" applyFill="1" applyBorder="1"/>
    <xf numFmtId="0" fontId="3" fillId="8" borderId="0" xfId="0" applyFont="1" applyFill="1"/>
    <xf numFmtId="0" fontId="0" fillId="8" borderId="0" xfId="0" applyFill="1"/>
    <xf numFmtId="0" fontId="0" fillId="8" borderId="5" xfId="0" applyFill="1" applyBorder="1"/>
    <xf numFmtId="0" fontId="0" fillId="8" borderId="4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3" fillId="0" borderId="0" xfId="0" applyFont="1"/>
    <xf numFmtId="0" fontId="3" fillId="5" borderId="1" xfId="0" applyFont="1" applyFill="1" applyBorder="1"/>
    <xf numFmtId="0" fontId="3" fillId="5" borderId="2" xfId="0" applyFont="1" applyFill="1" applyBorder="1"/>
    <xf numFmtId="0" fontId="3" fillId="5" borderId="0" xfId="0" applyFont="1" applyFill="1"/>
    <xf numFmtId="0" fontId="0" fillId="5" borderId="0" xfId="0" applyFill="1"/>
    <xf numFmtId="2" fontId="0" fillId="5" borderId="0" xfId="0" applyNumberFormat="1" applyFill="1"/>
    <xf numFmtId="0" fontId="5" fillId="5" borderId="6" xfId="0" applyFont="1" applyFill="1" applyBorder="1"/>
    <xf numFmtId="0" fontId="5" fillId="5" borderId="7" xfId="0" applyFont="1" applyFill="1" applyBorder="1"/>
    <xf numFmtId="2" fontId="5" fillId="5" borderId="7" xfId="0" applyNumberFormat="1" applyFont="1" applyFill="1" applyBorder="1"/>
    <xf numFmtId="0" fontId="5" fillId="5" borderId="8" xfId="0" applyFont="1" applyFill="1" applyBorder="1"/>
    <xf numFmtId="0" fontId="3" fillId="6" borderId="2" xfId="0" applyFont="1" applyFill="1" applyBorder="1"/>
    <xf numFmtId="0" fontId="3" fillId="6" borderId="2" xfId="0" applyFont="1" applyFill="1" applyBorder="1" applyAlignment="1">
      <alignment wrapText="1"/>
    </xf>
    <xf numFmtId="0" fontId="3" fillId="6" borderId="3" xfId="0" applyFont="1" applyFill="1" applyBorder="1"/>
    <xf numFmtId="2" fontId="0" fillId="3" borderId="8" xfId="0" applyNumberFormat="1" applyFill="1" applyBorder="1"/>
    <xf numFmtId="2" fontId="0" fillId="3" borderId="7" xfId="0" applyNumberFormat="1" applyFill="1" applyBorder="1"/>
    <xf numFmtId="2" fontId="0" fillId="3" borderId="0" xfId="0" applyNumberFormat="1" applyFill="1"/>
    <xf numFmtId="2" fontId="0" fillId="4" borderId="7" xfId="0" applyNumberFormat="1" applyFill="1" applyBorder="1"/>
    <xf numFmtId="0" fontId="3" fillId="4" borderId="0" xfId="0" applyFont="1" applyFill="1"/>
    <xf numFmtId="0" fontId="0" fillId="3" borderId="2" xfId="0" applyFill="1" applyBorder="1"/>
    <xf numFmtId="0" fontId="0" fillId="4" borderId="0" xfId="0" applyFill="1"/>
    <xf numFmtId="2" fontId="0" fillId="4" borderId="0" xfId="0" applyNumberFormat="1" applyFill="1"/>
    <xf numFmtId="0" fontId="3" fillId="2" borderId="0" xfId="0" applyFont="1" applyFill="1"/>
    <xf numFmtId="2" fontId="0" fillId="2" borderId="7" xfId="0" applyNumberFormat="1" applyFill="1" applyBorder="1"/>
    <xf numFmtId="0" fontId="3" fillId="6" borderId="7" xfId="0" applyFont="1" applyFill="1" applyBorder="1"/>
    <xf numFmtId="0" fontId="3" fillId="6" borderId="4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5" fillId="8" borderId="6" xfId="0" applyFont="1" applyFill="1" applyBorder="1"/>
    <xf numFmtId="0" fontId="5" fillId="8" borderId="7" xfId="0" applyFont="1" applyFill="1" applyBorder="1"/>
    <xf numFmtId="0" fontId="3" fillId="8" borderId="5" xfId="0" applyFont="1" applyFill="1" applyBorder="1"/>
    <xf numFmtId="2" fontId="0" fillId="8" borderId="5" xfId="0" applyNumberFormat="1" applyFill="1" applyBorder="1"/>
    <xf numFmtId="2" fontId="5" fillId="8" borderId="8" xfId="0" applyNumberFormat="1" applyFont="1" applyFill="1" applyBorder="1"/>
    <xf numFmtId="0" fontId="3" fillId="2" borderId="4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0" xfId="0" applyAlignment="1">
      <alignment wrapText="1"/>
    </xf>
    <xf numFmtId="0" fontId="0" fillId="8" borderId="1" xfId="0" applyFill="1" applyBorder="1"/>
    <xf numFmtId="2" fontId="0" fillId="0" borderId="0" xfId="0" applyNumberFormat="1"/>
    <xf numFmtId="0" fontId="2" fillId="0" borderId="0" xfId="0" applyFont="1"/>
    <xf numFmtId="0" fontId="0" fillId="2" borderId="0" xfId="0" applyFill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4" borderId="0" xfId="0" applyFill="1"/>
    <xf numFmtId="0" fontId="5" fillId="6" borderId="0" xfId="0" applyFont="1" applyFill="1"/>
    <xf numFmtId="0" fontId="0" fillId="13" borderId="0" xfId="0" applyFill="1" applyAlignment="1">
      <alignment horizontal="right"/>
    </xf>
    <xf numFmtId="2" fontId="0" fillId="8" borderId="0" xfId="0" applyNumberFormat="1" applyFill="1"/>
    <xf numFmtId="0" fontId="0" fillId="0" borderId="0" xfId="0" applyFill="1"/>
    <xf numFmtId="0" fontId="0" fillId="7" borderId="0" xfId="0" applyFont="1" applyFill="1"/>
    <xf numFmtId="0" fontId="6" fillId="6" borderId="0" xfId="0" applyFont="1" applyFill="1"/>
    <xf numFmtId="0" fontId="6" fillId="9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10" borderId="0" xfId="0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0" borderId="0" xfId="0" applyFill="1" applyBorder="1"/>
    <xf numFmtId="0" fontId="0" fillId="21" borderId="0" xfId="0" applyFill="1" applyBorder="1"/>
    <xf numFmtId="0" fontId="0" fillId="21" borderId="5" xfId="0" applyFill="1" applyBorder="1"/>
    <xf numFmtId="0" fontId="0" fillId="0" borderId="0" xfId="0" applyFill="1" applyBorder="1"/>
    <xf numFmtId="0" fontId="0" fillId="10" borderId="7" xfId="0" applyFill="1" applyBorder="1"/>
    <xf numFmtId="0" fontId="3" fillId="0" borderId="1" xfId="0" applyFont="1" applyBorder="1"/>
    <xf numFmtId="0" fontId="0" fillId="0" borderId="4" xfId="0" applyBorder="1" applyAlignment="1">
      <alignment horizontal="right"/>
    </xf>
    <xf numFmtId="0" fontId="0" fillId="6" borderId="0" xfId="0" applyFill="1" applyBorder="1"/>
    <xf numFmtId="0" fontId="0" fillId="0" borderId="5" xfId="0" applyFill="1" applyBorder="1"/>
    <xf numFmtId="0" fontId="7" fillId="0" borderId="1" xfId="0" applyFont="1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22" borderId="4" xfId="0" applyFill="1" applyBorder="1"/>
    <xf numFmtId="0" fontId="0" fillId="22" borderId="0" xfId="0" applyFill="1" applyBorder="1"/>
    <xf numFmtId="0" fontId="0" fillId="22" borderId="5" xfId="0" applyFill="1" applyBorder="1"/>
    <xf numFmtId="0" fontId="0" fillId="22" borderId="0" xfId="0" applyFill="1"/>
    <xf numFmtId="0" fontId="1" fillId="0" borderId="0" xfId="1"/>
    <xf numFmtId="0" fontId="1" fillId="19" borderId="0" xfId="1" applyFill="1"/>
    <xf numFmtId="0" fontId="0" fillId="19" borderId="10" xfId="2" applyFont="1" applyFill="1" applyBorder="1"/>
    <xf numFmtId="0" fontId="0" fillId="19" borderId="9" xfId="2" applyFont="1" applyFill="1"/>
    <xf numFmtId="0" fontId="9" fillId="0" borderId="0" xfId="3"/>
    <xf numFmtId="0" fontId="10" fillId="0" borderId="0" xfId="4"/>
    <xf numFmtId="0" fontId="11" fillId="23" borderId="11" xfId="5" applyFill="1" applyBorder="1" applyAlignment="1">
      <alignment vertical="center" wrapText="1"/>
    </xf>
    <xf numFmtId="0" fontId="12" fillId="23" borderId="11" xfId="4" applyFont="1" applyFill="1" applyBorder="1" applyAlignment="1">
      <alignment vertical="center" wrapText="1"/>
    </xf>
    <xf numFmtId="0" fontId="11" fillId="23" borderId="12" xfId="5" applyFill="1" applyBorder="1" applyAlignment="1">
      <alignment vertical="center" wrapText="1"/>
    </xf>
    <xf numFmtId="0" fontId="12" fillId="23" borderId="12" xfId="4" applyFont="1" applyFill="1" applyBorder="1" applyAlignment="1">
      <alignment vertical="center" wrapText="1"/>
    </xf>
    <xf numFmtId="0" fontId="12" fillId="23" borderId="12" xfId="4" applyFont="1" applyFill="1" applyBorder="1" applyAlignment="1">
      <alignment vertical="center" wrapText="1"/>
    </xf>
    <xf numFmtId="0" fontId="11" fillId="23" borderId="13" xfId="5" applyFill="1" applyBorder="1" applyAlignment="1">
      <alignment vertical="center" wrapText="1"/>
    </xf>
    <xf numFmtId="0" fontId="12" fillId="23" borderId="13" xfId="4" applyFont="1" applyFill="1" applyBorder="1" applyAlignment="1">
      <alignment vertical="center" wrapText="1"/>
    </xf>
    <xf numFmtId="0" fontId="12" fillId="23" borderId="13" xfId="4" applyFont="1" applyFill="1" applyBorder="1" applyAlignment="1">
      <alignment vertical="center" wrapText="1"/>
    </xf>
    <xf numFmtId="0" fontId="11" fillId="23" borderId="14" xfId="5" applyFill="1" applyBorder="1" applyAlignment="1">
      <alignment vertical="center" wrapText="1"/>
    </xf>
    <xf numFmtId="0" fontId="12" fillId="23" borderId="14" xfId="4" applyFont="1" applyFill="1" applyBorder="1" applyAlignment="1">
      <alignment vertical="center" wrapText="1"/>
    </xf>
    <xf numFmtId="0" fontId="12" fillId="23" borderId="14" xfId="4" applyFont="1" applyFill="1" applyBorder="1" applyAlignment="1">
      <alignment vertical="center" wrapText="1"/>
    </xf>
    <xf numFmtId="0" fontId="13" fillId="0" borderId="0" xfId="4" applyFont="1"/>
    <xf numFmtId="0" fontId="14" fillId="0" borderId="0" xfId="4" applyFont="1" applyAlignment="1">
      <alignment vertical="center" wrapText="1"/>
    </xf>
    <xf numFmtId="0" fontId="14" fillId="0" borderId="0" xfId="4" applyFont="1"/>
    <xf numFmtId="3" fontId="10" fillId="0" borderId="0" xfId="4" applyNumberFormat="1"/>
    <xf numFmtId="0" fontId="15" fillId="0" borderId="0" xfId="4" applyFont="1" applyAlignment="1">
      <alignment vertical="center"/>
    </xf>
    <xf numFmtId="0" fontId="16" fillId="0" borderId="0" xfId="4" applyFont="1" applyAlignment="1">
      <alignment horizontal="left" vertical="center" indent="2"/>
    </xf>
    <xf numFmtId="0" fontId="17" fillId="0" borderId="0" xfId="4" applyFont="1"/>
    <xf numFmtId="0" fontId="17" fillId="0" borderId="0" xfId="5" applyFont="1" applyAlignment="1">
      <alignment horizontal="left" vertical="center" indent="2"/>
    </xf>
    <xf numFmtId="0" fontId="18" fillId="0" borderId="0" xfId="4" applyFont="1" applyAlignment="1">
      <alignment horizontal="left" vertical="center" indent="2"/>
    </xf>
    <xf numFmtId="0" fontId="19" fillId="0" borderId="0" xfId="4" applyFont="1"/>
    <xf numFmtId="0" fontId="20" fillId="23" borderId="11" xfId="6" applyFill="1" applyBorder="1" applyAlignment="1">
      <alignment vertical="center" wrapText="1"/>
    </xf>
    <xf numFmtId="0" fontId="12" fillId="24" borderId="11" xfId="4" applyFont="1" applyFill="1" applyBorder="1" applyAlignment="1">
      <alignment vertical="center" wrapText="1"/>
    </xf>
  </cellXfs>
  <cellStyles count="7">
    <cellStyle name="Hyperlink 2" xfId="3" xr:uid="{63E1DDBC-48FA-491A-9E94-1CE6F17813DB}"/>
    <cellStyle name="Hyperlink 3" xfId="5" xr:uid="{F5FB27D1-1E5F-4FAB-8497-64E3C33DE064}"/>
    <cellStyle name="Hyperlink 4" xfId="6" xr:uid="{31B87A8B-7578-4510-8E5E-8CF49B2AB459}"/>
    <cellStyle name="Normal" xfId="0" builtinId="0"/>
    <cellStyle name="Normal 2" xfId="1" xr:uid="{342B445F-C80F-4AFF-9CAF-31573771A1FC}"/>
    <cellStyle name="Normal 3" xfId="4" xr:uid="{3C207BD3-1726-4592-B1BB-11C8018669E5}"/>
    <cellStyle name="Note 2" xfId="2" xr:uid="{1038BA96-A834-44B6-AE05-5A653C457253}"/>
  </cellStyles>
  <dxfs count="0"/>
  <tableStyles count="0" defaultTableStyle="TableStyleMedium2" defaultPivotStyle="PivotStyleLight16"/>
  <colors>
    <mruColors>
      <color rgb="FF99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Heating (Hours / Day)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Calculations!$L$33:$L$44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Calculations!$M$33:$M$44</c:f>
              <c:numCache>
                <c:formatCode>General</c:formatCode>
                <c:ptCount val="12"/>
                <c:pt idx="0">
                  <c:v>15</c:v>
                </c:pt>
                <c:pt idx="1">
                  <c:v>12.2</c:v>
                </c:pt>
                <c:pt idx="2">
                  <c:v>9.3999999999999986</c:v>
                </c:pt>
                <c:pt idx="3">
                  <c:v>6.5999999999999988</c:v>
                </c:pt>
                <c:pt idx="4">
                  <c:v>3.7999999999999989</c:v>
                </c:pt>
                <c:pt idx="5">
                  <c:v>0.99999999999999911</c:v>
                </c:pt>
                <c:pt idx="6">
                  <c:v>1</c:v>
                </c:pt>
                <c:pt idx="7">
                  <c:v>3.8</c:v>
                </c:pt>
                <c:pt idx="8">
                  <c:v>6.6</c:v>
                </c:pt>
                <c:pt idx="9">
                  <c:v>9.3999999999999986</c:v>
                </c:pt>
                <c:pt idx="10">
                  <c:v>12.2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9-1A41-9FC5-ED4BA2791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665776"/>
        <c:axId val="1120744032"/>
      </c:barChart>
      <c:catAx>
        <c:axId val="11496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44032"/>
        <c:crosses val="autoZero"/>
        <c:auto val="1"/>
        <c:lblAlgn val="ctr"/>
        <c:lblOffset val="100"/>
        <c:noMultiLvlLbl val="0"/>
      </c:catAx>
      <c:valAx>
        <c:axId val="11207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Lighting</a:t>
            </a:r>
            <a:r>
              <a:rPr lang="en-GB" baseline="0"/>
              <a:t> (Hours / Day)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Calculations!$L$18:$L$29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Calculations!$M$18:$M$29</c:f>
              <c:numCache>
                <c:formatCode>General</c:formatCode>
                <c:ptCount val="12"/>
                <c:pt idx="0">
                  <c:v>7</c:v>
                </c:pt>
                <c:pt idx="1">
                  <c:v>6.2</c:v>
                </c:pt>
                <c:pt idx="2">
                  <c:v>5.4</c:v>
                </c:pt>
                <c:pt idx="3">
                  <c:v>4.6000000000000005</c:v>
                </c:pt>
                <c:pt idx="4">
                  <c:v>3.8000000000000007</c:v>
                </c:pt>
                <c:pt idx="5">
                  <c:v>3</c:v>
                </c:pt>
                <c:pt idx="6">
                  <c:v>3</c:v>
                </c:pt>
                <c:pt idx="7">
                  <c:v>3.8</c:v>
                </c:pt>
                <c:pt idx="8">
                  <c:v>4.5999999999999996</c:v>
                </c:pt>
                <c:pt idx="9">
                  <c:v>5.3999999999999995</c:v>
                </c:pt>
                <c:pt idx="10">
                  <c:v>6.1999999999999993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C-D441-A7B9-FD9442414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665776"/>
        <c:axId val="1120744032"/>
      </c:barChart>
      <c:catAx>
        <c:axId val="11496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44032"/>
        <c:crosses val="autoZero"/>
        <c:auto val="1"/>
        <c:lblAlgn val="ctr"/>
        <c:lblOffset val="100"/>
        <c:noMultiLvlLbl val="0"/>
      </c:catAx>
      <c:valAx>
        <c:axId val="11207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897193853418681E-2"/>
          <c:y val="2.1397339287375565E-3"/>
          <c:w val="0.89639350999607204"/>
          <c:h val="0.83868741643143663"/>
        </c:manualLayout>
      </c:layout>
      <c:lineChart>
        <c:grouping val="standard"/>
        <c:varyColors val="0"/>
        <c:ser>
          <c:idx val="0"/>
          <c:order val="0"/>
          <c:tx>
            <c:strRef>
              <c:f>Demand!$AM$27</c:f>
              <c:strCache>
                <c:ptCount val="1"/>
                <c:pt idx="0">
                  <c:v>Peak for july secnario 2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Demand!$AM$30:$AM$53</c:f>
              <c:strCach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1am</c:v>
                </c:pt>
                <c:pt idx="8">
                  <c:v>2am</c:v>
                </c:pt>
                <c:pt idx="9">
                  <c:v>3am</c:v>
                </c:pt>
                <c:pt idx="10">
                  <c:v>4am</c:v>
                </c:pt>
                <c:pt idx="11">
                  <c:v>5am</c:v>
                </c:pt>
                <c:pt idx="12">
                  <c:v>6am</c:v>
                </c:pt>
                <c:pt idx="13">
                  <c:v>7am</c:v>
                </c:pt>
                <c:pt idx="14">
                  <c:v>8am</c:v>
                </c:pt>
                <c:pt idx="15">
                  <c:v>9am</c:v>
                </c:pt>
                <c:pt idx="16">
                  <c:v>10am</c:v>
                </c:pt>
                <c:pt idx="17">
                  <c:v>11am</c:v>
                </c:pt>
                <c:pt idx="18">
                  <c:v>12am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strCache>
            </c:strRef>
          </c:cat>
          <c:val>
            <c:numRef>
              <c:f>Demand!$BE$30:$BE$53</c:f>
              <c:numCache>
                <c:formatCode>General</c:formatCode>
                <c:ptCount val="24"/>
                <c:pt idx="0">
                  <c:v>9.961688784246574</c:v>
                </c:pt>
                <c:pt idx="1">
                  <c:v>25.673355450913242</c:v>
                </c:pt>
                <c:pt idx="2">
                  <c:v>11.876688784246575</c:v>
                </c:pt>
                <c:pt idx="3">
                  <c:v>11.966688784246575</c:v>
                </c:pt>
                <c:pt idx="4">
                  <c:v>21.307938784246574</c:v>
                </c:pt>
                <c:pt idx="5">
                  <c:v>23.906688784246573</c:v>
                </c:pt>
                <c:pt idx="6">
                  <c:v>33.073355450913247</c:v>
                </c:pt>
                <c:pt idx="7">
                  <c:v>31.923355450913245</c:v>
                </c:pt>
                <c:pt idx="8">
                  <c:v>8.3816887842465757</c:v>
                </c:pt>
                <c:pt idx="9">
                  <c:v>8.3816887842465757</c:v>
                </c:pt>
                <c:pt idx="10">
                  <c:v>13.019248784246576</c:v>
                </c:pt>
                <c:pt idx="11">
                  <c:v>8.8766887842465749</c:v>
                </c:pt>
                <c:pt idx="12">
                  <c:v>15.819188784246576</c:v>
                </c:pt>
                <c:pt idx="13">
                  <c:v>19.657938784246571</c:v>
                </c:pt>
                <c:pt idx="14">
                  <c:v>8.3816887842465757</c:v>
                </c:pt>
                <c:pt idx="15">
                  <c:v>9.8350221175799089</c:v>
                </c:pt>
                <c:pt idx="16">
                  <c:v>8.9666887842465748</c:v>
                </c:pt>
                <c:pt idx="17">
                  <c:v>8.8766887842465749</c:v>
                </c:pt>
                <c:pt idx="18">
                  <c:v>8.3816887842465757</c:v>
                </c:pt>
                <c:pt idx="19">
                  <c:v>28.50335545091324</c:v>
                </c:pt>
                <c:pt idx="20">
                  <c:v>11.376688784246575</c:v>
                </c:pt>
                <c:pt idx="21">
                  <c:v>31.923355450913245</c:v>
                </c:pt>
                <c:pt idx="22">
                  <c:v>8.9666887842465748</c:v>
                </c:pt>
                <c:pt idx="23">
                  <c:v>24.710022117579907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5-4B56-884E-38F7D9920F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6509391"/>
        <c:axId val="596502319"/>
      </c:lineChart>
      <c:catAx>
        <c:axId val="5965093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02319"/>
        <c:crosses val="autoZero"/>
        <c:auto val="1"/>
        <c:lblAlgn val="ctr"/>
        <c:lblOffset val="100"/>
        <c:noMultiLvlLbl val="0"/>
      </c:catAx>
      <c:valAx>
        <c:axId val="596502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0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Demand!$AM$59</c:f>
              <c:strCache>
                <c:ptCount val="1"/>
                <c:pt idx="0">
                  <c:v>Peak for december  Senario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Demand!$AM$62:$AM$85</c:f>
              <c:strCach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1am</c:v>
                </c:pt>
                <c:pt idx="8">
                  <c:v>2am</c:v>
                </c:pt>
                <c:pt idx="9">
                  <c:v>3am</c:v>
                </c:pt>
                <c:pt idx="10">
                  <c:v>4am</c:v>
                </c:pt>
                <c:pt idx="11">
                  <c:v>5am</c:v>
                </c:pt>
                <c:pt idx="12">
                  <c:v>6am</c:v>
                </c:pt>
                <c:pt idx="13">
                  <c:v>7am</c:v>
                </c:pt>
                <c:pt idx="14">
                  <c:v>8am</c:v>
                </c:pt>
                <c:pt idx="15">
                  <c:v>9am</c:v>
                </c:pt>
                <c:pt idx="16">
                  <c:v>10am</c:v>
                </c:pt>
                <c:pt idx="17">
                  <c:v>11am</c:v>
                </c:pt>
                <c:pt idx="18">
                  <c:v>12am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strCache>
            </c:strRef>
          </c:cat>
          <c:val>
            <c:numRef>
              <c:f>Demand!$BF$62:$BF$85</c:f>
              <c:numCache>
                <c:formatCode>General</c:formatCode>
                <c:ptCount val="24"/>
                <c:pt idx="0">
                  <c:v>22.048948297945206</c:v>
                </c:pt>
                <c:pt idx="1">
                  <c:v>44.045281631278534</c:v>
                </c:pt>
                <c:pt idx="2">
                  <c:v>24.729948297945207</c:v>
                </c:pt>
                <c:pt idx="3">
                  <c:v>24.855948297945208</c:v>
                </c:pt>
                <c:pt idx="4">
                  <c:v>36.323698297945207</c:v>
                </c:pt>
                <c:pt idx="5">
                  <c:v>27.394248784246578</c:v>
                </c:pt>
                <c:pt idx="6">
                  <c:v>36.5609154509132</c:v>
                </c:pt>
                <c:pt idx="7">
                  <c:v>36.560915450913242</c:v>
                </c:pt>
                <c:pt idx="8">
                  <c:v>13.019248784246576</c:v>
                </c:pt>
                <c:pt idx="9">
                  <c:v>13.019248784246576</c:v>
                </c:pt>
                <c:pt idx="10">
                  <c:v>13.019248784246576</c:v>
                </c:pt>
                <c:pt idx="11">
                  <c:v>13.514248784246575</c:v>
                </c:pt>
                <c:pt idx="12">
                  <c:v>20.456748784246578</c:v>
                </c:pt>
                <c:pt idx="13">
                  <c:v>24.295498784246579</c:v>
                </c:pt>
                <c:pt idx="14">
                  <c:v>13.019248784246576</c:v>
                </c:pt>
                <c:pt idx="15">
                  <c:v>9.8350221175799089</c:v>
                </c:pt>
                <c:pt idx="16">
                  <c:v>8.9666887842465748</c:v>
                </c:pt>
                <c:pt idx="17">
                  <c:v>8.8766887842465749</c:v>
                </c:pt>
                <c:pt idx="18">
                  <c:v>8.3816887842465757</c:v>
                </c:pt>
                <c:pt idx="19">
                  <c:v>28.50335545091324</c:v>
                </c:pt>
                <c:pt idx="20">
                  <c:v>34.918355450913246</c:v>
                </c:pt>
                <c:pt idx="21">
                  <c:v>8.3816887842465757</c:v>
                </c:pt>
                <c:pt idx="22">
                  <c:v>10.116688784246575</c:v>
                </c:pt>
                <c:pt idx="23">
                  <c:v>25.860022117579909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D0-4F34-80EB-A93E034D3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8318991"/>
        <c:axId val="618319407"/>
      </c:lineChart>
      <c:catAx>
        <c:axId val="6183189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19407"/>
        <c:crosses val="autoZero"/>
        <c:auto val="1"/>
        <c:lblAlgn val="ctr"/>
        <c:lblOffset val="100"/>
        <c:noMultiLvlLbl val="0"/>
      </c:catAx>
      <c:valAx>
        <c:axId val="618319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1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Demand!$AM$88</c:f>
              <c:strCache>
                <c:ptCount val="1"/>
                <c:pt idx="0">
                  <c:v>Peak for Feb  Senario 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Demand!$AM$91:$AM$114</c:f>
              <c:strCach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1am</c:v>
                </c:pt>
                <c:pt idx="8">
                  <c:v>2am</c:v>
                </c:pt>
                <c:pt idx="9">
                  <c:v>3am</c:v>
                </c:pt>
                <c:pt idx="10">
                  <c:v>4am</c:v>
                </c:pt>
                <c:pt idx="11">
                  <c:v>5am</c:v>
                </c:pt>
                <c:pt idx="12">
                  <c:v>6am</c:v>
                </c:pt>
                <c:pt idx="13">
                  <c:v>7am</c:v>
                </c:pt>
                <c:pt idx="14">
                  <c:v>8am</c:v>
                </c:pt>
                <c:pt idx="15">
                  <c:v>9am</c:v>
                </c:pt>
                <c:pt idx="16">
                  <c:v>10am</c:v>
                </c:pt>
                <c:pt idx="17">
                  <c:v>11am</c:v>
                </c:pt>
                <c:pt idx="18">
                  <c:v>12am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strCache>
            </c:strRef>
          </c:cat>
          <c:val>
            <c:numRef>
              <c:f>Demand!$BE$91:$BE$114</c:f>
              <c:numCache>
                <c:formatCode>General</c:formatCode>
                <c:ptCount val="24"/>
                <c:pt idx="0">
                  <c:v>13.889610980308218</c:v>
                </c:pt>
                <c:pt idx="1">
                  <c:v>33.529194313641547</c:v>
                </c:pt>
                <c:pt idx="2">
                  <c:v>17.48914998030822</c:v>
                </c:pt>
                <c:pt idx="3">
                  <c:v>22.424805980308218</c:v>
                </c:pt>
                <c:pt idx="4">
                  <c:v>32.663868480308217</c:v>
                </c:pt>
                <c:pt idx="5">
                  <c:v>34.474805980308211</c:v>
                </c:pt>
                <c:pt idx="6">
                  <c:v>45.933139313641554</c:v>
                </c:pt>
                <c:pt idx="7">
                  <c:v>45.933139313641554</c:v>
                </c:pt>
                <c:pt idx="8">
                  <c:v>16.506055980308219</c:v>
                </c:pt>
                <c:pt idx="9">
                  <c:v>16.506055980308219</c:v>
                </c:pt>
                <c:pt idx="10">
                  <c:v>16.506055980308219</c:v>
                </c:pt>
                <c:pt idx="11">
                  <c:v>17.124805980308217</c:v>
                </c:pt>
                <c:pt idx="12">
                  <c:v>25.802930980308219</c:v>
                </c:pt>
                <c:pt idx="13">
                  <c:v>30.601368480308217</c:v>
                </c:pt>
                <c:pt idx="14">
                  <c:v>16.506055980308219</c:v>
                </c:pt>
                <c:pt idx="15">
                  <c:v>12.293777646974885</c:v>
                </c:pt>
                <c:pt idx="16">
                  <c:v>11.208360980308218</c:v>
                </c:pt>
                <c:pt idx="17">
                  <c:v>11.095860980308219</c:v>
                </c:pt>
                <c:pt idx="18">
                  <c:v>10.477110980308218</c:v>
                </c:pt>
                <c:pt idx="19">
                  <c:v>35.629194313641548</c:v>
                </c:pt>
                <c:pt idx="20">
                  <c:v>14.220860980308219</c:v>
                </c:pt>
                <c:pt idx="21">
                  <c:v>39.904194313641547</c:v>
                </c:pt>
                <c:pt idx="22">
                  <c:v>11.495760980308217</c:v>
                </c:pt>
                <c:pt idx="23">
                  <c:v>32.325027646974888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66A-B165-098EBFAA81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3538015"/>
        <c:axId val="753530527"/>
      </c:lineChart>
      <c:catAx>
        <c:axId val="7535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30527"/>
        <c:crosses val="autoZero"/>
        <c:auto val="1"/>
        <c:lblAlgn val="ctr"/>
        <c:lblOffset val="100"/>
        <c:noMultiLvlLbl val="0"/>
      </c:catAx>
      <c:valAx>
        <c:axId val="7535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3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25400</xdr:rowOff>
    </xdr:from>
    <xdr:to>
      <xdr:col>8</xdr:col>
      <xdr:colOff>177800</xdr:colOff>
      <xdr:row>28</xdr:row>
      <xdr:rowOff>127000</xdr:rowOff>
    </xdr:to>
    <xdr:pic>
      <xdr:nvPicPr>
        <xdr:cNvPr id="2" name="Picture 1" descr="Table of requirements from the setting of the assessment">
          <a:extLst>
            <a:ext uri="{FF2B5EF4-FFF2-40B4-BE49-F238E27FC236}">
              <a16:creationId xmlns:a16="http://schemas.microsoft.com/office/drawing/2014/main" id="{BBF2B5A9-710C-397C-3DA9-2B1E612EF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5400"/>
          <a:ext cx="7772400" cy="5829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18</xdr:col>
      <xdr:colOff>203200</xdr:colOff>
      <xdr:row>30</xdr:row>
      <xdr:rowOff>95250</xdr:rowOff>
    </xdr:from>
    <xdr:to>
      <xdr:col>23</xdr:col>
      <xdr:colOff>647700</xdr:colOff>
      <xdr:row>43</xdr:row>
      <xdr:rowOff>184150</xdr:rowOff>
    </xdr:to>
    <xdr:graphicFrame macro="">
      <xdr:nvGraphicFramePr>
        <xdr:cNvPr id="7" name="Chart 6" descr="Plot of heating usage across a year for the assessment&#10;">
          <a:extLst>
            <a:ext uri="{FF2B5EF4-FFF2-40B4-BE49-F238E27FC236}">
              <a16:creationId xmlns:a16="http://schemas.microsoft.com/office/drawing/2014/main" id="{BCDD24EA-FB51-2B95-E58F-E59DA82C5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190500</xdr:colOff>
      <xdr:row>15</xdr:row>
      <xdr:rowOff>76200</xdr:rowOff>
    </xdr:from>
    <xdr:to>
      <xdr:col>23</xdr:col>
      <xdr:colOff>635000</xdr:colOff>
      <xdr:row>28</xdr:row>
      <xdr:rowOff>177800</xdr:rowOff>
    </xdr:to>
    <xdr:graphicFrame macro="">
      <xdr:nvGraphicFramePr>
        <xdr:cNvPr id="8" name="Chart 7" descr="Plot of electric light usage across a year for the assessment&#10;">
          <a:extLst>
            <a:ext uri="{FF2B5EF4-FFF2-40B4-BE49-F238E27FC236}">
              <a16:creationId xmlns:a16="http://schemas.microsoft.com/office/drawing/2014/main" id="{12822847-E1BA-3F4A-B5F3-006B3EFFF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491</xdr:colOff>
      <xdr:row>28</xdr:row>
      <xdr:rowOff>27524</xdr:rowOff>
    </xdr:from>
    <xdr:to>
      <xdr:col>68</xdr:col>
      <xdr:colOff>257433</xdr:colOff>
      <xdr:row>49</xdr:row>
      <xdr:rowOff>164757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788FA-E06E-5D08-D024-95C66DBB4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360404</xdr:colOff>
      <xdr:row>59</xdr:row>
      <xdr:rowOff>185352</xdr:rowOff>
    </xdr:from>
    <xdr:to>
      <xdr:col>68</xdr:col>
      <xdr:colOff>607539</xdr:colOff>
      <xdr:row>83</xdr:row>
      <xdr:rowOff>41189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2D004B-ED04-9537-5E35-2A3C4B8D5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329513</xdr:colOff>
      <xdr:row>88</xdr:row>
      <xdr:rowOff>85467</xdr:rowOff>
    </xdr:from>
    <xdr:to>
      <xdr:col>67</xdr:col>
      <xdr:colOff>617838</xdr:colOff>
      <xdr:row>113</xdr:row>
      <xdr:rowOff>92676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E05C86-410D-D2D5-565B-1F1D36F1C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si.ie/en-ie/publications/Pages/Geothermal-Energy-for-District-Heating-in-Ireland.aspx" TargetMode="External"/><Relationship Id="rId1" Type="http://schemas.openxmlformats.org/officeDocument/2006/relationships/hyperlink" Target="https://gis.seai.ie/wind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ounty_Roscommon" TargetMode="External"/><Relationship Id="rId13" Type="http://schemas.openxmlformats.org/officeDocument/2006/relationships/hyperlink" Target="https://en.wikipedia.org/wiki/County_Kerry" TargetMode="External"/><Relationship Id="rId18" Type="http://schemas.openxmlformats.org/officeDocument/2006/relationships/hyperlink" Target="https://en.wikipedia.org/wiki/County_Tipperary" TargetMode="External"/><Relationship Id="rId3" Type="http://schemas.openxmlformats.org/officeDocument/2006/relationships/hyperlink" Target="https://en.wikipedia.org/wiki/County_Donegal" TargetMode="External"/><Relationship Id="rId21" Type="http://schemas.openxmlformats.org/officeDocument/2006/relationships/hyperlink" Target="https://en.wikipedia.org/wiki/County_Carlow" TargetMode="External"/><Relationship Id="rId7" Type="http://schemas.openxmlformats.org/officeDocument/2006/relationships/hyperlink" Target="https://en.wikipedia.org/wiki/County_Kilkenny" TargetMode="External"/><Relationship Id="rId12" Type="http://schemas.openxmlformats.org/officeDocument/2006/relationships/hyperlink" Target="https://en.wikipedia.org/wiki/County_Sligo" TargetMode="External"/><Relationship Id="rId17" Type="http://schemas.openxmlformats.org/officeDocument/2006/relationships/hyperlink" Target="https://en.wikipedia.org/wiki/County_Wicklow" TargetMode="External"/><Relationship Id="rId2" Type="http://schemas.openxmlformats.org/officeDocument/2006/relationships/hyperlink" Target="https://www.omnicalculator.com/physics/efficiency" TargetMode="External"/><Relationship Id="rId16" Type="http://schemas.openxmlformats.org/officeDocument/2006/relationships/hyperlink" Target="https://en.wikipedia.org/wiki/Golden_Falls_hydroelectric_power_station" TargetMode="External"/><Relationship Id="rId20" Type="http://schemas.openxmlformats.org/officeDocument/2006/relationships/hyperlink" Target="https://en.wikipedia.org/wiki/County_Kildare" TargetMode="External"/><Relationship Id="rId1" Type="http://schemas.openxmlformats.org/officeDocument/2006/relationships/hyperlink" Target="https://www.omnicalculator.com/conversion/area-converter" TargetMode="External"/><Relationship Id="rId6" Type="http://schemas.openxmlformats.org/officeDocument/2006/relationships/hyperlink" Target="https://en.wikipedia.org/wiki/County_Offaly" TargetMode="External"/><Relationship Id="rId11" Type="http://schemas.openxmlformats.org/officeDocument/2006/relationships/hyperlink" Target="https://en.wikipedia.org/wiki/County_Donegal" TargetMode="External"/><Relationship Id="rId5" Type="http://schemas.openxmlformats.org/officeDocument/2006/relationships/hyperlink" Target="https://en.wikipedia.org/wiki/County_Sligo" TargetMode="External"/><Relationship Id="rId15" Type="http://schemas.openxmlformats.org/officeDocument/2006/relationships/hyperlink" Target="https://en.wikipedia.org/wiki/County_Cork" TargetMode="External"/><Relationship Id="rId10" Type="http://schemas.openxmlformats.org/officeDocument/2006/relationships/hyperlink" Target="https://en.wikipedia.org/wiki/County_Kildare" TargetMode="External"/><Relationship Id="rId19" Type="http://schemas.openxmlformats.org/officeDocument/2006/relationships/hyperlink" Target="https://en.wikipedia.org/wiki/County_Kilkenny" TargetMode="External"/><Relationship Id="rId4" Type="http://schemas.openxmlformats.org/officeDocument/2006/relationships/hyperlink" Target="https://en.wikipedia.org/wiki/County_Kerry" TargetMode="External"/><Relationship Id="rId9" Type="http://schemas.openxmlformats.org/officeDocument/2006/relationships/hyperlink" Target="https://en.wikipedia.org/wiki/County_Tipperary" TargetMode="External"/><Relationship Id="rId14" Type="http://schemas.openxmlformats.org/officeDocument/2006/relationships/hyperlink" Target="https://en.wikipedia.org/wiki/County_Donegal" TargetMode="External"/><Relationship Id="rId22" Type="http://schemas.openxmlformats.org/officeDocument/2006/relationships/hyperlink" Target="https://en.wikipedia.org/wiki/County_Cor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/index.php?title=Combined_Cycle&amp;action=edit&amp;redlink=1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en.wikipedia.org/wiki/Fuel_oil" TargetMode="External"/><Relationship Id="rId1" Type="http://schemas.openxmlformats.org/officeDocument/2006/relationships/hyperlink" Target="https://en.wikipedia.org/wiki/Aghada_power_station" TargetMode="External"/><Relationship Id="rId6" Type="http://schemas.openxmlformats.org/officeDocument/2006/relationships/hyperlink" Target="https://en.wikipedia.org/wiki/Whitegate_power_station" TargetMode="External"/><Relationship Id="rId5" Type="http://schemas.openxmlformats.org/officeDocument/2006/relationships/hyperlink" Target="https://en.wikipedia.org/wiki/Poolbeg_Generating_Station" TargetMode="External"/><Relationship Id="rId4" Type="http://schemas.openxmlformats.org/officeDocument/2006/relationships/hyperlink" Target="https://en.wikipedia.org/wiki/Waste_heat_recovery_un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FD29-1EF9-9246-9D61-412311FA9499}">
  <dimension ref="A1:Z67"/>
  <sheetViews>
    <sheetView topLeftCell="K37" zoomScale="91" zoomScaleNormal="70" workbookViewId="0">
      <selection activeCell="F31" sqref="F31"/>
    </sheetView>
  </sheetViews>
  <sheetFormatPr defaultColWidth="11.19921875" defaultRowHeight="15.6" x14ac:dyDescent="0.3"/>
  <cols>
    <col min="1" max="1" width="24.296875" bestFit="1" customWidth="1"/>
    <col min="12" max="12" width="11.796875" bestFit="1" customWidth="1"/>
    <col min="13" max="13" width="11.5" bestFit="1" customWidth="1"/>
    <col min="14" max="14" width="11.69921875" bestFit="1" customWidth="1"/>
    <col min="15" max="15" width="12" bestFit="1" customWidth="1"/>
    <col min="16" max="16" width="18.19921875" bestFit="1" customWidth="1"/>
    <col min="18" max="18" width="18.19921875" bestFit="1" customWidth="1"/>
    <col min="19" max="19" width="19.19921875" bestFit="1" customWidth="1"/>
  </cols>
  <sheetData>
    <row r="1" spans="11:26" ht="16.2" thickBot="1" x14ac:dyDescent="0.35"/>
    <row r="2" spans="11:26" x14ac:dyDescent="0.3">
      <c r="K2" s="12" t="s">
        <v>20</v>
      </c>
      <c r="L2" s="13" t="s">
        <v>0</v>
      </c>
      <c r="M2" s="13" t="s">
        <v>2</v>
      </c>
      <c r="N2" s="13" t="s">
        <v>3</v>
      </c>
      <c r="O2" s="13" t="s">
        <v>4</v>
      </c>
      <c r="P2" s="13" t="s">
        <v>60</v>
      </c>
      <c r="Q2" s="86"/>
      <c r="R2" s="13" t="s">
        <v>38</v>
      </c>
      <c r="S2" s="14" t="s">
        <v>70</v>
      </c>
    </row>
    <row r="3" spans="11:26" x14ac:dyDescent="0.3">
      <c r="K3" s="16"/>
      <c r="L3" s="41"/>
      <c r="M3" s="41"/>
      <c r="N3" s="41"/>
      <c r="O3" s="41"/>
      <c r="P3" s="41"/>
      <c r="Q3" s="41"/>
      <c r="R3" s="41"/>
      <c r="S3" s="17"/>
    </row>
    <row r="4" spans="11:26" x14ac:dyDescent="0.3">
      <c r="K4" s="16"/>
      <c r="L4" s="41" t="s">
        <v>1</v>
      </c>
      <c r="M4" s="41">
        <v>230</v>
      </c>
      <c r="N4" s="41">
        <v>5</v>
      </c>
      <c r="O4" s="41">
        <f>M4*N4</f>
        <v>1150</v>
      </c>
      <c r="P4" s="83">
        <f t="shared" ref="P4:P9" si="0">O4*$G$35/1000000</f>
        <v>3593.75</v>
      </c>
      <c r="Q4" s="41"/>
      <c r="R4" s="41">
        <v>15</v>
      </c>
      <c r="S4" s="40">
        <f t="shared" ref="S4:S9" si="1">(R4*P4)</f>
        <v>53906.25</v>
      </c>
    </row>
    <row r="5" spans="11:26" x14ac:dyDescent="0.3">
      <c r="K5" s="16"/>
      <c r="L5" s="41"/>
      <c r="M5" s="41">
        <v>230</v>
      </c>
      <c r="N5" s="41">
        <v>10</v>
      </c>
      <c r="O5" s="41">
        <f>M5*N5</f>
        <v>2300</v>
      </c>
      <c r="P5" s="41">
        <f t="shared" si="0"/>
        <v>7187.5</v>
      </c>
      <c r="Q5" s="41"/>
      <c r="R5" s="41">
        <v>9</v>
      </c>
      <c r="S5" s="40">
        <f t="shared" si="1"/>
        <v>64687.5</v>
      </c>
    </row>
    <row r="6" spans="11:26" x14ac:dyDescent="0.3">
      <c r="K6" s="16"/>
      <c r="L6" s="41" t="s">
        <v>12</v>
      </c>
      <c r="M6" s="41">
        <v>230</v>
      </c>
      <c r="N6" s="41">
        <v>10</v>
      </c>
      <c r="O6" s="41">
        <f>M6*N6</f>
        <v>2300</v>
      </c>
      <c r="P6" s="41">
        <f t="shared" si="0"/>
        <v>7187.5</v>
      </c>
      <c r="Q6" s="41"/>
      <c r="R6" s="41">
        <v>2</v>
      </c>
      <c r="S6" s="40">
        <f t="shared" si="1"/>
        <v>14375</v>
      </c>
    </row>
    <row r="7" spans="11:26" x14ac:dyDescent="0.3">
      <c r="K7" s="16"/>
      <c r="L7" s="41" t="s">
        <v>13</v>
      </c>
      <c r="M7" s="41">
        <v>230</v>
      </c>
      <c r="N7" s="41">
        <v>10</v>
      </c>
      <c r="O7" s="41">
        <f>M7*N7</f>
        <v>2300</v>
      </c>
      <c r="P7" s="41">
        <f t="shared" si="0"/>
        <v>7187.5</v>
      </c>
      <c r="Q7" s="41"/>
      <c r="R7" s="41">
        <v>3</v>
      </c>
      <c r="S7" s="40">
        <f t="shared" si="1"/>
        <v>21562.5</v>
      </c>
    </row>
    <row r="8" spans="11:26" x14ac:dyDescent="0.3">
      <c r="K8" s="16"/>
      <c r="L8" s="41" t="s">
        <v>14</v>
      </c>
      <c r="M8" s="41">
        <v>230</v>
      </c>
      <c r="N8" s="41">
        <v>10</v>
      </c>
      <c r="O8" s="41">
        <f>M8*N8</f>
        <v>2300</v>
      </c>
      <c r="P8" s="41">
        <f t="shared" si="0"/>
        <v>7187.5</v>
      </c>
      <c r="Q8" s="41"/>
      <c r="R8" s="41">
        <v>1.1499999999999999</v>
      </c>
      <c r="S8" s="40">
        <f t="shared" si="1"/>
        <v>8265.625</v>
      </c>
    </row>
    <row r="9" spans="11:26" x14ac:dyDescent="0.3">
      <c r="K9" s="16"/>
      <c r="L9" s="41" t="s">
        <v>16</v>
      </c>
      <c r="M9" s="41"/>
      <c r="N9" s="41"/>
      <c r="O9" s="41">
        <v>5</v>
      </c>
      <c r="P9" s="41">
        <f t="shared" si="0"/>
        <v>15.625</v>
      </c>
      <c r="Q9" s="41"/>
      <c r="R9" s="41">
        <v>24</v>
      </c>
      <c r="S9" s="40">
        <f t="shared" si="1"/>
        <v>375</v>
      </c>
    </row>
    <row r="10" spans="11:26" x14ac:dyDescent="0.3">
      <c r="K10" s="16"/>
      <c r="L10" s="41"/>
      <c r="M10" s="41"/>
      <c r="N10" s="41"/>
      <c r="O10" s="41"/>
      <c r="P10" s="41"/>
      <c r="Q10" s="41"/>
      <c r="R10" s="41"/>
      <c r="S10" s="40"/>
    </row>
    <row r="11" spans="11:26" x14ac:dyDescent="0.3">
      <c r="K11" s="15" t="s">
        <v>21</v>
      </c>
      <c r="L11" s="43" t="s">
        <v>0</v>
      </c>
      <c r="M11" s="43" t="s">
        <v>2</v>
      </c>
      <c r="N11" s="43" t="s">
        <v>3</v>
      </c>
      <c r="O11" s="43" t="s">
        <v>4</v>
      </c>
      <c r="P11" s="43" t="s">
        <v>22</v>
      </c>
      <c r="Q11" s="41"/>
      <c r="R11" s="41"/>
      <c r="S11" s="40"/>
    </row>
    <row r="12" spans="11:26" x14ac:dyDescent="0.3">
      <c r="K12" s="16"/>
      <c r="L12" s="41" t="s">
        <v>17</v>
      </c>
      <c r="M12" s="41">
        <v>230</v>
      </c>
      <c r="N12" s="83">
        <f>O12/M12</f>
        <v>0.43478260869565216</v>
      </c>
      <c r="O12" s="41">
        <v>100</v>
      </c>
      <c r="P12" s="41">
        <f>O12*$B$31/1000000</f>
        <v>500</v>
      </c>
      <c r="Q12" s="41"/>
      <c r="R12" s="41">
        <v>5</v>
      </c>
      <c r="S12" s="40">
        <f>(R12*P12)</f>
        <v>2500</v>
      </c>
    </row>
    <row r="13" spans="11:26" x14ac:dyDescent="0.3">
      <c r="K13" s="16"/>
      <c r="L13" s="41" t="s">
        <v>18</v>
      </c>
      <c r="M13" s="41">
        <v>230</v>
      </c>
      <c r="N13" s="83">
        <f>O13/M13</f>
        <v>0.29130434782608694</v>
      </c>
      <c r="O13" s="41">
        <v>67</v>
      </c>
      <c r="P13" s="41">
        <f>O13*$B$31/1000000</f>
        <v>335</v>
      </c>
      <c r="Q13" s="41"/>
      <c r="R13" s="41">
        <v>5</v>
      </c>
      <c r="S13" s="40">
        <f>(R13*P13)</f>
        <v>1675</v>
      </c>
    </row>
    <row r="14" spans="11:26" ht="16.2" thickBot="1" x14ac:dyDescent="0.35">
      <c r="K14" s="18"/>
      <c r="L14" s="19" t="s">
        <v>19</v>
      </c>
      <c r="M14" s="19">
        <v>230</v>
      </c>
      <c r="N14" s="82">
        <f>O14/M14</f>
        <v>6.5217391304347824E-2</v>
      </c>
      <c r="O14" s="19">
        <v>15</v>
      </c>
      <c r="P14" s="19">
        <f>O14*$B$31/1000000</f>
        <v>75</v>
      </c>
      <c r="Q14" s="19"/>
      <c r="R14" s="19">
        <v>3</v>
      </c>
      <c r="S14" s="81">
        <f>(R14*P14)</f>
        <v>225</v>
      </c>
    </row>
    <row r="15" spans="11:26" ht="16.2" thickBot="1" x14ac:dyDescent="0.35"/>
    <row r="16" spans="11:26" x14ac:dyDescent="0.3">
      <c r="K16" s="27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</row>
    <row r="17" spans="1:26" x14ac:dyDescent="0.3">
      <c r="K17" s="30" t="s">
        <v>15</v>
      </c>
      <c r="L17" s="85" t="s">
        <v>23</v>
      </c>
      <c r="M17" s="85" t="s">
        <v>0</v>
      </c>
      <c r="N17" s="85"/>
      <c r="O17" s="85" t="s">
        <v>4</v>
      </c>
      <c r="P17" s="87"/>
      <c r="Q17" s="87"/>
      <c r="R17" s="85" t="s">
        <v>69</v>
      </c>
      <c r="S17" s="87"/>
      <c r="T17" s="87"/>
      <c r="U17" s="87"/>
      <c r="V17" s="87"/>
      <c r="W17" s="87"/>
      <c r="X17" s="87"/>
      <c r="Y17" s="85" t="s">
        <v>70</v>
      </c>
      <c r="Z17" s="21"/>
    </row>
    <row r="18" spans="1:26" x14ac:dyDescent="0.3">
      <c r="K18" s="20"/>
      <c r="L18" s="87" t="s">
        <v>24</v>
      </c>
      <c r="M18" s="87">
        <v>7</v>
      </c>
      <c r="N18" s="87"/>
      <c r="O18" s="87">
        <v>230</v>
      </c>
      <c r="P18" s="87"/>
      <c r="Q18" s="87"/>
      <c r="R18" s="87">
        <f t="shared" ref="R18:R29" si="2">O18*$B$31/1000000</f>
        <v>1150</v>
      </c>
      <c r="S18" s="87"/>
      <c r="T18" s="87"/>
      <c r="U18" s="87"/>
      <c r="V18" s="87"/>
      <c r="W18" s="87"/>
      <c r="X18" s="87"/>
      <c r="Y18" s="88">
        <f>R18*M18</f>
        <v>8050</v>
      </c>
      <c r="Z18" s="21"/>
    </row>
    <row r="19" spans="1:26" x14ac:dyDescent="0.3">
      <c r="K19" s="20"/>
      <c r="L19" s="87" t="s">
        <v>25</v>
      </c>
      <c r="M19" s="87">
        <f>M18-(4/5)</f>
        <v>6.2</v>
      </c>
      <c r="N19" s="87"/>
      <c r="O19" s="87">
        <v>230</v>
      </c>
      <c r="P19" s="87"/>
      <c r="Q19" s="87"/>
      <c r="R19" s="87">
        <f t="shared" si="2"/>
        <v>1150</v>
      </c>
      <c r="S19" s="87"/>
      <c r="T19" s="87"/>
      <c r="U19" s="87"/>
      <c r="V19" s="87"/>
      <c r="W19" s="87"/>
      <c r="X19" s="87"/>
      <c r="Y19" s="88">
        <f t="shared" ref="Y19:Y29" si="3">R19*M19</f>
        <v>7130</v>
      </c>
      <c r="Z19" s="21"/>
    </row>
    <row r="20" spans="1:26" x14ac:dyDescent="0.3">
      <c r="K20" s="20"/>
      <c r="L20" s="87" t="s">
        <v>26</v>
      </c>
      <c r="M20" s="87">
        <f>M19-(4/5)</f>
        <v>5.4</v>
      </c>
      <c r="N20" s="87"/>
      <c r="O20" s="87">
        <v>230</v>
      </c>
      <c r="P20" s="87"/>
      <c r="Q20" s="87"/>
      <c r="R20" s="87">
        <f t="shared" si="2"/>
        <v>1150</v>
      </c>
      <c r="S20" s="87"/>
      <c r="T20" s="87"/>
      <c r="U20" s="87"/>
      <c r="V20" s="87"/>
      <c r="W20" s="87"/>
      <c r="X20" s="87"/>
      <c r="Y20" s="88">
        <f>R20*M20</f>
        <v>6210</v>
      </c>
      <c r="Z20" s="21"/>
    </row>
    <row r="21" spans="1:26" x14ac:dyDescent="0.3">
      <c r="K21" s="20"/>
      <c r="L21" s="87" t="s">
        <v>27</v>
      </c>
      <c r="M21" s="87">
        <f>M20-(4/5)</f>
        <v>4.6000000000000005</v>
      </c>
      <c r="N21" s="87"/>
      <c r="O21" s="87">
        <v>230</v>
      </c>
      <c r="P21" s="87"/>
      <c r="Q21" s="87"/>
      <c r="R21" s="87">
        <f t="shared" si="2"/>
        <v>1150</v>
      </c>
      <c r="S21" s="87"/>
      <c r="T21" s="87"/>
      <c r="U21" s="87"/>
      <c r="V21" s="87"/>
      <c r="W21" s="87"/>
      <c r="X21" s="87"/>
      <c r="Y21" s="88">
        <f t="shared" si="3"/>
        <v>5290.0000000000009</v>
      </c>
      <c r="Z21" s="21"/>
    </row>
    <row r="22" spans="1:26" x14ac:dyDescent="0.3">
      <c r="K22" s="20"/>
      <c r="L22" s="87" t="s">
        <v>28</v>
      </c>
      <c r="M22" s="87">
        <f>M21-(4/5)</f>
        <v>3.8000000000000007</v>
      </c>
      <c r="N22" s="87"/>
      <c r="O22" s="87">
        <v>230</v>
      </c>
      <c r="P22" s="87"/>
      <c r="Q22" s="87"/>
      <c r="R22" s="87">
        <f t="shared" si="2"/>
        <v>1150</v>
      </c>
      <c r="S22" s="87"/>
      <c r="T22" s="87"/>
      <c r="U22" s="87"/>
      <c r="V22" s="87"/>
      <c r="W22" s="87"/>
      <c r="X22" s="87"/>
      <c r="Y22" s="88">
        <f t="shared" si="3"/>
        <v>4370.0000000000009</v>
      </c>
      <c r="Z22" s="21"/>
    </row>
    <row r="23" spans="1:26" x14ac:dyDescent="0.3">
      <c r="K23" s="20"/>
      <c r="L23" s="87" t="s">
        <v>29</v>
      </c>
      <c r="M23" s="87">
        <v>3</v>
      </c>
      <c r="N23" s="87"/>
      <c r="O23" s="87">
        <v>230</v>
      </c>
      <c r="P23" s="87"/>
      <c r="Q23" s="87"/>
      <c r="R23" s="87">
        <f t="shared" si="2"/>
        <v>1150</v>
      </c>
      <c r="S23" s="87"/>
      <c r="T23" s="87"/>
      <c r="U23" s="87"/>
      <c r="V23" s="87"/>
      <c r="W23" s="87"/>
      <c r="X23" s="87"/>
      <c r="Y23" s="88">
        <f t="shared" si="3"/>
        <v>3450</v>
      </c>
      <c r="Z23" s="21"/>
    </row>
    <row r="24" spans="1:26" x14ac:dyDescent="0.3">
      <c r="K24" s="20"/>
      <c r="L24" s="87" t="s">
        <v>30</v>
      </c>
      <c r="M24" s="87">
        <v>3</v>
      </c>
      <c r="N24" s="87"/>
      <c r="O24" s="87">
        <v>230</v>
      </c>
      <c r="P24" s="87"/>
      <c r="Q24" s="87"/>
      <c r="R24" s="87">
        <f t="shared" si="2"/>
        <v>1150</v>
      </c>
      <c r="S24" s="87"/>
      <c r="T24" s="87"/>
      <c r="U24" s="87"/>
      <c r="V24" s="87"/>
      <c r="W24" s="87"/>
      <c r="X24" s="87"/>
      <c r="Y24" s="88">
        <f t="shared" si="3"/>
        <v>3450</v>
      </c>
      <c r="Z24" s="21"/>
    </row>
    <row r="25" spans="1:26" x14ac:dyDescent="0.3">
      <c r="K25" s="20"/>
      <c r="L25" s="87" t="s">
        <v>31</v>
      </c>
      <c r="M25" s="87">
        <f>M24+(4/5)</f>
        <v>3.8</v>
      </c>
      <c r="N25" s="87"/>
      <c r="O25" s="87">
        <v>230</v>
      </c>
      <c r="P25" s="87"/>
      <c r="Q25" s="87"/>
      <c r="R25" s="87">
        <f t="shared" si="2"/>
        <v>1150</v>
      </c>
      <c r="S25" s="87"/>
      <c r="T25" s="87"/>
      <c r="U25" s="87"/>
      <c r="V25" s="87"/>
      <c r="W25" s="87"/>
      <c r="X25" s="87"/>
      <c r="Y25" s="88">
        <f t="shared" si="3"/>
        <v>4370</v>
      </c>
      <c r="Z25" s="21"/>
    </row>
    <row r="26" spans="1:26" x14ac:dyDescent="0.3">
      <c r="K26" s="20"/>
      <c r="L26" s="87" t="s">
        <v>32</v>
      </c>
      <c r="M26" s="87">
        <f>M25+(4/5)</f>
        <v>4.5999999999999996</v>
      </c>
      <c r="N26" s="87"/>
      <c r="O26" s="87">
        <v>230</v>
      </c>
      <c r="P26" s="87"/>
      <c r="Q26" s="87"/>
      <c r="R26" s="87">
        <f t="shared" si="2"/>
        <v>1150</v>
      </c>
      <c r="S26" s="87"/>
      <c r="T26" s="87"/>
      <c r="U26" s="87"/>
      <c r="V26" s="87"/>
      <c r="W26" s="87"/>
      <c r="X26" s="87"/>
      <c r="Y26" s="88">
        <f t="shared" si="3"/>
        <v>5290</v>
      </c>
      <c r="Z26" s="21"/>
    </row>
    <row r="27" spans="1:26" x14ac:dyDescent="0.3">
      <c r="K27" s="20"/>
      <c r="L27" s="87" t="s">
        <v>33</v>
      </c>
      <c r="M27" s="87">
        <f>M26+(4/5)</f>
        <v>5.3999999999999995</v>
      </c>
      <c r="N27" s="87"/>
      <c r="O27" s="87">
        <v>230</v>
      </c>
      <c r="P27" s="87"/>
      <c r="Q27" s="87"/>
      <c r="R27" s="87">
        <f t="shared" si="2"/>
        <v>1150</v>
      </c>
      <c r="S27" s="87"/>
      <c r="T27" s="87"/>
      <c r="U27" s="87"/>
      <c r="V27" s="87"/>
      <c r="W27" s="87"/>
      <c r="X27" s="87"/>
      <c r="Y27" s="88">
        <f t="shared" si="3"/>
        <v>6209.9999999999991</v>
      </c>
      <c r="Z27" s="21"/>
    </row>
    <row r="28" spans="1:26" x14ac:dyDescent="0.3">
      <c r="K28" s="20"/>
      <c r="L28" s="87" t="s">
        <v>34</v>
      </c>
      <c r="M28" s="87">
        <f>M27+(4/5)</f>
        <v>6.1999999999999993</v>
      </c>
      <c r="N28" s="87"/>
      <c r="O28" s="87">
        <v>230</v>
      </c>
      <c r="P28" s="87"/>
      <c r="Q28" s="87"/>
      <c r="R28" s="87">
        <f t="shared" si="2"/>
        <v>1150</v>
      </c>
      <c r="S28" s="87"/>
      <c r="T28" s="87"/>
      <c r="U28" s="87"/>
      <c r="V28" s="87"/>
      <c r="W28" s="87"/>
      <c r="X28" s="87"/>
      <c r="Y28" s="88">
        <f t="shared" si="3"/>
        <v>7129.9999999999991</v>
      </c>
      <c r="Z28" s="21"/>
    </row>
    <row r="29" spans="1:26" ht="16.2" thickBot="1" x14ac:dyDescent="0.35">
      <c r="K29" s="22"/>
      <c r="L29" s="23" t="s">
        <v>35</v>
      </c>
      <c r="M29" s="23">
        <v>7</v>
      </c>
      <c r="N29" s="23"/>
      <c r="O29" s="23">
        <v>230</v>
      </c>
      <c r="P29" s="23"/>
      <c r="Q29" s="23"/>
      <c r="R29" s="23">
        <f t="shared" si="2"/>
        <v>1150</v>
      </c>
      <c r="S29" s="23"/>
      <c r="T29" s="23"/>
      <c r="U29" s="23"/>
      <c r="V29" s="23"/>
      <c r="W29" s="23"/>
      <c r="X29" s="23"/>
      <c r="Y29" s="84">
        <f t="shared" si="3"/>
        <v>8050</v>
      </c>
      <c r="Z29" s="24"/>
    </row>
    <row r="30" spans="1:26" ht="31.8" thickBot="1" x14ac:dyDescent="0.35">
      <c r="A30" s="1"/>
      <c r="B30" s="2"/>
      <c r="C30" s="2"/>
      <c r="D30" s="2"/>
      <c r="E30" s="2"/>
      <c r="F30" s="2" t="s">
        <v>10</v>
      </c>
      <c r="G30" s="102" t="s">
        <v>91</v>
      </c>
    </row>
    <row r="31" spans="1:26" x14ac:dyDescent="0.3">
      <c r="A31" s="4" t="s">
        <v>5</v>
      </c>
      <c r="B31" s="5">
        <v>5000000</v>
      </c>
      <c r="C31" s="6"/>
      <c r="D31" s="6" t="s">
        <v>6</v>
      </c>
      <c r="E31" s="6" t="s">
        <v>7</v>
      </c>
      <c r="F31" s="6">
        <v>40</v>
      </c>
      <c r="G31" s="7">
        <f>F31/100*$B$31</f>
        <v>2000000</v>
      </c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3"/>
    </row>
    <row r="32" spans="1:26" ht="31.2" x14ac:dyDescent="0.3">
      <c r="A32" s="4"/>
      <c r="B32" s="6"/>
      <c r="C32" s="6"/>
      <c r="D32" s="6"/>
      <c r="E32" s="6" t="s">
        <v>8</v>
      </c>
      <c r="F32" s="6">
        <v>30</v>
      </c>
      <c r="G32" s="7">
        <f>F32/100*$B$31/2</f>
        <v>750000</v>
      </c>
      <c r="K32" s="101" t="s">
        <v>90</v>
      </c>
      <c r="L32" s="89" t="s">
        <v>23</v>
      </c>
      <c r="M32" s="89" t="s">
        <v>38</v>
      </c>
      <c r="N32" s="89" t="s">
        <v>82</v>
      </c>
      <c r="O32" s="89" t="s">
        <v>83</v>
      </c>
      <c r="P32" s="89" t="s">
        <v>84</v>
      </c>
      <c r="Q32" s="6"/>
      <c r="R32" s="89" t="s">
        <v>60</v>
      </c>
      <c r="S32" s="6"/>
      <c r="T32" s="6"/>
      <c r="U32" s="6"/>
      <c r="V32" s="6"/>
      <c r="W32" s="6"/>
      <c r="X32" s="6"/>
      <c r="Y32" s="89" t="s">
        <v>70</v>
      </c>
      <c r="Z32" s="8"/>
    </row>
    <row r="33" spans="1:26" x14ac:dyDescent="0.3">
      <c r="A33" s="4"/>
      <c r="B33" s="6"/>
      <c r="C33" s="6"/>
      <c r="D33" s="6"/>
      <c r="E33" s="6" t="s">
        <v>9</v>
      </c>
      <c r="F33" s="6">
        <v>30</v>
      </c>
      <c r="G33" s="7">
        <f>F33/100*$B$31/4</f>
        <v>375000</v>
      </c>
      <c r="K33" s="4"/>
      <c r="L33" s="6" t="s">
        <v>24</v>
      </c>
      <c r="M33" s="6">
        <v>15</v>
      </c>
      <c r="N33" s="5">
        <f>$C$41*$G$31</f>
        <v>2283.1050228310501</v>
      </c>
      <c r="O33" s="5">
        <f>$C$42*$G$32</f>
        <v>1284.2465753424656</v>
      </c>
      <c r="P33" s="5">
        <f>$C$43*$G$33</f>
        <v>1070.2054794520548</v>
      </c>
      <c r="Q33" s="6"/>
      <c r="R33" s="5">
        <f>SUM(N33:P33)</f>
        <v>4637.5570776255699</v>
      </c>
      <c r="S33" s="6"/>
      <c r="T33" s="6"/>
      <c r="U33" s="6"/>
      <c r="V33" s="6"/>
      <c r="W33" s="6"/>
      <c r="X33" s="6"/>
      <c r="Y33" s="5">
        <f>R33*M33</f>
        <v>69563.356164383556</v>
      </c>
      <c r="Z33" s="8"/>
    </row>
    <row r="34" spans="1:26" x14ac:dyDescent="0.3">
      <c r="A34" s="4"/>
      <c r="B34" s="6"/>
      <c r="C34" s="6"/>
      <c r="D34" s="6"/>
      <c r="E34" s="6"/>
      <c r="F34" s="6"/>
      <c r="G34" s="8"/>
      <c r="K34" s="4"/>
      <c r="L34" s="6" t="s">
        <v>25</v>
      </c>
      <c r="M34" s="6">
        <f>M33-(14/5)</f>
        <v>12.2</v>
      </c>
      <c r="N34" s="5">
        <f t="shared" ref="N34:N44" si="4">$C$41*$G$31</f>
        <v>2283.1050228310501</v>
      </c>
      <c r="O34" s="5">
        <f t="shared" ref="O34:O44" si="5">$C$42*$G$32</f>
        <v>1284.2465753424656</v>
      </c>
      <c r="P34" s="5">
        <f t="shared" ref="P34:P44" si="6">$C$43*$G$33</f>
        <v>1070.2054794520548</v>
      </c>
      <c r="Q34" s="6"/>
      <c r="R34" s="5">
        <f t="shared" ref="R34:R44" si="7">SUM(N34:P34)</f>
        <v>4637.5570776255699</v>
      </c>
      <c r="S34" s="6"/>
      <c r="T34" s="6"/>
      <c r="U34" s="6"/>
      <c r="V34" s="6"/>
      <c r="W34" s="6"/>
      <c r="X34" s="6"/>
      <c r="Y34" s="5">
        <f>R34*M34</f>
        <v>56578.196347031953</v>
      </c>
      <c r="Z34" s="8"/>
    </row>
    <row r="35" spans="1:26" x14ac:dyDescent="0.3">
      <c r="A35" s="4"/>
      <c r="B35" s="6"/>
      <c r="C35" s="6"/>
      <c r="D35" s="6"/>
      <c r="E35" s="6" t="s">
        <v>11</v>
      </c>
      <c r="F35" s="6">
        <f>SUM(F31:F33)</f>
        <v>100</v>
      </c>
      <c r="G35" s="8">
        <f>SUM(G31:G33)</f>
        <v>3125000</v>
      </c>
      <c r="K35" s="4"/>
      <c r="L35" s="6" t="s">
        <v>26</v>
      </c>
      <c r="M35" s="6">
        <f>M34-(14/5)</f>
        <v>9.3999999999999986</v>
      </c>
      <c r="N35" s="5">
        <f t="shared" si="4"/>
        <v>2283.1050228310501</v>
      </c>
      <c r="O35" s="5">
        <f t="shared" si="5"/>
        <v>1284.2465753424656</v>
      </c>
      <c r="P35" s="5">
        <f t="shared" si="6"/>
        <v>1070.2054794520548</v>
      </c>
      <c r="Q35" s="6"/>
      <c r="R35" s="5">
        <f t="shared" si="7"/>
        <v>4637.5570776255699</v>
      </c>
      <c r="S35" s="6"/>
      <c r="T35" s="6"/>
      <c r="U35" s="6"/>
      <c r="V35" s="6"/>
      <c r="W35" s="6"/>
      <c r="X35" s="6"/>
      <c r="Y35" s="5">
        <f t="shared" ref="Y35:Y44" si="8">R35*M35</f>
        <v>43593.03652968035</v>
      </c>
      <c r="Z35" s="8"/>
    </row>
    <row r="36" spans="1:26" x14ac:dyDescent="0.3">
      <c r="A36" s="4"/>
      <c r="B36" s="6"/>
      <c r="C36" s="6"/>
      <c r="D36" s="6"/>
      <c r="E36" s="6"/>
      <c r="F36" s="6"/>
      <c r="G36" s="8"/>
      <c r="K36" s="4"/>
      <c r="L36" s="6" t="s">
        <v>27</v>
      </c>
      <c r="M36" s="6">
        <f>M35-(14/5)</f>
        <v>6.5999999999999988</v>
      </c>
      <c r="N36" s="5">
        <f t="shared" si="4"/>
        <v>2283.1050228310501</v>
      </c>
      <c r="O36" s="5">
        <f t="shared" si="5"/>
        <v>1284.2465753424656</v>
      </c>
      <c r="P36" s="5">
        <f t="shared" si="6"/>
        <v>1070.2054794520548</v>
      </c>
      <c r="Q36" s="6"/>
      <c r="R36" s="5">
        <f t="shared" si="7"/>
        <v>4637.5570776255699</v>
      </c>
      <c r="S36" s="6"/>
      <c r="T36" s="6"/>
      <c r="U36" s="6"/>
      <c r="V36" s="6"/>
      <c r="W36" s="6"/>
      <c r="X36" s="6"/>
      <c r="Y36" s="5">
        <f t="shared" si="8"/>
        <v>30607.876712328754</v>
      </c>
      <c r="Z36" s="8"/>
    </row>
    <row r="37" spans="1:26" ht="16.2" thickBot="1" x14ac:dyDescent="0.35">
      <c r="A37" s="9"/>
      <c r="B37" s="10"/>
      <c r="C37" s="10"/>
      <c r="D37" s="10"/>
      <c r="E37" s="10"/>
      <c r="F37" s="10"/>
      <c r="G37" s="11"/>
      <c r="K37" s="4"/>
      <c r="L37" s="6" t="s">
        <v>28</v>
      </c>
      <c r="M37" s="6">
        <f>M36-(14/5)</f>
        <v>3.7999999999999989</v>
      </c>
      <c r="N37" s="5">
        <f t="shared" si="4"/>
        <v>2283.1050228310501</v>
      </c>
      <c r="O37" s="5">
        <f t="shared" si="5"/>
        <v>1284.2465753424656</v>
      </c>
      <c r="P37" s="5">
        <f t="shared" si="6"/>
        <v>1070.2054794520548</v>
      </c>
      <c r="Q37" s="6"/>
      <c r="R37" s="5">
        <f t="shared" si="7"/>
        <v>4637.5570776255699</v>
      </c>
      <c r="S37" s="6"/>
      <c r="T37" s="6"/>
      <c r="U37" s="6"/>
      <c r="V37" s="6"/>
      <c r="W37" s="6"/>
      <c r="X37" s="6"/>
      <c r="Y37" s="5">
        <f t="shared" si="8"/>
        <v>17622.716894977162</v>
      </c>
      <c r="Z37" s="8"/>
    </row>
    <row r="38" spans="1:26" x14ac:dyDescent="0.3">
      <c r="K38" s="4"/>
      <c r="L38" s="6" t="s">
        <v>29</v>
      </c>
      <c r="M38" s="6">
        <f>M37-(14/5)</f>
        <v>0.99999999999999911</v>
      </c>
      <c r="N38" s="5">
        <f t="shared" si="4"/>
        <v>2283.1050228310501</v>
      </c>
      <c r="O38" s="5">
        <f t="shared" si="5"/>
        <v>1284.2465753424656</v>
      </c>
      <c r="P38" s="5">
        <f t="shared" si="6"/>
        <v>1070.2054794520548</v>
      </c>
      <c r="Q38" s="6"/>
      <c r="R38" s="5">
        <f t="shared" si="7"/>
        <v>4637.5570776255699</v>
      </c>
      <c r="S38" s="6"/>
      <c r="T38" s="6"/>
      <c r="U38" s="6"/>
      <c r="V38" s="6"/>
      <c r="W38" s="6"/>
      <c r="X38" s="6"/>
      <c r="Y38" s="5">
        <f t="shared" si="8"/>
        <v>4637.5570776255654</v>
      </c>
      <c r="Z38" s="8"/>
    </row>
    <row r="39" spans="1:26" ht="16.2" thickBot="1" x14ac:dyDescent="0.35">
      <c r="K39" s="4"/>
      <c r="L39" s="6" t="s">
        <v>30</v>
      </c>
      <c r="M39" s="6">
        <v>1</v>
      </c>
      <c r="N39" s="5">
        <f t="shared" si="4"/>
        <v>2283.1050228310501</v>
      </c>
      <c r="O39" s="5">
        <f t="shared" si="5"/>
        <v>1284.2465753424656</v>
      </c>
      <c r="P39" s="5">
        <f t="shared" si="6"/>
        <v>1070.2054794520548</v>
      </c>
      <c r="Q39" s="6"/>
      <c r="R39" s="5">
        <f t="shared" si="7"/>
        <v>4637.5570776255699</v>
      </c>
      <c r="S39" s="6"/>
      <c r="T39" s="6"/>
      <c r="U39" s="6"/>
      <c r="V39" s="6"/>
      <c r="W39" s="6"/>
      <c r="X39" s="6"/>
      <c r="Y39" s="5">
        <f t="shared" si="8"/>
        <v>4637.5570776255699</v>
      </c>
      <c r="Z39" s="8"/>
    </row>
    <row r="40" spans="1:26" x14ac:dyDescent="0.3">
      <c r="A40" s="104" t="s">
        <v>36</v>
      </c>
      <c r="B40" s="58" t="s">
        <v>37</v>
      </c>
      <c r="C40" s="59" t="s">
        <v>89</v>
      </c>
      <c r="K40" s="4"/>
      <c r="L40" s="6" t="s">
        <v>31</v>
      </c>
      <c r="M40" s="6">
        <f>M39+(14/5)</f>
        <v>3.8</v>
      </c>
      <c r="N40" s="5">
        <f t="shared" si="4"/>
        <v>2283.1050228310501</v>
      </c>
      <c r="O40" s="5">
        <f t="shared" si="5"/>
        <v>1284.2465753424656</v>
      </c>
      <c r="P40" s="5">
        <f t="shared" si="6"/>
        <v>1070.2054794520548</v>
      </c>
      <c r="Q40" s="6"/>
      <c r="R40" s="5">
        <f t="shared" si="7"/>
        <v>4637.5570776255699</v>
      </c>
      <c r="S40" s="6"/>
      <c r="T40" s="6"/>
      <c r="U40" s="6"/>
      <c r="V40" s="6"/>
      <c r="W40" s="6"/>
      <c r="X40" s="6"/>
      <c r="Y40" s="5">
        <f t="shared" si="8"/>
        <v>17622.716894977166</v>
      </c>
      <c r="Z40" s="8"/>
    </row>
    <row r="41" spans="1:26" x14ac:dyDescent="0.3">
      <c r="A41" s="64" t="s">
        <v>7</v>
      </c>
      <c r="B41" s="62">
        <v>10</v>
      </c>
      <c r="C41" s="63">
        <f>(B41)/(365*24)</f>
        <v>1.1415525114155251E-3</v>
      </c>
      <c r="K41" s="4"/>
      <c r="L41" s="6" t="s">
        <v>32</v>
      </c>
      <c r="M41" s="6">
        <f>M40+(14/5)</f>
        <v>6.6</v>
      </c>
      <c r="N41" s="5">
        <f t="shared" si="4"/>
        <v>2283.1050228310501</v>
      </c>
      <c r="O41" s="5">
        <f t="shared" si="5"/>
        <v>1284.2465753424656</v>
      </c>
      <c r="P41" s="5">
        <f t="shared" si="6"/>
        <v>1070.2054794520548</v>
      </c>
      <c r="Q41" s="6"/>
      <c r="R41" s="5">
        <f t="shared" si="7"/>
        <v>4637.5570776255699</v>
      </c>
      <c r="S41" s="6"/>
      <c r="T41" s="6"/>
      <c r="U41" s="6"/>
      <c r="V41" s="6"/>
      <c r="W41" s="6"/>
      <c r="X41" s="6"/>
      <c r="Y41" s="5">
        <f t="shared" si="8"/>
        <v>30607.876712328762</v>
      </c>
      <c r="Z41" s="8"/>
    </row>
    <row r="42" spans="1:26" x14ac:dyDescent="0.3">
      <c r="A42" s="64" t="s">
        <v>8</v>
      </c>
      <c r="B42" s="62">
        <v>15</v>
      </c>
      <c r="C42" s="63">
        <f>(B42)/(365*24)</f>
        <v>1.7123287671232876E-3</v>
      </c>
      <c r="K42" s="4"/>
      <c r="L42" s="6" t="s">
        <v>33</v>
      </c>
      <c r="M42" s="6">
        <f>M41+(14/5)</f>
        <v>9.3999999999999986</v>
      </c>
      <c r="N42" s="5">
        <f t="shared" si="4"/>
        <v>2283.1050228310501</v>
      </c>
      <c r="O42" s="5">
        <f t="shared" si="5"/>
        <v>1284.2465753424656</v>
      </c>
      <c r="P42" s="5">
        <f t="shared" si="6"/>
        <v>1070.2054794520548</v>
      </c>
      <c r="Q42" s="6"/>
      <c r="R42" s="5">
        <f t="shared" si="7"/>
        <v>4637.5570776255699</v>
      </c>
      <c r="S42" s="6"/>
      <c r="T42" s="6"/>
      <c r="U42" s="6"/>
      <c r="V42" s="6"/>
      <c r="W42" s="6"/>
      <c r="X42" s="6"/>
      <c r="Y42" s="5">
        <f t="shared" si="8"/>
        <v>43593.03652968035</v>
      </c>
      <c r="Z42" s="8"/>
    </row>
    <row r="43" spans="1:26" ht="16.2" thickBot="1" x14ac:dyDescent="0.35">
      <c r="A43" s="65" t="s">
        <v>9</v>
      </c>
      <c r="B43" s="66">
        <v>25</v>
      </c>
      <c r="C43" s="67">
        <f>(B43)/(365*24)</f>
        <v>2.8538812785388126E-3</v>
      </c>
      <c r="K43" s="4"/>
      <c r="L43" s="6" t="s">
        <v>34</v>
      </c>
      <c r="M43" s="6">
        <f>M42+(14/5)</f>
        <v>12.2</v>
      </c>
      <c r="N43" s="5">
        <f t="shared" si="4"/>
        <v>2283.1050228310501</v>
      </c>
      <c r="O43" s="5">
        <f t="shared" si="5"/>
        <v>1284.2465753424656</v>
      </c>
      <c r="P43" s="5">
        <f t="shared" si="6"/>
        <v>1070.2054794520548</v>
      </c>
      <c r="Q43" s="6"/>
      <c r="R43" s="5">
        <f t="shared" si="7"/>
        <v>4637.5570776255699</v>
      </c>
      <c r="S43" s="6"/>
      <c r="T43" s="6"/>
      <c r="U43" s="6"/>
      <c r="V43" s="6"/>
      <c r="W43" s="6"/>
      <c r="X43" s="6"/>
      <c r="Y43" s="5">
        <f t="shared" si="8"/>
        <v>56578.196347031953</v>
      </c>
      <c r="Z43" s="8"/>
    </row>
    <row r="44" spans="1:26" ht="16.2" thickBot="1" x14ac:dyDescent="0.35">
      <c r="K44" s="9"/>
      <c r="L44" s="10" t="s">
        <v>35</v>
      </c>
      <c r="M44" s="10">
        <f>M43+(14/5)</f>
        <v>15</v>
      </c>
      <c r="N44" s="90">
        <f t="shared" si="4"/>
        <v>2283.1050228310501</v>
      </c>
      <c r="O44" s="90">
        <f t="shared" si="5"/>
        <v>1284.2465753424656</v>
      </c>
      <c r="P44" s="90">
        <f t="shared" si="6"/>
        <v>1070.2054794520548</v>
      </c>
      <c r="Q44" s="10"/>
      <c r="R44" s="90">
        <f t="shared" si="7"/>
        <v>4637.5570776255699</v>
      </c>
      <c r="S44" s="10"/>
      <c r="T44" s="10"/>
      <c r="U44" s="10"/>
      <c r="V44" s="10"/>
      <c r="W44" s="10"/>
      <c r="X44" s="10"/>
      <c r="Y44" s="90">
        <f t="shared" si="8"/>
        <v>69563.356164383556</v>
      </c>
      <c r="Z44" s="11"/>
    </row>
    <row r="46" spans="1:26" ht="16.2" thickBot="1" x14ac:dyDescent="0.35"/>
    <row r="47" spans="1:26" ht="31.2" x14ac:dyDescent="0.3">
      <c r="A47" s="37" t="s">
        <v>39</v>
      </c>
      <c r="B47" s="78" t="s">
        <v>40</v>
      </c>
      <c r="C47" s="78"/>
      <c r="D47" s="79" t="s">
        <v>41</v>
      </c>
      <c r="E47" s="78">
        <v>0.22600000000000001</v>
      </c>
      <c r="F47" s="78" t="s">
        <v>45</v>
      </c>
      <c r="G47" s="80"/>
      <c r="K47" s="44" t="s">
        <v>47</v>
      </c>
      <c r="L47" s="45"/>
      <c r="M47" s="45"/>
      <c r="N47" s="45"/>
      <c r="O47" s="45"/>
      <c r="P47" s="45"/>
      <c r="Q47" s="45"/>
      <c r="R47" s="45"/>
      <c r="S47" s="45"/>
      <c r="T47" s="46"/>
      <c r="U47" s="46"/>
      <c r="V47" s="46"/>
      <c r="W47" s="47"/>
    </row>
    <row r="48" spans="1:26" x14ac:dyDescent="0.3">
      <c r="A48" s="38"/>
      <c r="B48" s="33"/>
      <c r="C48" s="33"/>
      <c r="D48" s="33"/>
      <c r="E48" s="33"/>
      <c r="F48" s="33"/>
      <c r="G48" s="34"/>
      <c r="K48" s="48" t="s">
        <v>49</v>
      </c>
      <c r="L48" s="49" t="s">
        <v>52</v>
      </c>
      <c r="M48" s="49" t="s">
        <v>53</v>
      </c>
      <c r="N48" s="49" t="s">
        <v>50</v>
      </c>
      <c r="O48" s="49"/>
      <c r="P48" s="49" t="s">
        <v>57</v>
      </c>
      <c r="Q48" s="49" t="s">
        <v>67</v>
      </c>
      <c r="R48" s="49"/>
      <c r="S48" s="49" t="s">
        <v>76</v>
      </c>
      <c r="T48" s="50"/>
      <c r="U48" s="49" t="s">
        <v>54</v>
      </c>
      <c r="V48" s="50"/>
      <c r="W48" s="51"/>
    </row>
    <row r="49" spans="1:23" x14ac:dyDescent="0.3">
      <c r="A49" s="38" t="s">
        <v>42</v>
      </c>
      <c r="B49" s="33">
        <f>G35</f>
        <v>3125000</v>
      </c>
      <c r="C49" s="33"/>
      <c r="D49" s="33"/>
      <c r="E49" s="33"/>
      <c r="F49" s="33"/>
      <c r="G49" s="34"/>
      <c r="K49" s="52" t="s">
        <v>48</v>
      </c>
      <c r="L49" s="50">
        <v>3000</v>
      </c>
      <c r="M49" s="50">
        <v>2</v>
      </c>
      <c r="N49" s="50">
        <v>10</v>
      </c>
      <c r="O49" s="50"/>
      <c r="P49" s="53">
        <f>$B$31</f>
        <v>5000000</v>
      </c>
      <c r="Q49" s="50">
        <f>P49*L49/1000000</f>
        <v>15000</v>
      </c>
      <c r="R49" s="50"/>
      <c r="S49" s="50">
        <f>Q49*(0.33)</f>
        <v>4950</v>
      </c>
      <c r="T49" s="50"/>
      <c r="U49" s="50" t="s">
        <v>55</v>
      </c>
      <c r="V49" s="50"/>
      <c r="W49" s="51"/>
    </row>
    <row r="50" spans="1:23" x14ac:dyDescent="0.3">
      <c r="A50" s="92" t="s">
        <v>43</v>
      </c>
      <c r="B50" s="33">
        <v>100</v>
      </c>
      <c r="C50" s="33"/>
      <c r="D50" s="33"/>
      <c r="E50" s="33"/>
      <c r="F50" s="33"/>
      <c r="G50" s="34"/>
      <c r="K50" s="52" t="s">
        <v>51</v>
      </c>
      <c r="L50" s="50">
        <v>1150</v>
      </c>
      <c r="M50" s="50">
        <v>10</v>
      </c>
      <c r="N50" s="50">
        <v>3</v>
      </c>
      <c r="O50" s="50"/>
      <c r="P50" s="53">
        <f>$B$31</f>
        <v>5000000</v>
      </c>
      <c r="Q50" s="50">
        <f>P50*L50/1000000</f>
        <v>5750</v>
      </c>
      <c r="R50" s="50"/>
      <c r="S50" s="50">
        <f>Q50*0.5</f>
        <v>2875</v>
      </c>
      <c r="T50" s="50"/>
      <c r="U50" s="50" t="s">
        <v>56</v>
      </c>
      <c r="V50" s="50"/>
      <c r="W50" s="51"/>
    </row>
    <row r="51" spans="1:23" x14ac:dyDescent="0.3">
      <c r="A51" s="92"/>
      <c r="B51" s="33"/>
      <c r="C51" s="33"/>
      <c r="D51" s="33"/>
      <c r="E51" s="33"/>
      <c r="F51" s="33"/>
      <c r="G51" s="34"/>
      <c r="K51" s="52" t="s">
        <v>114</v>
      </c>
      <c r="L51" s="50">
        <v>7600</v>
      </c>
      <c r="M51" s="50">
        <v>40</v>
      </c>
      <c r="N51" s="50">
        <v>3</v>
      </c>
      <c r="O51" s="50"/>
      <c r="P51" s="53">
        <f>P52</f>
        <v>3125000</v>
      </c>
      <c r="Q51" s="50">
        <f>P51*L51/1000000</f>
        <v>23750</v>
      </c>
      <c r="R51" s="50"/>
      <c r="S51" s="50">
        <f>(Q51*2)</f>
        <v>47500</v>
      </c>
      <c r="T51" s="50"/>
      <c r="U51" s="117" t="s">
        <v>192</v>
      </c>
      <c r="V51" s="50"/>
      <c r="W51" s="51"/>
    </row>
    <row r="52" spans="1:23" x14ac:dyDescent="0.3">
      <c r="A52" s="92"/>
      <c r="B52" s="33"/>
      <c r="C52" s="33"/>
      <c r="D52" s="33"/>
      <c r="E52" s="33"/>
      <c r="F52" s="33"/>
      <c r="G52" s="34"/>
      <c r="K52" s="52" t="s">
        <v>112</v>
      </c>
      <c r="L52" s="50">
        <v>3000</v>
      </c>
      <c r="M52" s="50">
        <v>30</v>
      </c>
      <c r="N52" s="50">
        <v>4</v>
      </c>
      <c r="O52" s="50"/>
      <c r="P52" s="53">
        <f>G35</f>
        <v>3125000</v>
      </c>
      <c r="Q52" s="50">
        <f>P52*L52/1000000</f>
        <v>9375</v>
      </c>
      <c r="R52" s="50"/>
      <c r="S52" s="50">
        <f>(Q53*2)</f>
        <v>10000</v>
      </c>
      <c r="T52" s="50"/>
      <c r="U52" s="50" t="s">
        <v>187</v>
      </c>
      <c r="V52" s="50"/>
      <c r="W52" s="51"/>
    </row>
    <row r="53" spans="1:23" ht="16.2" thickBot="1" x14ac:dyDescent="0.35">
      <c r="A53" s="38"/>
      <c r="B53" s="33"/>
      <c r="C53" s="33"/>
      <c r="D53" s="33"/>
      <c r="E53" s="33"/>
      <c r="F53" s="33"/>
      <c r="G53" s="34"/>
      <c r="K53" s="54" t="s">
        <v>113</v>
      </c>
      <c r="L53" s="55">
        <v>1000</v>
      </c>
      <c r="M53" s="55">
        <v>2</v>
      </c>
      <c r="N53" s="55">
        <v>5</v>
      </c>
      <c r="O53" s="55"/>
      <c r="P53" s="53">
        <f>$B$31</f>
        <v>5000000</v>
      </c>
      <c r="Q53" s="50">
        <f>P53*L53/1000000</f>
        <v>5000</v>
      </c>
      <c r="R53" s="55"/>
      <c r="S53" s="50">
        <f>Q53*0.25</f>
        <v>1250</v>
      </c>
      <c r="T53" s="55"/>
      <c r="U53" s="55" t="s">
        <v>188</v>
      </c>
      <c r="V53" s="55"/>
      <c r="W53" s="56"/>
    </row>
    <row r="54" spans="1:23" x14ac:dyDescent="0.3">
      <c r="A54" s="92" t="s">
        <v>44</v>
      </c>
      <c r="B54" s="33">
        <f>B50*E47</f>
        <v>22.6</v>
      </c>
      <c r="C54" s="33"/>
      <c r="D54" s="33"/>
      <c r="E54" s="33"/>
      <c r="F54" s="33"/>
      <c r="G54" s="34"/>
      <c r="S54">
        <f>SUM(S49:S53)</f>
        <v>66575</v>
      </c>
    </row>
    <row r="55" spans="1:23" x14ac:dyDescent="0.3">
      <c r="A55" s="38"/>
      <c r="B55" s="33"/>
      <c r="C55" s="33"/>
      <c r="D55" s="33"/>
      <c r="E55" s="33"/>
      <c r="F55" s="33"/>
      <c r="G55" s="34"/>
    </row>
    <row r="56" spans="1:23" ht="31.2" x14ac:dyDescent="0.3">
      <c r="A56" s="92" t="s">
        <v>71</v>
      </c>
      <c r="B56" s="33">
        <f>B54*B49/1000</f>
        <v>70625</v>
      </c>
      <c r="C56" s="33"/>
      <c r="D56" s="33"/>
      <c r="E56" s="33"/>
      <c r="F56" s="33"/>
      <c r="G56" s="34"/>
    </row>
    <row r="57" spans="1:23" x14ac:dyDescent="0.3">
      <c r="A57" s="38"/>
      <c r="B57" s="33"/>
      <c r="C57" s="33"/>
      <c r="D57" s="33"/>
      <c r="E57" s="33"/>
      <c r="F57" s="33"/>
      <c r="G57" s="34"/>
    </row>
    <row r="58" spans="1:23" x14ac:dyDescent="0.3">
      <c r="A58" s="42" t="s">
        <v>46</v>
      </c>
      <c r="B58" s="33">
        <v>22</v>
      </c>
      <c r="C58" s="33"/>
      <c r="D58" s="33"/>
      <c r="E58" s="33"/>
      <c r="F58" s="33"/>
      <c r="G58" s="34"/>
    </row>
    <row r="59" spans="1:23" x14ac:dyDescent="0.3">
      <c r="A59" s="42"/>
      <c r="B59" s="33"/>
      <c r="C59" s="33"/>
      <c r="D59" s="33"/>
      <c r="E59" s="33"/>
      <c r="F59" s="33"/>
      <c r="G59" s="34"/>
    </row>
    <row r="60" spans="1:23" ht="16.2" thickBot="1" x14ac:dyDescent="0.35">
      <c r="A60" s="91" t="s">
        <v>66</v>
      </c>
      <c r="B60" s="91">
        <f>B31*B58/1000</f>
        <v>110000</v>
      </c>
      <c r="C60" s="35"/>
      <c r="D60" s="35"/>
      <c r="E60" s="35"/>
      <c r="F60" s="35"/>
      <c r="G60" s="36"/>
    </row>
    <row r="62" spans="1:23" ht="16.2" thickBot="1" x14ac:dyDescent="0.35"/>
    <row r="63" spans="1:23" x14ac:dyDescent="0.3">
      <c r="A63" s="93" t="s">
        <v>77</v>
      </c>
      <c r="B63" s="39">
        <v>6</v>
      </c>
    </row>
    <row r="64" spans="1:23" x14ac:dyDescent="0.3">
      <c r="A64" s="94" t="s">
        <v>79</v>
      </c>
      <c r="B64" s="40">
        <f>B63/365*B31</f>
        <v>82191.780821917797</v>
      </c>
    </row>
    <row r="65" spans="1:2" x14ac:dyDescent="0.3">
      <c r="A65" s="94"/>
      <c r="B65" s="17"/>
    </row>
    <row r="66" spans="1:2" x14ac:dyDescent="0.3">
      <c r="A66" s="94" t="s">
        <v>58</v>
      </c>
      <c r="B66" s="40">
        <f>6000000/(365*24)</f>
        <v>684.93150684931504</v>
      </c>
    </row>
    <row r="67" spans="1:2" ht="16.2" thickBot="1" x14ac:dyDescent="0.35">
      <c r="A67" s="95" t="s">
        <v>78</v>
      </c>
      <c r="B67" s="81">
        <f>B66*B31/1000000</f>
        <v>3424.6575342465753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9BC33-F649-7847-9C6C-A0C074435B75}">
  <dimension ref="A1:BU232"/>
  <sheetViews>
    <sheetView topLeftCell="A14" zoomScale="13" zoomScaleNormal="40" workbookViewId="0">
      <selection activeCell="S166" sqref="S166"/>
    </sheetView>
  </sheetViews>
  <sheetFormatPr defaultColWidth="11.19921875" defaultRowHeight="15.6" x14ac:dyDescent="0.3"/>
  <cols>
    <col min="19" max="19" width="12.796875" customWidth="1"/>
    <col min="23" max="23" width="11.19921875" customWidth="1"/>
    <col min="58" max="58" width="12.796875" customWidth="1"/>
    <col min="62" max="62" width="13" customWidth="1"/>
    <col min="64" max="64" width="19.69921875" customWidth="1"/>
    <col min="71" max="71" width="15.59765625" customWidth="1"/>
  </cols>
  <sheetData>
    <row r="1" spans="1:73" x14ac:dyDescent="0.3">
      <c r="A1" s="69" t="s">
        <v>59</v>
      </c>
      <c r="B1" s="70"/>
      <c r="C1" s="70"/>
      <c r="D1" s="32"/>
      <c r="F1" s="69" t="s">
        <v>85</v>
      </c>
      <c r="G1" s="70"/>
      <c r="H1" s="70"/>
      <c r="I1" s="32"/>
      <c r="L1" s="57" t="s">
        <v>115</v>
      </c>
      <c r="M1" s="58"/>
      <c r="N1" s="59"/>
      <c r="P1" s="57" t="s">
        <v>118</v>
      </c>
      <c r="Q1" s="58"/>
      <c r="R1" s="59"/>
      <c r="T1" s="57" t="s">
        <v>121</v>
      </c>
      <c r="U1" s="58"/>
      <c r="V1" s="59"/>
      <c r="X1" s="57" t="s">
        <v>124</v>
      </c>
      <c r="Y1" s="58"/>
      <c r="Z1" s="59"/>
      <c r="AB1" s="57" t="s">
        <v>125</v>
      </c>
      <c r="AC1" s="58"/>
      <c r="AD1" s="59"/>
      <c r="AF1" s="57" t="s">
        <v>72</v>
      </c>
      <c r="AG1" s="58"/>
      <c r="AH1" s="59"/>
      <c r="AJ1" s="57" t="s">
        <v>128</v>
      </c>
      <c r="AK1" s="58"/>
      <c r="AL1" s="59"/>
      <c r="AN1" s="57" t="s">
        <v>131</v>
      </c>
      <c r="AO1" s="58"/>
      <c r="AP1" s="59"/>
      <c r="AR1" s="57" t="s">
        <v>134</v>
      </c>
      <c r="AS1" s="58"/>
      <c r="AT1" s="59"/>
      <c r="AV1" s="57" t="s">
        <v>137</v>
      </c>
      <c r="AW1" s="58"/>
      <c r="AX1" s="59"/>
      <c r="AZ1" s="57" t="s">
        <v>140</v>
      </c>
      <c r="BA1" s="58"/>
      <c r="BB1" s="59"/>
      <c r="BD1" s="57" t="s">
        <v>81</v>
      </c>
      <c r="BE1" s="58"/>
      <c r="BF1" s="59"/>
      <c r="BH1" s="57" t="s">
        <v>81</v>
      </c>
      <c r="BI1" s="58"/>
      <c r="BJ1" s="59"/>
    </row>
    <row r="2" spans="1:73" x14ac:dyDescent="0.3">
      <c r="A2" s="31"/>
      <c r="B2" s="71"/>
      <c r="C2" s="71"/>
      <c r="D2" s="26"/>
      <c r="F2" s="31"/>
      <c r="G2" s="71"/>
      <c r="H2" s="71"/>
      <c r="I2" s="26"/>
      <c r="L2" s="64"/>
      <c r="M2" s="62"/>
      <c r="N2" s="63"/>
      <c r="P2" s="64"/>
      <c r="Q2" s="62"/>
      <c r="R2" s="63"/>
      <c r="T2" s="64"/>
      <c r="U2" s="62"/>
      <c r="V2" s="63"/>
      <c r="X2" s="64"/>
      <c r="Y2" s="62"/>
      <c r="Z2" s="63"/>
      <c r="AB2" s="64"/>
      <c r="AC2" s="62"/>
      <c r="AD2" s="63"/>
      <c r="AF2" s="64"/>
      <c r="AG2" s="62"/>
      <c r="AH2" s="63"/>
      <c r="AJ2" s="64"/>
      <c r="AK2" s="62"/>
      <c r="AL2" s="63"/>
      <c r="AN2" s="64"/>
      <c r="AO2" s="62"/>
      <c r="AP2" s="63"/>
      <c r="AR2" s="64"/>
      <c r="AS2" s="62"/>
      <c r="AT2" s="63"/>
      <c r="AV2" s="64"/>
      <c r="AW2" s="62"/>
      <c r="AX2" s="63"/>
      <c r="AZ2" s="64"/>
      <c r="BA2" s="62"/>
      <c r="BB2" s="63"/>
      <c r="BD2" s="64"/>
      <c r="BE2" s="62"/>
      <c r="BF2" s="63"/>
      <c r="BH2" s="64"/>
      <c r="BI2" s="62"/>
      <c r="BJ2" s="63"/>
      <c r="BO2" s="116"/>
      <c r="BQ2" s="116"/>
    </row>
    <row r="3" spans="1:73" x14ac:dyDescent="0.3">
      <c r="A3" s="31" t="s">
        <v>61</v>
      </c>
      <c r="B3" s="71"/>
      <c r="C3" s="71"/>
      <c r="D3" s="26"/>
      <c r="F3" s="31" t="s">
        <v>86</v>
      </c>
      <c r="G3" s="71"/>
      <c r="H3" s="71"/>
      <c r="I3" s="26"/>
      <c r="L3" s="64"/>
      <c r="M3" s="62"/>
      <c r="N3" s="63"/>
      <c r="P3" s="64"/>
      <c r="Q3" s="62"/>
      <c r="R3" s="63"/>
      <c r="T3" s="64"/>
      <c r="U3" s="62"/>
      <c r="V3" s="63"/>
      <c r="X3" s="64"/>
      <c r="Y3" s="62"/>
      <c r="Z3" s="63"/>
      <c r="AB3" s="64"/>
      <c r="AC3" s="62"/>
      <c r="AD3" s="63"/>
      <c r="AF3" s="64"/>
      <c r="AG3" s="62"/>
      <c r="AH3" s="63"/>
      <c r="AJ3" s="64"/>
      <c r="AK3" s="62"/>
      <c r="AL3" s="63"/>
      <c r="AN3" s="64"/>
      <c r="AO3" s="62"/>
      <c r="AP3" s="63"/>
      <c r="AR3" s="64"/>
      <c r="AS3" s="62"/>
      <c r="AT3" s="63"/>
      <c r="AV3" s="64"/>
      <c r="AW3" s="62"/>
      <c r="AX3" s="63"/>
      <c r="AZ3" s="64"/>
      <c r="BA3" s="62"/>
      <c r="BB3" s="63"/>
      <c r="BD3" s="64"/>
      <c r="BE3" s="62"/>
      <c r="BF3" s="63"/>
      <c r="BH3" s="64"/>
      <c r="BI3" s="62"/>
      <c r="BJ3" s="63"/>
      <c r="BM3" s="116"/>
      <c r="BO3" s="116"/>
      <c r="BQ3" s="116"/>
    </row>
    <row r="4" spans="1:73" x14ac:dyDescent="0.3">
      <c r="A4" s="31" t="s">
        <v>0</v>
      </c>
      <c r="B4" s="71"/>
      <c r="C4" s="71" t="s">
        <v>64</v>
      </c>
      <c r="D4" s="26"/>
      <c r="F4" s="31" t="s">
        <v>0</v>
      </c>
      <c r="G4" s="71"/>
      <c r="H4" s="71" t="s">
        <v>64</v>
      </c>
      <c r="I4" s="26"/>
      <c r="L4" s="60" t="s">
        <v>0</v>
      </c>
      <c r="M4" s="61"/>
      <c r="N4" s="98" t="s">
        <v>64</v>
      </c>
      <c r="P4" s="60" t="s">
        <v>0</v>
      </c>
      <c r="Q4" s="61"/>
      <c r="R4" s="98" t="s">
        <v>64</v>
      </c>
      <c r="T4" s="60" t="s">
        <v>0</v>
      </c>
      <c r="U4" s="61"/>
      <c r="V4" s="98" t="s">
        <v>64</v>
      </c>
      <c r="X4" s="60" t="s">
        <v>0</v>
      </c>
      <c r="Y4" s="61"/>
      <c r="Z4" s="98" t="s">
        <v>64</v>
      </c>
      <c r="AB4" s="60" t="s">
        <v>0</v>
      </c>
      <c r="AC4" s="61"/>
      <c r="AD4" s="98" t="s">
        <v>64</v>
      </c>
      <c r="AF4" s="60" t="s">
        <v>0</v>
      </c>
      <c r="AG4" s="61"/>
      <c r="AH4" s="98" t="s">
        <v>64</v>
      </c>
      <c r="AJ4" s="60" t="s">
        <v>0</v>
      </c>
      <c r="AK4" s="61"/>
      <c r="AL4" s="98" t="s">
        <v>64</v>
      </c>
      <c r="AN4" s="60" t="s">
        <v>0</v>
      </c>
      <c r="AO4" s="61"/>
      <c r="AP4" s="98" t="s">
        <v>64</v>
      </c>
      <c r="AR4" s="60" t="s">
        <v>0</v>
      </c>
      <c r="AS4" s="61"/>
      <c r="AT4" s="98" t="s">
        <v>64</v>
      </c>
      <c r="AV4" s="60" t="s">
        <v>0</v>
      </c>
      <c r="AW4" s="61"/>
      <c r="AX4" s="98" t="s">
        <v>64</v>
      </c>
      <c r="AZ4" s="60" t="s">
        <v>0</v>
      </c>
      <c r="BA4" s="61"/>
      <c r="BB4" s="98" t="s">
        <v>64</v>
      </c>
      <c r="BD4" s="60" t="s">
        <v>0</v>
      </c>
      <c r="BE4" s="61"/>
      <c r="BF4" s="98" t="s">
        <v>64</v>
      </c>
      <c r="BH4" s="60" t="s">
        <v>0</v>
      </c>
      <c r="BI4" s="61"/>
      <c r="BJ4" s="98" t="s">
        <v>64</v>
      </c>
      <c r="BL4" s="62"/>
      <c r="BM4" s="62"/>
      <c r="BN4" s="62"/>
      <c r="BO4" s="116"/>
    </row>
    <row r="5" spans="1:73" x14ac:dyDescent="0.3">
      <c r="A5" s="25" t="s">
        <v>1</v>
      </c>
      <c r="B5" s="72"/>
      <c r="C5" s="72">
        <f>Calculations!P5</f>
        <v>7187.5</v>
      </c>
      <c r="D5" s="26"/>
      <c r="F5" s="25" t="s">
        <v>1</v>
      </c>
      <c r="G5" s="72"/>
      <c r="H5" s="73">
        <f>Calculations!P4</f>
        <v>3593.75</v>
      </c>
      <c r="I5" s="26"/>
      <c r="L5" s="64" t="s">
        <v>1</v>
      </c>
      <c r="M5" s="62"/>
      <c r="N5" s="99">
        <f>Calculations!S4+Calculations!S5</f>
        <v>118593.75</v>
      </c>
      <c r="P5" s="64" t="s">
        <v>1</v>
      </c>
      <c r="Q5" s="62"/>
      <c r="R5" s="99">
        <v>118593.75</v>
      </c>
      <c r="T5" s="64" t="s">
        <v>1</v>
      </c>
      <c r="U5" s="62"/>
      <c r="V5" s="99">
        <v>118593.75</v>
      </c>
      <c r="X5" s="64" t="s">
        <v>1</v>
      </c>
      <c r="Y5" s="62"/>
      <c r="Z5" s="99">
        <v>118593.75</v>
      </c>
      <c r="AB5" s="64" t="s">
        <v>1</v>
      </c>
      <c r="AC5" s="62"/>
      <c r="AD5" s="99">
        <v>118593.75</v>
      </c>
      <c r="AF5" s="64" t="s">
        <v>1</v>
      </c>
      <c r="AG5" s="62"/>
      <c r="AH5" s="99">
        <v>118593.75</v>
      </c>
      <c r="AJ5" s="64" t="s">
        <v>1</v>
      </c>
      <c r="AK5" s="62"/>
      <c r="AL5" s="99">
        <v>118593.75</v>
      </c>
      <c r="AN5" s="64" t="s">
        <v>1</v>
      </c>
      <c r="AO5" s="62"/>
      <c r="AP5" s="99">
        <v>118593.75</v>
      </c>
      <c r="AR5" s="64" t="s">
        <v>1</v>
      </c>
      <c r="AS5" s="62"/>
      <c r="AT5" s="99">
        <v>118593.75</v>
      </c>
      <c r="AV5" s="64" t="s">
        <v>1</v>
      </c>
      <c r="AW5" s="62"/>
      <c r="AX5" s="99">
        <v>118593.75</v>
      </c>
      <c r="AZ5" s="64" t="s">
        <v>1</v>
      </c>
      <c r="BA5" s="62"/>
      <c r="BB5" s="99">
        <v>118593.75</v>
      </c>
      <c r="BD5" s="64" t="s">
        <v>1</v>
      </c>
      <c r="BE5" s="62"/>
      <c r="BF5" s="99">
        <v>118593.75</v>
      </c>
      <c r="BH5" s="64" t="s">
        <v>1</v>
      </c>
      <c r="BI5" s="62"/>
      <c r="BJ5" s="99">
        <v>118593.75</v>
      </c>
      <c r="BL5" s="62" t="s">
        <v>183</v>
      </c>
      <c r="BM5" s="62" t="s">
        <v>184</v>
      </c>
      <c r="BN5" s="62" t="s">
        <v>185</v>
      </c>
      <c r="BO5" s="116"/>
      <c r="BQ5" s="121"/>
      <c r="BR5" s="121" t="s">
        <v>214</v>
      </c>
      <c r="BS5" s="121" t="s">
        <v>215</v>
      </c>
    </row>
    <row r="6" spans="1:73" x14ac:dyDescent="0.3">
      <c r="A6" s="25" t="s">
        <v>12</v>
      </c>
      <c r="B6" s="72"/>
      <c r="C6" s="72">
        <f>Calculations!P6</f>
        <v>7187.5</v>
      </c>
      <c r="D6" s="26"/>
      <c r="F6" s="25" t="s">
        <v>12</v>
      </c>
      <c r="G6" s="72"/>
      <c r="H6" s="72">
        <f>Calculations!U6</f>
        <v>0</v>
      </c>
      <c r="I6" s="26"/>
      <c r="L6" s="64" t="s">
        <v>12</v>
      </c>
      <c r="M6" s="62"/>
      <c r="N6" s="99">
        <f>Calculations!S6</f>
        <v>14375</v>
      </c>
      <c r="P6" s="64" t="s">
        <v>12</v>
      </c>
      <c r="Q6" s="62"/>
      <c r="R6" s="99">
        <v>14375</v>
      </c>
      <c r="T6" s="64" t="s">
        <v>12</v>
      </c>
      <c r="U6" s="62"/>
      <c r="V6" s="99">
        <v>14375</v>
      </c>
      <c r="X6" s="64" t="s">
        <v>12</v>
      </c>
      <c r="Y6" s="62"/>
      <c r="Z6" s="99">
        <v>14375</v>
      </c>
      <c r="AB6" s="64" t="s">
        <v>12</v>
      </c>
      <c r="AC6" s="62"/>
      <c r="AD6" s="99">
        <v>14375</v>
      </c>
      <c r="AF6" s="64" t="s">
        <v>12</v>
      </c>
      <c r="AG6" s="62"/>
      <c r="AH6" s="99">
        <v>14375</v>
      </c>
      <c r="AJ6" s="64" t="s">
        <v>12</v>
      </c>
      <c r="AK6" s="62"/>
      <c r="AL6" s="99">
        <v>14375</v>
      </c>
      <c r="AN6" s="64" t="s">
        <v>12</v>
      </c>
      <c r="AO6" s="62"/>
      <c r="AP6" s="99">
        <v>14375</v>
      </c>
      <c r="AR6" s="64" t="s">
        <v>12</v>
      </c>
      <c r="AS6" s="62"/>
      <c r="AT6" s="99">
        <v>14375</v>
      </c>
      <c r="AV6" s="64" t="s">
        <v>12</v>
      </c>
      <c r="AW6" s="62"/>
      <c r="AX6" s="99">
        <v>14375</v>
      </c>
      <c r="AZ6" s="64" t="s">
        <v>12</v>
      </c>
      <c r="BA6" s="62"/>
      <c r="BB6" s="99">
        <v>14375</v>
      </c>
      <c r="BD6" s="64" t="s">
        <v>12</v>
      </c>
      <c r="BE6" s="62"/>
      <c r="BF6" s="99">
        <f t="shared" ref="BF6:BF12" si="0">N6</f>
        <v>14375</v>
      </c>
      <c r="BH6" s="64" t="s">
        <v>12</v>
      </c>
      <c r="BI6" s="62"/>
      <c r="BJ6" s="99">
        <f t="shared" ref="BJ6:BJ12" si="1">R6</f>
        <v>14375</v>
      </c>
      <c r="BL6" s="62">
        <f>(BJ19/24)</f>
        <v>16104.735659246575</v>
      </c>
      <c r="BM6" s="62">
        <v>1150</v>
      </c>
      <c r="BN6" s="62">
        <v>4637.5570776255699</v>
      </c>
      <c r="BO6" s="116"/>
      <c r="BQ6" s="120" t="s">
        <v>198</v>
      </c>
      <c r="BR6">
        <v>464.1270119863014</v>
      </c>
      <c r="BS6" s="122">
        <f>(BR6*31)</f>
        <v>14387.937371575343</v>
      </c>
    </row>
    <row r="7" spans="1:73" x14ac:dyDescent="0.3">
      <c r="A7" s="25" t="s">
        <v>13</v>
      </c>
      <c r="B7" s="72"/>
      <c r="C7" s="72">
        <f>Calculations!P7</f>
        <v>7187.5</v>
      </c>
      <c r="D7" s="26"/>
      <c r="F7" s="25" t="s">
        <v>13</v>
      </c>
      <c r="G7" s="72"/>
      <c r="H7" s="72">
        <f>Calculations!U7</f>
        <v>0</v>
      </c>
      <c r="I7" s="26"/>
      <c r="L7" s="64" t="s">
        <v>13</v>
      </c>
      <c r="M7" s="62"/>
      <c r="N7" s="99">
        <f>Calculations!S7</f>
        <v>21562.5</v>
      </c>
      <c r="P7" s="64" t="s">
        <v>13</v>
      </c>
      <c r="Q7" s="62"/>
      <c r="R7" s="99">
        <v>21562.5</v>
      </c>
      <c r="T7" s="64" t="s">
        <v>13</v>
      </c>
      <c r="U7" s="62"/>
      <c r="V7" s="99">
        <v>21562.5</v>
      </c>
      <c r="X7" s="64" t="s">
        <v>13</v>
      </c>
      <c r="Y7" s="62"/>
      <c r="Z7" s="99">
        <v>21562.5</v>
      </c>
      <c r="AB7" s="64" t="s">
        <v>13</v>
      </c>
      <c r="AC7" s="62"/>
      <c r="AD7" s="99">
        <v>21562.5</v>
      </c>
      <c r="AF7" s="64" t="s">
        <v>13</v>
      </c>
      <c r="AG7" s="62"/>
      <c r="AH7" s="99">
        <v>21562.5</v>
      </c>
      <c r="AJ7" s="64" t="s">
        <v>13</v>
      </c>
      <c r="AK7" s="62"/>
      <c r="AL7" s="99">
        <v>21562.5</v>
      </c>
      <c r="AN7" s="64" t="s">
        <v>13</v>
      </c>
      <c r="AO7" s="62"/>
      <c r="AP7" s="99">
        <v>21562.5</v>
      </c>
      <c r="AR7" s="64" t="s">
        <v>13</v>
      </c>
      <c r="AS7" s="62"/>
      <c r="AT7" s="99">
        <v>21562.5</v>
      </c>
      <c r="AV7" s="64" t="s">
        <v>13</v>
      </c>
      <c r="AW7" s="62"/>
      <c r="AX7" s="99">
        <v>21562.5</v>
      </c>
      <c r="AZ7" s="64" t="s">
        <v>13</v>
      </c>
      <c r="BA7" s="62"/>
      <c r="BB7" s="99">
        <v>21562.5</v>
      </c>
      <c r="BD7" s="64" t="s">
        <v>13</v>
      </c>
      <c r="BE7" s="62"/>
      <c r="BF7" s="99">
        <f t="shared" si="0"/>
        <v>21562.5</v>
      </c>
      <c r="BH7" s="64" t="s">
        <v>13</v>
      </c>
      <c r="BI7" s="62"/>
      <c r="BJ7" s="99">
        <f t="shared" si="1"/>
        <v>21562.5</v>
      </c>
      <c r="BL7" s="62">
        <f>(BL6*1.4)</f>
        <v>22546.629922945205</v>
      </c>
      <c r="BM7" s="62">
        <f>(BM6*1.4)</f>
        <v>1610</v>
      </c>
      <c r="BN7" s="62">
        <f>(BN6*1.4)</f>
        <v>6492.5799086757979</v>
      </c>
      <c r="BO7" s="116"/>
      <c r="BQ7" s="120" t="s">
        <v>199</v>
      </c>
      <c r="BR7">
        <v>450.22185216894979</v>
      </c>
      <c r="BS7" s="122">
        <f>(BR7*28)</f>
        <v>12606.211860730595</v>
      </c>
    </row>
    <row r="8" spans="1:73" x14ac:dyDescent="0.3">
      <c r="A8" s="25" t="s">
        <v>14</v>
      </c>
      <c r="B8" s="72"/>
      <c r="C8" s="72">
        <f>Calculations!P8</f>
        <v>7187.5</v>
      </c>
      <c r="D8" s="26"/>
      <c r="F8" s="25" t="s">
        <v>14</v>
      </c>
      <c r="G8" s="72"/>
      <c r="H8" s="72">
        <f>Calculations!U8</f>
        <v>0</v>
      </c>
      <c r="I8" s="26"/>
      <c r="L8" s="64" t="s">
        <v>14</v>
      </c>
      <c r="M8" s="62"/>
      <c r="N8" s="99">
        <f>Calculations!S8</f>
        <v>8265.625</v>
      </c>
      <c r="P8" s="64" t="s">
        <v>14</v>
      </c>
      <c r="Q8" s="62"/>
      <c r="R8" s="99">
        <v>8265.625</v>
      </c>
      <c r="T8" s="64" t="s">
        <v>14</v>
      </c>
      <c r="U8" s="62"/>
      <c r="V8" s="99">
        <v>8265.625</v>
      </c>
      <c r="X8" s="64" t="s">
        <v>14</v>
      </c>
      <c r="Y8" s="62"/>
      <c r="Z8" s="99">
        <v>8265.625</v>
      </c>
      <c r="AB8" s="64" t="s">
        <v>14</v>
      </c>
      <c r="AC8" s="62"/>
      <c r="AD8" s="99">
        <v>8265.625</v>
      </c>
      <c r="AF8" s="64" t="s">
        <v>14</v>
      </c>
      <c r="AG8" s="62"/>
      <c r="AH8" s="99">
        <v>8265.625</v>
      </c>
      <c r="AJ8" s="64" t="s">
        <v>14</v>
      </c>
      <c r="AK8" s="62"/>
      <c r="AL8" s="99">
        <v>8265.625</v>
      </c>
      <c r="AN8" s="64" t="s">
        <v>14</v>
      </c>
      <c r="AO8" s="62"/>
      <c r="AP8" s="99">
        <v>8265.625</v>
      </c>
      <c r="AR8" s="64" t="s">
        <v>14</v>
      </c>
      <c r="AS8" s="62"/>
      <c r="AT8" s="99">
        <v>8265.625</v>
      </c>
      <c r="AV8" s="64" t="s">
        <v>14</v>
      </c>
      <c r="AW8" s="62"/>
      <c r="AX8" s="99">
        <v>8265.625</v>
      </c>
      <c r="AZ8" s="64" t="s">
        <v>14</v>
      </c>
      <c r="BA8" s="62"/>
      <c r="BB8" s="99">
        <v>8265.625</v>
      </c>
      <c r="BD8" s="64" t="s">
        <v>14</v>
      </c>
      <c r="BE8" s="62"/>
      <c r="BF8" s="99">
        <f t="shared" si="0"/>
        <v>8265.625</v>
      </c>
      <c r="BH8" s="64" t="s">
        <v>14</v>
      </c>
      <c r="BI8" s="62"/>
      <c r="BJ8" s="99">
        <f t="shared" si="1"/>
        <v>8265.625</v>
      </c>
      <c r="BL8" s="62">
        <f>(BL7*5)</f>
        <v>112733.14961472602</v>
      </c>
      <c r="BM8" s="62">
        <f>(BM7*5)</f>
        <v>8050</v>
      </c>
      <c r="BN8" s="62">
        <f>(BN7*5)</f>
        <v>32462.89954337899</v>
      </c>
      <c r="BO8" s="116"/>
      <c r="BQ8" s="120" t="s">
        <v>200</v>
      </c>
      <c r="BR8">
        <f>SUM(AX5:AX21)/1000</f>
        <v>436.31669235159819</v>
      </c>
      <c r="BS8" s="122">
        <f t="shared" ref="BS7:BS17" si="2">(BR8*31)</f>
        <v>13525.817462899544</v>
      </c>
    </row>
    <row r="9" spans="1:73" x14ac:dyDescent="0.3">
      <c r="A9" s="25" t="s">
        <v>16</v>
      </c>
      <c r="B9" s="72"/>
      <c r="C9" s="72">
        <f>Calculations!P9</f>
        <v>15.625</v>
      </c>
      <c r="D9" s="26"/>
      <c r="F9" s="25" t="s">
        <v>16</v>
      </c>
      <c r="G9" s="72"/>
      <c r="H9" s="73">
        <f>Calculations!S9</f>
        <v>375</v>
      </c>
      <c r="I9" s="26"/>
      <c r="L9" s="64" t="s">
        <v>16</v>
      </c>
      <c r="M9" s="62"/>
      <c r="N9" s="99">
        <f>Calculations!S9</f>
        <v>375</v>
      </c>
      <c r="P9" s="64" t="s">
        <v>16</v>
      </c>
      <c r="Q9" s="62"/>
      <c r="R9" s="99">
        <v>375</v>
      </c>
      <c r="T9" s="64" t="s">
        <v>16</v>
      </c>
      <c r="U9" s="62"/>
      <c r="V9" s="99">
        <v>375</v>
      </c>
      <c r="X9" s="64" t="s">
        <v>16</v>
      </c>
      <c r="Y9" s="62"/>
      <c r="Z9" s="99">
        <v>375</v>
      </c>
      <c r="AB9" s="64" t="s">
        <v>16</v>
      </c>
      <c r="AC9" s="62"/>
      <c r="AD9" s="99">
        <v>375</v>
      </c>
      <c r="AF9" s="64" t="s">
        <v>16</v>
      </c>
      <c r="AG9" s="62"/>
      <c r="AH9" s="99">
        <v>375</v>
      </c>
      <c r="AJ9" s="64" t="s">
        <v>16</v>
      </c>
      <c r="AK9" s="62"/>
      <c r="AL9" s="99">
        <v>375</v>
      </c>
      <c r="AN9" s="64" t="s">
        <v>16</v>
      </c>
      <c r="AO9" s="62"/>
      <c r="AP9" s="99">
        <v>375</v>
      </c>
      <c r="AR9" s="64" t="s">
        <v>16</v>
      </c>
      <c r="AS9" s="62"/>
      <c r="AT9" s="99">
        <v>375</v>
      </c>
      <c r="AV9" s="64" t="s">
        <v>16</v>
      </c>
      <c r="AW9" s="62"/>
      <c r="AX9" s="99">
        <v>375</v>
      </c>
      <c r="AZ9" s="64" t="s">
        <v>16</v>
      </c>
      <c r="BA9" s="62"/>
      <c r="BB9" s="99">
        <v>375</v>
      </c>
      <c r="BD9" s="64" t="s">
        <v>16</v>
      </c>
      <c r="BE9" s="62"/>
      <c r="BF9" s="99">
        <f t="shared" si="0"/>
        <v>375</v>
      </c>
      <c r="BH9" s="64" t="s">
        <v>16</v>
      </c>
      <c r="BI9" s="62"/>
      <c r="BJ9" s="99">
        <f t="shared" si="1"/>
        <v>375</v>
      </c>
      <c r="BL9" s="62">
        <f>(BL6*19)</f>
        <v>305989.97752568492</v>
      </c>
      <c r="BM9" s="62">
        <f>(BM6*2)</f>
        <v>2300</v>
      </c>
      <c r="BN9" s="62">
        <f>(BN6*10)</f>
        <v>46375.570776255699</v>
      </c>
      <c r="BO9" s="116"/>
      <c r="BQ9" s="120" t="s">
        <v>201</v>
      </c>
      <c r="BR9">
        <v>422.41153253424699</v>
      </c>
      <c r="BS9" s="122">
        <f>(BR9*30)</f>
        <v>12672.345976027409</v>
      </c>
      <c r="BU9" s="116"/>
    </row>
    <row r="10" spans="1:73" x14ac:dyDescent="0.3">
      <c r="A10" s="25" t="s">
        <v>17</v>
      </c>
      <c r="B10" s="72"/>
      <c r="C10" s="72">
        <f>Calculations!P12</f>
        <v>500</v>
      </c>
      <c r="D10" s="26"/>
      <c r="F10" s="25" t="s">
        <v>17</v>
      </c>
      <c r="G10" s="72"/>
      <c r="H10" s="72">
        <f>Calculations!U12</f>
        <v>0</v>
      </c>
      <c r="I10" s="26"/>
      <c r="L10" s="64" t="s">
        <v>17</v>
      </c>
      <c r="M10" s="62"/>
      <c r="N10" s="99">
        <f>Calculations!S12</f>
        <v>2500</v>
      </c>
      <c r="P10" s="64" t="s">
        <v>17</v>
      </c>
      <c r="Q10" s="62"/>
      <c r="R10" s="99">
        <v>2500</v>
      </c>
      <c r="T10" s="64" t="s">
        <v>17</v>
      </c>
      <c r="U10" s="62"/>
      <c r="V10" s="99">
        <v>2500</v>
      </c>
      <c r="X10" s="64" t="s">
        <v>17</v>
      </c>
      <c r="Y10" s="62"/>
      <c r="Z10" s="99">
        <v>2500</v>
      </c>
      <c r="AB10" s="64" t="s">
        <v>17</v>
      </c>
      <c r="AC10" s="62"/>
      <c r="AD10" s="99">
        <v>2500</v>
      </c>
      <c r="AF10" s="64" t="s">
        <v>17</v>
      </c>
      <c r="AG10" s="62"/>
      <c r="AH10" s="99">
        <v>2500</v>
      </c>
      <c r="AJ10" s="64" t="s">
        <v>17</v>
      </c>
      <c r="AK10" s="62"/>
      <c r="AL10" s="99">
        <v>2500</v>
      </c>
      <c r="AN10" s="64" t="s">
        <v>17</v>
      </c>
      <c r="AO10" s="62"/>
      <c r="AP10" s="99">
        <v>2500</v>
      </c>
      <c r="AR10" s="64" t="s">
        <v>17</v>
      </c>
      <c r="AS10" s="62"/>
      <c r="AT10" s="99">
        <v>2500</v>
      </c>
      <c r="AV10" s="64" t="s">
        <v>17</v>
      </c>
      <c r="AW10" s="62"/>
      <c r="AX10" s="99">
        <v>2500</v>
      </c>
      <c r="AZ10" s="64" t="s">
        <v>17</v>
      </c>
      <c r="BA10" s="62"/>
      <c r="BB10" s="99">
        <v>2500</v>
      </c>
      <c r="BD10" s="64" t="s">
        <v>17</v>
      </c>
      <c r="BE10" s="62"/>
      <c r="BF10" s="99">
        <f t="shared" si="0"/>
        <v>2500</v>
      </c>
      <c r="BH10" s="64" t="s">
        <v>17</v>
      </c>
      <c r="BI10" s="62"/>
      <c r="BJ10" s="99">
        <f t="shared" si="1"/>
        <v>2500</v>
      </c>
      <c r="BL10" s="62"/>
      <c r="BM10" s="62"/>
      <c r="BN10" s="62"/>
      <c r="BO10" s="116"/>
      <c r="BQ10" s="120" t="s">
        <v>202</v>
      </c>
      <c r="BR10">
        <v>408.50637271689493</v>
      </c>
      <c r="BS10" s="122">
        <f t="shared" si="2"/>
        <v>12663.697554223743</v>
      </c>
    </row>
    <row r="11" spans="1:73" x14ac:dyDescent="0.3">
      <c r="A11" s="25" t="s">
        <v>18</v>
      </c>
      <c r="B11" s="72"/>
      <c r="C11" s="72">
        <f>Calculations!P13</f>
        <v>335</v>
      </c>
      <c r="D11" s="26"/>
      <c r="F11" s="25" t="s">
        <v>18</v>
      </c>
      <c r="G11" s="72"/>
      <c r="H11" s="72">
        <f>Calculations!U13</f>
        <v>0</v>
      </c>
      <c r="I11" s="26"/>
      <c r="L11" s="64" t="s">
        <v>18</v>
      </c>
      <c r="M11" s="62"/>
      <c r="N11" s="99">
        <f>Calculations!S13</f>
        <v>1675</v>
      </c>
      <c r="P11" s="64" t="s">
        <v>18</v>
      </c>
      <c r="Q11" s="62"/>
      <c r="R11" s="99">
        <v>1675</v>
      </c>
      <c r="T11" s="64" t="s">
        <v>18</v>
      </c>
      <c r="U11" s="62"/>
      <c r="V11" s="99">
        <v>1675</v>
      </c>
      <c r="X11" s="64" t="s">
        <v>18</v>
      </c>
      <c r="Y11" s="62"/>
      <c r="Z11" s="99">
        <v>1675</v>
      </c>
      <c r="AB11" s="64" t="s">
        <v>18</v>
      </c>
      <c r="AC11" s="62"/>
      <c r="AD11" s="99">
        <v>1675</v>
      </c>
      <c r="AF11" s="64" t="s">
        <v>18</v>
      </c>
      <c r="AG11" s="62"/>
      <c r="AH11" s="99">
        <v>1675</v>
      </c>
      <c r="AJ11" s="64" t="s">
        <v>18</v>
      </c>
      <c r="AK11" s="62"/>
      <c r="AL11" s="99">
        <v>1675</v>
      </c>
      <c r="AN11" s="64" t="s">
        <v>18</v>
      </c>
      <c r="AO11" s="62"/>
      <c r="AP11" s="99">
        <v>1675</v>
      </c>
      <c r="AR11" s="64" t="s">
        <v>18</v>
      </c>
      <c r="AS11" s="62"/>
      <c r="AT11" s="99">
        <v>1675</v>
      </c>
      <c r="AV11" s="64" t="s">
        <v>18</v>
      </c>
      <c r="AW11" s="62"/>
      <c r="AX11" s="99">
        <v>1675</v>
      </c>
      <c r="AZ11" s="64" t="s">
        <v>18</v>
      </c>
      <c r="BA11" s="62"/>
      <c r="BB11" s="99">
        <v>1675</v>
      </c>
      <c r="BD11" s="64" t="s">
        <v>18</v>
      </c>
      <c r="BE11" s="62"/>
      <c r="BF11" s="99">
        <f t="shared" si="0"/>
        <v>1675</v>
      </c>
      <c r="BH11" s="64" t="s">
        <v>18</v>
      </c>
      <c r="BI11" s="62"/>
      <c r="BJ11" s="99">
        <f t="shared" si="1"/>
        <v>1675</v>
      </c>
      <c r="BL11" s="62"/>
      <c r="BM11" s="62"/>
      <c r="BN11" s="62"/>
      <c r="BO11" s="116"/>
      <c r="BQ11" s="120" t="s">
        <v>203</v>
      </c>
      <c r="BR11">
        <v>394.60121289954333</v>
      </c>
      <c r="BS11" s="122">
        <f>(BR11*30)</f>
        <v>11838.036386986299</v>
      </c>
    </row>
    <row r="12" spans="1:73" x14ac:dyDescent="0.3">
      <c r="A12" s="25" t="s">
        <v>19</v>
      </c>
      <c r="B12" s="72"/>
      <c r="C12" s="72">
        <f>Calculations!P14</f>
        <v>75</v>
      </c>
      <c r="D12" s="26"/>
      <c r="F12" s="25" t="s">
        <v>19</v>
      </c>
      <c r="G12" s="72"/>
      <c r="H12" s="72">
        <f>Calculations!U14</f>
        <v>0</v>
      </c>
      <c r="I12" s="26"/>
      <c r="L12" s="64" t="s">
        <v>19</v>
      </c>
      <c r="M12" s="62"/>
      <c r="N12" s="99">
        <f>Calculations!S14</f>
        <v>225</v>
      </c>
      <c r="P12" s="64" t="s">
        <v>19</v>
      </c>
      <c r="Q12" s="62"/>
      <c r="R12" s="99">
        <v>225</v>
      </c>
      <c r="T12" s="64" t="s">
        <v>19</v>
      </c>
      <c r="U12" s="62"/>
      <c r="V12" s="99">
        <v>225</v>
      </c>
      <c r="X12" s="64" t="s">
        <v>19</v>
      </c>
      <c r="Y12" s="62"/>
      <c r="Z12" s="99">
        <v>225</v>
      </c>
      <c r="AB12" s="64" t="s">
        <v>19</v>
      </c>
      <c r="AC12" s="62"/>
      <c r="AD12" s="99">
        <v>225</v>
      </c>
      <c r="AF12" s="64" t="s">
        <v>19</v>
      </c>
      <c r="AG12" s="62"/>
      <c r="AH12" s="99">
        <v>225</v>
      </c>
      <c r="AJ12" s="64" t="s">
        <v>19</v>
      </c>
      <c r="AK12" s="62"/>
      <c r="AL12" s="99">
        <v>225</v>
      </c>
      <c r="AN12" s="64" t="s">
        <v>19</v>
      </c>
      <c r="AO12" s="62"/>
      <c r="AP12" s="99">
        <v>225</v>
      </c>
      <c r="AR12" s="64" t="s">
        <v>19</v>
      </c>
      <c r="AS12" s="62"/>
      <c r="AT12" s="99">
        <v>225</v>
      </c>
      <c r="AV12" s="64" t="s">
        <v>19</v>
      </c>
      <c r="AW12" s="62"/>
      <c r="AX12" s="99">
        <v>225</v>
      </c>
      <c r="AZ12" s="64" t="s">
        <v>19</v>
      </c>
      <c r="BA12" s="62"/>
      <c r="BB12" s="99">
        <v>225</v>
      </c>
      <c r="BD12" s="64" t="s">
        <v>19</v>
      </c>
      <c r="BE12" s="62"/>
      <c r="BF12" s="99">
        <f t="shared" si="0"/>
        <v>225</v>
      </c>
      <c r="BH12" s="64" t="s">
        <v>19</v>
      </c>
      <c r="BI12" s="62"/>
      <c r="BJ12" s="99">
        <f t="shared" si="1"/>
        <v>225</v>
      </c>
      <c r="BL12" s="62"/>
      <c r="BM12" s="62"/>
      <c r="BN12" s="62"/>
      <c r="BO12" s="116"/>
      <c r="BQ12" s="120" t="s">
        <v>204</v>
      </c>
      <c r="BR12">
        <v>394.60121289954333</v>
      </c>
      <c r="BS12" s="122">
        <f t="shared" si="2"/>
        <v>12232.637599885844</v>
      </c>
    </row>
    <row r="13" spans="1:73" x14ac:dyDescent="0.3">
      <c r="A13" s="25"/>
      <c r="B13" s="72"/>
      <c r="C13" s="72"/>
      <c r="D13" s="26"/>
      <c r="F13" s="25"/>
      <c r="G13" s="72"/>
      <c r="H13" s="72"/>
      <c r="I13" s="26"/>
      <c r="L13" s="64"/>
      <c r="M13" s="62"/>
      <c r="N13" s="99"/>
      <c r="P13" s="64"/>
      <c r="Q13" s="62"/>
      <c r="R13" s="99"/>
      <c r="T13" s="64"/>
      <c r="U13" s="62"/>
      <c r="V13" s="99"/>
      <c r="X13" s="64"/>
      <c r="Y13" s="62"/>
      <c r="Z13" s="99"/>
      <c r="AB13" s="64"/>
      <c r="AC13" s="62"/>
      <c r="AD13" s="99"/>
      <c r="AF13" s="64"/>
      <c r="AG13" s="62"/>
      <c r="AH13" s="99"/>
      <c r="AJ13" s="64"/>
      <c r="AK13" s="62"/>
      <c r="AL13" s="99"/>
      <c r="AN13" s="64"/>
      <c r="AO13" s="62"/>
      <c r="AP13" s="99"/>
      <c r="AR13" s="64"/>
      <c r="AS13" s="62"/>
      <c r="AT13" s="99"/>
      <c r="AV13" s="64"/>
      <c r="AW13" s="62"/>
      <c r="AX13" s="99"/>
      <c r="AZ13" s="64"/>
      <c r="BA13" s="62"/>
      <c r="BB13" s="99"/>
      <c r="BD13" s="64"/>
      <c r="BE13" s="62"/>
      <c r="BF13" s="99"/>
      <c r="BH13" s="64"/>
      <c r="BI13" s="62"/>
      <c r="BJ13" s="99"/>
      <c r="BL13" s="62"/>
      <c r="BM13" s="62"/>
      <c r="BN13" s="62"/>
      <c r="BO13" s="116"/>
      <c r="BQ13" s="120" t="s">
        <v>31</v>
      </c>
      <c r="BR13">
        <v>408.50637271689493</v>
      </c>
      <c r="BS13" s="122">
        <f t="shared" si="2"/>
        <v>12663.697554223743</v>
      </c>
    </row>
    <row r="14" spans="1:73" x14ac:dyDescent="0.3">
      <c r="A14" s="25" t="s">
        <v>62</v>
      </c>
      <c r="B14" s="72"/>
      <c r="C14" s="72">
        <f>Calculations!R29</f>
        <v>1150</v>
      </c>
      <c r="D14" s="26"/>
      <c r="F14" s="25" t="s">
        <v>87</v>
      </c>
      <c r="G14" s="72"/>
      <c r="H14" s="72">
        <f>Calculations!W29</f>
        <v>0</v>
      </c>
      <c r="I14" s="26"/>
      <c r="L14" s="64" t="s">
        <v>116</v>
      </c>
      <c r="M14" s="62"/>
      <c r="N14" s="99">
        <v>8050</v>
      </c>
      <c r="P14" s="64" t="s">
        <v>119</v>
      </c>
      <c r="Q14" s="62"/>
      <c r="R14" s="99">
        <v>7130</v>
      </c>
      <c r="T14" s="64" t="s">
        <v>123</v>
      </c>
      <c r="U14" s="62"/>
      <c r="V14" s="99">
        <v>6210</v>
      </c>
      <c r="X14" s="64" t="s">
        <v>74</v>
      </c>
      <c r="Y14" s="62"/>
      <c r="Z14" s="99">
        <v>5290.0000000000009</v>
      </c>
      <c r="AB14" s="64" t="s">
        <v>126</v>
      </c>
      <c r="AC14" s="62"/>
      <c r="AD14" s="99">
        <v>4370.0000000000009</v>
      </c>
      <c r="AF14" s="64" t="s">
        <v>74</v>
      </c>
      <c r="AG14" s="62"/>
      <c r="AH14" s="99">
        <v>3450</v>
      </c>
      <c r="AJ14" s="64" t="s">
        <v>129</v>
      </c>
      <c r="AK14" s="62"/>
      <c r="AL14" s="99">
        <v>3450</v>
      </c>
      <c r="AN14" s="64" t="s">
        <v>132</v>
      </c>
      <c r="AO14" s="62"/>
      <c r="AP14" s="99">
        <v>4370</v>
      </c>
      <c r="AR14" s="64" t="s">
        <v>135</v>
      </c>
      <c r="AS14" s="62"/>
      <c r="AT14" s="99">
        <v>5290</v>
      </c>
      <c r="AV14" s="64" t="s">
        <v>138</v>
      </c>
      <c r="AW14" s="62"/>
      <c r="AX14" s="99">
        <v>6209.9999999999991</v>
      </c>
      <c r="AZ14" s="64" t="s">
        <v>141</v>
      </c>
      <c r="BA14" s="62"/>
      <c r="BB14" s="99">
        <v>7129.9999999999991</v>
      </c>
      <c r="BD14" s="64" t="s">
        <v>62</v>
      </c>
      <c r="BE14" s="62"/>
      <c r="BF14" s="99">
        <f>Calculations!Y29</f>
        <v>8050</v>
      </c>
      <c r="BH14" s="64" t="s">
        <v>65</v>
      </c>
      <c r="BI14" s="62"/>
      <c r="BJ14" s="99">
        <f>R17</f>
        <v>70625</v>
      </c>
      <c r="BL14" s="62"/>
      <c r="BM14" s="62"/>
      <c r="BN14" s="62"/>
      <c r="BO14" s="116"/>
      <c r="BQ14" s="120" t="s">
        <v>205</v>
      </c>
      <c r="BR14">
        <v>422.41153253424699</v>
      </c>
      <c r="BS14" s="122">
        <f>(BR14*30)</f>
        <v>12672.345976027409</v>
      </c>
    </row>
    <row r="15" spans="1:73" x14ac:dyDescent="0.3">
      <c r="A15" s="25" t="s">
        <v>63</v>
      </c>
      <c r="B15" s="72"/>
      <c r="C15" s="73">
        <f>Calculations!R44</f>
        <v>4637.5570776255699</v>
      </c>
      <c r="D15" s="26"/>
      <c r="F15" s="25" t="s">
        <v>88</v>
      </c>
      <c r="G15" s="72"/>
      <c r="H15" s="73">
        <f>Calculations!W44</f>
        <v>0</v>
      </c>
      <c r="I15" s="26"/>
      <c r="L15" s="64" t="s">
        <v>117</v>
      </c>
      <c r="M15" s="62"/>
      <c r="N15" s="99">
        <v>69563.356164383556</v>
      </c>
      <c r="P15" s="64" t="s">
        <v>120</v>
      </c>
      <c r="Q15" s="62"/>
      <c r="R15" s="99">
        <v>56578.196347031953</v>
      </c>
      <c r="T15" s="64" t="s">
        <v>122</v>
      </c>
      <c r="U15" s="62"/>
      <c r="V15" s="99">
        <v>43593.03652968035</v>
      </c>
      <c r="X15" s="64" t="s">
        <v>75</v>
      </c>
      <c r="Y15" s="62"/>
      <c r="Z15" s="99">
        <v>30607.876712328754</v>
      </c>
      <c r="AB15" s="64" t="s">
        <v>127</v>
      </c>
      <c r="AC15" s="62"/>
      <c r="AD15" s="99">
        <v>17622.716894977162</v>
      </c>
      <c r="AF15" s="64" t="s">
        <v>75</v>
      </c>
      <c r="AG15" s="62"/>
      <c r="AH15" s="99">
        <v>4637.5570776255654</v>
      </c>
      <c r="AJ15" s="64" t="s">
        <v>130</v>
      </c>
      <c r="AK15" s="62"/>
      <c r="AL15" s="99">
        <v>4637.5570776255654</v>
      </c>
      <c r="AN15" s="64" t="s">
        <v>133</v>
      </c>
      <c r="AO15" s="62"/>
      <c r="AP15" s="99">
        <v>17622.716894977166</v>
      </c>
      <c r="AR15" s="64" t="s">
        <v>136</v>
      </c>
      <c r="AS15" s="62"/>
      <c r="AT15" s="99">
        <v>30607.876712328762</v>
      </c>
      <c r="AV15" s="64" t="s">
        <v>139</v>
      </c>
      <c r="AW15" s="62"/>
      <c r="AX15" s="99">
        <v>43593.03652968035</v>
      </c>
      <c r="AZ15" s="64" t="s">
        <v>142</v>
      </c>
      <c r="BA15" s="62"/>
      <c r="BB15" s="99">
        <v>56578.196347031953</v>
      </c>
      <c r="BD15" s="64" t="s">
        <v>63</v>
      </c>
      <c r="BE15" s="62"/>
      <c r="BF15" s="99">
        <f>Calculations!Y44</f>
        <v>69563.356164383556</v>
      </c>
      <c r="BH15" s="64"/>
      <c r="BI15" s="62"/>
      <c r="BJ15" s="63"/>
      <c r="BM15" s="116"/>
      <c r="BO15" s="116"/>
      <c r="BQ15" s="120" t="s">
        <v>206</v>
      </c>
      <c r="BR15">
        <f>SUM(AX5:AX21)/1000</f>
        <v>436.31669235159819</v>
      </c>
      <c r="BS15" s="122">
        <f t="shared" si="2"/>
        <v>13525.817462899544</v>
      </c>
    </row>
    <row r="16" spans="1:73" x14ac:dyDescent="0.3">
      <c r="A16" s="25"/>
      <c r="B16" s="72"/>
      <c r="C16" s="72"/>
      <c r="D16" s="26"/>
      <c r="F16" s="25"/>
      <c r="G16" s="72"/>
      <c r="H16" s="72"/>
      <c r="I16" s="26"/>
      <c r="L16" s="64"/>
      <c r="M16" s="62"/>
      <c r="N16" s="99"/>
      <c r="P16" s="64"/>
      <c r="Q16" s="62"/>
      <c r="R16" s="99"/>
      <c r="T16" s="64"/>
      <c r="U16" s="62"/>
      <c r="V16" s="99"/>
      <c r="X16" s="64"/>
      <c r="Y16" s="62"/>
      <c r="Z16" s="99"/>
      <c r="AB16" s="64"/>
      <c r="AC16" s="62"/>
      <c r="AD16" s="99"/>
      <c r="AF16" s="64"/>
      <c r="AG16" s="62"/>
      <c r="AH16" s="99"/>
      <c r="AJ16" s="64"/>
      <c r="AK16" s="62"/>
      <c r="AL16" s="99"/>
      <c r="AN16" s="64"/>
      <c r="AO16" s="62"/>
      <c r="AP16" s="99"/>
      <c r="AR16" s="64"/>
      <c r="AS16" s="62"/>
      <c r="AT16" s="99"/>
      <c r="AV16" s="64"/>
      <c r="AW16" s="62"/>
      <c r="AX16" s="99"/>
      <c r="AZ16" s="64"/>
      <c r="BA16" s="62"/>
      <c r="BB16" s="99"/>
      <c r="BD16" s="64"/>
      <c r="BE16" s="62"/>
      <c r="BF16" s="63"/>
      <c r="BH16" s="64" t="s">
        <v>47</v>
      </c>
      <c r="BI16" s="62"/>
      <c r="BJ16" s="99">
        <f>R19</f>
        <v>66125</v>
      </c>
      <c r="BO16" s="116"/>
      <c r="BQ16" s="120" t="s">
        <v>207</v>
      </c>
      <c r="BR16">
        <v>450.22185216894979</v>
      </c>
      <c r="BS16" s="122">
        <f>(BR16*30)</f>
        <v>13506.655565068493</v>
      </c>
    </row>
    <row r="17" spans="1:71" x14ac:dyDescent="0.3">
      <c r="A17" s="25" t="s">
        <v>65</v>
      </c>
      <c r="B17" s="72"/>
      <c r="C17" s="72">
        <f>Calculations!B60</f>
        <v>110000</v>
      </c>
      <c r="D17" s="26"/>
      <c r="F17" s="25" t="s">
        <v>65</v>
      </c>
      <c r="G17" s="72"/>
      <c r="H17" s="72">
        <f>Calculations!G60</f>
        <v>0</v>
      </c>
      <c r="I17" s="26"/>
      <c r="L17" s="64" t="s">
        <v>65</v>
      </c>
      <c r="M17" s="62"/>
      <c r="N17" s="99">
        <f>Calculations!B56</f>
        <v>70625</v>
      </c>
      <c r="P17" s="64" t="s">
        <v>65</v>
      </c>
      <c r="Q17" s="62"/>
      <c r="R17" s="99">
        <v>70625</v>
      </c>
      <c r="T17" s="64" t="s">
        <v>65</v>
      </c>
      <c r="U17" s="62"/>
      <c r="V17" s="99">
        <v>70625</v>
      </c>
      <c r="X17" s="64" t="s">
        <v>65</v>
      </c>
      <c r="Y17" s="62"/>
      <c r="Z17" s="99">
        <v>70625</v>
      </c>
      <c r="AB17" s="64" t="s">
        <v>65</v>
      </c>
      <c r="AC17" s="62"/>
      <c r="AD17" s="99">
        <v>70625</v>
      </c>
      <c r="AF17" s="64" t="s">
        <v>65</v>
      </c>
      <c r="AG17" s="62"/>
      <c r="AH17" s="99">
        <v>70625</v>
      </c>
      <c r="AJ17" s="64" t="s">
        <v>65</v>
      </c>
      <c r="AK17" s="62"/>
      <c r="AL17" s="99">
        <v>70625</v>
      </c>
      <c r="AN17" s="64" t="s">
        <v>65</v>
      </c>
      <c r="AO17" s="62"/>
      <c r="AP17" s="99">
        <v>70625</v>
      </c>
      <c r="AR17" s="64" t="s">
        <v>65</v>
      </c>
      <c r="AS17" s="62"/>
      <c r="AT17" s="99">
        <v>70625</v>
      </c>
      <c r="AV17" s="64" t="s">
        <v>65</v>
      </c>
      <c r="AW17" s="62"/>
      <c r="AX17" s="99">
        <v>70625</v>
      </c>
      <c r="AZ17" s="64" t="s">
        <v>65</v>
      </c>
      <c r="BA17" s="62"/>
      <c r="BB17" s="99">
        <v>70625</v>
      </c>
      <c r="BD17" s="64" t="s">
        <v>65</v>
      </c>
      <c r="BE17" s="62"/>
      <c r="BF17" s="99">
        <f>N17</f>
        <v>70625</v>
      </c>
      <c r="BH17" s="64"/>
      <c r="BI17" s="62"/>
      <c r="BJ17" s="63"/>
      <c r="BO17" s="116"/>
      <c r="BQ17" s="120" t="s">
        <v>208</v>
      </c>
      <c r="BR17">
        <v>464.1270119863014</v>
      </c>
      <c r="BS17" s="122">
        <f t="shared" si="2"/>
        <v>14387.937371575343</v>
      </c>
    </row>
    <row r="18" spans="1:71" x14ac:dyDescent="0.3">
      <c r="A18" s="25"/>
      <c r="B18" s="72"/>
      <c r="C18" s="72"/>
      <c r="D18" s="26"/>
      <c r="F18" s="25"/>
      <c r="G18" s="72"/>
      <c r="H18" s="72"/>
      <c r="I18" s="26"/>
      <c r="L18" s="64"/>
      <c r="M18" s="62"/>
      <c r="N18" s="99"/>
      <c r="P18" s="64"/>
      <c r="Q18" s="62"/>
      <c r="R18" s="99"/>
      <c r="T18" s="64"/>
      <c r="U18" s="62"/>
      <c r="V18" s="99"/>
      <c r="X18" s="64"/>
      <c r="Y18" s="62"/>
      <c r="Z18" s="99"/>
      <c r="AB18" s="64"/>
      <c r="AC18" s="62"/>
      <c r="AD18" s="99"/>
      <c r="AF18" s="64"/>
      <c r="AG18" s="62"/>
      <c r="AH18" s="99"/>
      <c r="AJ18" s="64"/>
      <c r="AK18" s="62"/>
      <c r="AL18" s="99"/>
      <c r="AN18" s="64"/>
      <c r="AO18" s="62"/>
      <c r="AP18" s="99"/>
      <c r="AR18" s="64"/>
      <c r="AS18" s="62"/>
      <c r="AT18" s="99"/>
      <c r="AV18" s="64"/>
      <c r="AW18" s="62"/>
      <c r="AX18" s="99"/>
      <c r="AZ18" s="64"/>
      <c r="BA18" s="62"/>
      <c r="BB18" s="99"/>
      <c r="BD18" s="64"/>
      <c r="BE18" s="62"/>
      <c r="BF18" s="63"/>
      <c r="BH18" s="64" t="s">
        <v>73</v>
      </c>
      <c r="BI18" s="62"/>
      <c r="BJ18" s="99">
        <f>R21</f>
        <v>82191.780821917797</v>
      </c>
      <c r="BO18" s="116"/>
      <c r="BR18" s="122" t="s">
        <v>111</v>
      </c>
      <c r="BS18" s="122">
        <f>SUM(BS6:BS17)</f>
        <v>156683.13814212332</v>
      </c>
    </row>
    <row r="19" spans="1:71" x14ac:dyDescent="0.3">
      <c r="A19" s="25" t="s">
        <v>47</v>
      </c>
      <c r="B19" s="72"/>
      <c r="C19" s="72">
        <f>Calculations!Q49+Calculations!Q50</f>
        <v>20750</v>
      </c>
      <c r="D19" s="26"/>
      <c r="F19" s="25" t="s">
        <v>47</v>
      </c>
      <c r="G19" s="72"/>
      <c r="H19" s="72">
        <f>Calculations!V49+Calculations!V50</f>
        <v>0</v>
      </c>
      <c r="I19" s="26"/>
      <c r="L19" s="64" t="s">
        <v>47</v>
      </c>
      <c r="M19" s="62"/>
      <c r="N19" s="63">
        <v>66125</v>
      </c>
      <c r="P19" s="64" t="s">
        <v>47</v>
      </c>
      <c r="Q19" s="62"/>
      <c r="R19" s="99">
        <v>66125</v>
      </c>
      <c r="T19" s="64" t="s">
        <v>47</v>
      </c>
      <c r="U19" s="62"/>
      <c r="V19" s="99">
        <v>66125</v>
      </c>
      <c r="X19" s="64" t="s">
        <v>47</v>
      </c>
      <c r="Y19" s="62"/>
      <c r="Z19" s="99">
        <v>66125</v>
      </c>
      <c r="AB19" s="64" t="s">
        <v>47</v>
      </c>
      <c r="AC19" s="62"/>
      <c r="AD19" s="99">
        <v>66125</v>
      </c>
      <c r="AF19" s="64" t="s">
        <v>47</v>
      </c>
      <c r="AG19" s="62"/>
      <c r="AH19" s="99">
        <v>66125</v>
      </c>
      <c r="AJ19" s="64" t="s">
        <v>47</v>
      </c>
      <c r="AK19" s="62"/>
      <c r="AL19" s="99">
        <v>66125</v>
      </c>
      <c r="AN19" s="64" t="s">
        <v>47</v>
      </c>
      <c r="AO19" s="62"/>
      <c r="AP19" s="99">
        <v>66125</v>
      </c>
      <c r="AR19" s="64" t="s">
        <v>47</v>
      </c>
      <c r="AS19" s="62"/>
      <c r="AT19" s="99">
        <v>66125</v>
      </c>
      <c r="AV19" s="64" t="s">
        <v>47</v>
      </c>
      <c r="AW19" s="62"/>
      <c r="AX19" s="99">
        <v>66125</v>
      </c>
      <c r="AZ19" s="64" t="s">
        <v>47</v>
      </c>
      <c r="BA19" s="62"/>
      <c r="BB19" s="99">
        <v>66125</v>
      </c>
      <c r="BD19" s="64" t="s">
        <v>47</v>
      </c>
      <c r="BE19" s="62"/>
      <c r="BF19" s="99">
        <f>N19</f>
        <v>66125</v>
      </c>
      <c r="BH19" s="64" t="s">
        <v>143</v>
      </c>
      <c r="BI19" s="62"/>
      <c r="BJ19" s="115">
        <f>SUM(BJ5:BJ18)</f>
        <v>386513.65582191781</v>
      </c>
      <c r="BR19" s="122" t="s">
        <v>216</v>
      </c>
      <c r="BS19" s="109">
        <f>(BS18/1000)</f>
        <v>156.68313814212331</v>
      </c>
    </row>
    <row r="20" spans="1:71" x14ac:dyDescent="0.3">
      <c r="A20" s="25"/>
      <c r="B20" s="72"/>
      <c r="C20" s="72"/>
      <c r="D20" s="26"/>
      <c r="F20" s="25"/>
      <c r="G20" s="72"/>
      <c r="H20" s="72"/>
      <c r="I20" s="26"/>
      <c r="L20" s="64"/>
      <c r="M20" s="62"/>
      <c r="N20" s="99"/>
      <c r="P20" s="64"/>
      <c r="Q20" s="62"/>
      <c r="R20" s="99"/>
      <c r="T20" s="64"/>
      <c r="U20" s="62"/>
      <c r="V20" s="99"/>
      <c r="X20" s="64"/>
      <c r="Y20" s="62"/>
      <c r="Z20" s="99"/>
      <c r="AB20" s="64"/>
      <c r="AC20" s="62"/>
      <c r="AD20" s="99"/>
      <c r="AF20" s="64"/>
      <c r="AG20" s="62"/>
      <c r="AH20" s="99"/>
      <c r="AJ20" s="64"/>
      <c r="AK20" s="62"/>
      <c r="AL20" s="99"/>
      <c r="AN20" s="64"/>
      <c r="AO20" s="62"/>
      <c r="AP20" s="99"/>
      <c r="AR20" s="64"/>
      <c r="AS20" s="62"/>
      <c r="AT20" s="99"/>
      <c r="AV20" s="64"/>
      <c r="AW20" s="62"/>
      <c r="AX20" s="99"/>
      <c r="AZ20" s="64"/>
      <c r="BA20" s="62"/>
      <c r="BB20" s="99"/>
      <c r="BD20" s="64"/>
      <c r="BE20" s="62"/>
      <c r="BF20" s="63"/>
      <c r="BH20" s="64" t="s">
        <v>144</v>
      </c>
      <c r="BI20" s="62"/>
      <c r="BJ20" s="62">
        <f>SUM(BL8:BL9)</f>
        <v>418723.12714041094</v>
      </c>
    </row>
    <row r="21" spans="1:71" x14ac:dyDescent="0.3">
      <c r="A21" s="25" t="s">
        <v>73</v>
      </c>
      <c r="B21" s="72"/>
      <c r="C21" s="73">
        <f>Calculations!B67</f>
        <v>3424.6575342465753</v>
      </c>
      <c r="D21" s="26"/>
      <c r="F21" s="25" t="s">
        <v>73</v>
      </c>
      <c r="G21" s="72"/>
      <c r="H21" s="73">
        <f>Calculations!B67</f>
        <v>3424.6575342465753</v>
      </c>
      <c r="I21" s="26"/>
      <c r="L21" s="64" t="s">
        <v>73</v>
      </c>
      <c r="M21" s="62"/>
      <c r="N21" s="99">
        <f>Calculations!B64</f>
        <v>82191.780821917797</v>
      </c>
      <c r="P21" s="64" t="s">
        <v>73</v>
      </c>
      <c r="Q21" s="62"/>
      <c r="R21" s="99">
        <v>82191.780821917797</v>
      </c>
      <c r="T21" s="64" t="s">
        <v>73</v>
      </c>
      <c r="U21" s="62"/>
      <c r="V21" s="99">
        <v>82191.780821917797</v>
      </c>
      <c r="X21" s="64" t="s">
        <v>73</v>
      </c>
      <c r="Y21" s="62"/>
      <c r="Z21" s="99">
        <v>82191.780821917797</v>
      </c>
      <c r="AB21" s="64" t="s">
        <v>73</v>
      </c>
      <c r="AC21" s="62"/>
      <c r="AD21" s="99">
        <v>82191.780821917797</v>
      </c>
      <c r="AF21" s="64" t="s">
        <v>73</v>
      </c>
      <c r="AG21" s="62"/>
      <c r="AH21" s="99">
        <v>82191.780821917797</v>
      </c>
      <c r="AJ21" s="64" t="s">
        <v>73</v>
      </c>
      <c r="AK21" s="62"/>
      <c r="AL21" s="99">
        <v>82191.780821917797</v>
      </c>
      <c r="AN21" s="64" t="s">
        <v>73</v>
      </c>
      <c r="AO21" s="62"/>
      <c r="AP21" s="99">
        <v>82191.780821917797</v>
      </c>
      <c r="AR21" s="64" t="s">
        <v>73</v>
      </c>
      <c r="AS21" s="62"/>
      <c r="AT21" s="99">
        <v>82191.780821917797</v>
      </c>
      <c r="AV21" s="64" t="s">
        <v>73</v>
      </c>
      <c r="AW21" s="62"/>
      <c r="AX21" s="99">
        <v>82191.780821917797</v>
      </c>
      <c r="AZ21" s="64" t="s">
        <v>73</v>
      </c>
      <c r="BA21" s="62"/>
      <c r="BB21" s="99">
        <v>82191.780821917797</v>
      </c>
      <c r="BD21" s="64" t="s">
        <v>73</v>
      </c>
      <c r="BE21" s="62"/>
      <c r="BF21" s="99">
        <f>N21</f>
        <v>82191.780821917797</v>
      </c>
      <c r="BH21" s="64" t="s">
        <v>62</v>
      </c>
      <c r="BI21" s="62"/>
      <c r="BJ21" s="62">
        <f>SUM(BM8:BM9)</f>
        <v>10350</v>
      </c>
    </row>
    <row r="22" spans="1:71" x14ac:dyDescent="0.3">
      <c r="A22" s="25"/>
      <c r="B22" s="72"/>
      <c r="C22" s="72"/>
      <c r="D22" s="26"/>
      <c r="F22" s="25"/>
      <c r="G22" s="72"/>
      <c r="H22" s="72"/>
      <c r="I22" s="26"/>
      <c r="L22" s="64"/>
      <c r="M22" s="62"/>
      <c r="N22" s="63"/>
      <c r="P22" s="64"/>
      <c r="Q22" s="62"/>
      <c r="R22" s="99">
        <f>SUM(R5:R21)</f>
        <v>450221.85216894979</v>
      </c>
      <c r="T22" s="64"/>
      <c r="U22" s="62"/>
      <c r="V22" s="63"/>
      <c r="X22" s="64"/>
      <c r="Y22" s="62"/>
      <c r="Z22" s="63"/>
      <c r="AB22" s="64"/>
      <c r="AC22" s="62"/>
      <c r="AD22" s="63"/>
      <c r="AF22" s="64"/>
      <c r="AG22" s="62"/>
      <c r="AH22" s="63"/>
      <c r="AJ22" s="64"/>
      <c r="AK22" s="62"/>
      <c r="AL22" s="63"/>
      <c r="AN22" s="64"/>
      <c r="AO22" s="62"/>
      <c r="AP22" s="63"/>
      <c r="AR22" s="64"/>
      <c r="AS22" s="62"/>
      <c r="AT22" s="63"/>
      <c r="AV22" s="64"/>
      <c r="AW22" s="62"/>
      <c r="AX22" s="63"/>
      <c r="AZ22" s="64"/>
      <c r="BA22" s="62"/>
      <c r="BB22" s="63"/>
      <c r="BD22" s="64"/>
      <c r="BE22" s="62"/>
      <c r="BF22" s="63"/>
      <c r="BH22" s="64" t="s">
        <v>63</v>
      </c>
      <c r="BI22" s="62"/>
      <c r="BJ22" s="62">
        <f>SUM(BN8:BN9)</f>
        <v>78838.470319634682</v>
      </c>
    </row>
    <row r="23" spans="1:71" ht="21.6" thickBot="1" x14ac:dyDescent="0.45">
      <c r="A23" s="74" t="s">
        <v>68</v>
      </c>
      <c r="B23" s="75"/>
      <c r="C23" s="76">
        <f>SUM(C5:C21)/1000</f>
        <v>169.63783961187212</v>
      </c>
      <c r="D23" s="77"/>
      <c r="F23" s="74" t="s">
        <v>68</v>
      </c>
      <c r="G23" s="75"/>
      <c r="H23" s="76">
        <f>SUM(H5:H21)/1000</f>
        <v>7.3934075342465748</v>
      </c>
      <c r="I23" s="77"/>
      <c r="L23" s="96" t="s">
        <v>80</v>
      </c>
      <c r="M23" s="97"/>
      <c r="N23" s="100">
        <f>SUM(N5:N21)/1000</f>
        <v>464.1270119863014</v>
      </c>
      <c r="P23" s="96" t="s">
        <v>80</v>
      </c>
      <c r="Q23" s="97"/>
      <c r="R23" s="100">
        <f>SUM(R5:R21)/1000</f>
        <v>450.22185216894979</v>
      </c>
      <c r="T23" s="96" t="s">
        <v>80</v>
      </c>
      <c r="U23" s="97"/>
      <c r="V23" s="100">
        <f>SUM(V5:V21)/1000</f>
        <v>436.31669235159819</v>
      </c>
      <c r="X23" s="96" t="s">
        <v>80</v>
      </c>
      <c r="Y23" s="97"/>
      <c r="Z23" s="100">
        <f>SUM(Z5:Z21)/1000</f>
        <v>422.41153253424659</v>
      </c>
      <c r="AB23" s="96" t="s">
        <v>80</v>
      </c>
      <c r="AC23" s="97"/>
      <c r="AD23" s="100">
        <f>SUM(AD5:AD21)/1000</f>
        <v>408.50637271689493</v>
      </c>
      <c r="AF23" s="96" t="s">
        <v>80</v>
      </c>
      <c r="AG23" s="97"/>
      <c r="AH23" s="100">
        <f>SUM(AH5:AH21)/1000</f>
        <v>394.60121289954333</v>
      </c>
      <c r="AJ23" s="96" t="s">
        <v>80</v>
      </c>
      <c r="AK23" s="97"/>
      <c r="AL23" s="100">
        <f>SUM(AL5:AL21)/1000</f>
        <v>394.60121289954333</v>
      </c>
      <c r="AN23" s="96" t="s">
        <v>80</v>
      </c>
      <c r="AO23" s="97"/>
      <c r="AP23" s="100">
        <f>SUM(AP5:AP21)/1000</f>
        <v>408.50637271689493</v>
      </c>
      <c r="AR23" s="96" t="s">
        <v>80</v>
      </c>
      <c r="AS23" s="97"/>
      <c r="AT23" s="100">
        <f>SUM(AT5:AT21)/1000</f>
        <v>422.41153253424659</v>
      </c>
      <c r="AV23" s="96" t="s">
        <v>80</v>
      </c>
      <c r="AW23" s="97"/>
      <c r="AX23" s="100">
        <f>SUM(AX5:AX21)/1000</f>
        <v>436.31669235159819</v>
      </c>
      <c r="AZ23" s="96" t="s">
        <v>80</v>
      </c>
      <c r="BA23" s="97"/>
      <c r="BB23" s="100">
        <f>SUM(BB5:BB21)/1000</f>
        <v>450.22185216894979</v>
      </c>
      <c r="BD23" s="96" t="s">
        <v>80</v>
      </c>
      <c r="BE23" s="97"/>
      <c r="BF23" s="100">
        <f>SUM(BF5:BF21)/1000</f>
        <v>464.1270119863014</v>
      </c>
      <c r="BH23" s="64"/>
      <c r="BI23" s="62"/>
      <c r="BJ23" s="63"/>
    </row>
    <row r="24" spans="1:71" x14ac:dyDescent="0.3">
      <c r="BH24" s="62"/>
      <c r="BI24" s="62"/>
      <c r="BJ24" s="62"/>
    </row>
    <row r="25" spans="1:71" x14ac:dyDescent="0.3">
      <c r="BH25" s="62"/>
      <c r="BI25" s="62"/>
      <c r="BJ25" s="62"/>
    </row>
    <row r="26" spans="1:71" x14ac:dyDescent="0.3">
      <c r="BH26" s="64"/>
      <c r="BI26" s="62"/>
      <c r="BJ26" s="63"/>
    </row>
    <row r="27" spans="1:71" ht="21.6" thickBot="1" x14ac:dyDescent="0.45">
      <c r="V27">
        <v>1150</v>
      </c>
      <c r="X27" s="105">
        <f>(BF14)</f>
        <v>8050</v>
      </c>
      <c r="AM27" s="113" t="s">
        <v>180</v>
      </c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H27" s="96" t="s">
        <v>80</v>
      </c>
      <c r="BI27" s="97"/>
      <c r="BJ27" s="100">
        <f>SUM(BJ20:BJ22)/1000</f>
        <v>507.91159746004558</v>
      </c>
    </row>
    <row r="28" spans="1:71" x14ac:dyDescent="0.3">
      <c r="V28">
        <f>(V27*0.4)</f>
        <v>460</v>
      </c>
      <c r="X28">
        <f>(X27/24)</f>
        <v>335.41666666666669</v>
      </c>
      <c r="AM28" s="33" t="s">
        <v>146</v>
      </c>
      <c r="AN28" s="41" t="s">
        <v>147</v>
      </c>
      <c r="AO28" s="41" t="s">
        <v>148</v>
      </c>
      <c r="AP28" s="41" t="s">
        <v>149</v>
      </c>
      <c r="AQ28" s="41" t="s">
        <v>150</v>
      </c>
      <c r="AR28" s="41" t="s">
        <v>151</v>
      </c>
      <c r="AS28" s="41" t="s">
        <v>152</v>
      </c>
      <c r="AT28" s="41" t="s">
        <v>153</v>
      </c>
      <c r="AU28" s="41" t="s">
        <v>154</v>
      </c>
      <c r="AV28" s="41" t="s">
        <v>155</v>
      </c>
      <c r="AW28" s="41" t="s">
        <v>157</v>
      </c>
      <c r="AX28" s="41" t="s">
        <v>156</v>
      </c>
      <c r="AY28" s="41" t="s">
        <v>158</v>
      </c>
      <c r="AZ28" s="41" t="s">
        <v>159</v>
      </c>
      <c r="BA28" s="41" t="s">
        <v>160</v>
      </c>
      <c r="BB28" s="41" t="s">
        <v>161</v>
      </c>
      <c r="BC28" s="41" t="s">
        <v>163</v>
      </c>
      <c r="BD28" s="108" t="s">
        <v>176</v>
      </c>
      <c r="BE28" s="108" t="s">
        <v>179</v>
      </c>
    </row>
    <row r="29" spans="1:71" x14ac:dyDescent="0.3">
      <c r="V29">
        <f>SUM(V27:V28)</f>
        <v>1610</v>
      </c>
      <c r="X29">
        <f>(X28*0.4)</f>
        <v>134.16666666666669</v>
      </c>
      <c r="AM29" s="33" t="s">
        <v>145</v>
      </c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108"/>
      <c r="BE29" s="108"/>
    </row>
    <row r="30" spans="1:71" x14ac:dyDescent="0.3">
      <c r="V30">
        <f>(V29*5)</f>
        <v>8050</v>
      </c>
      <c r="X30">
        <f>SUM(X28:X29)</f>
        <v>469.58333333333337</v>
      </c>
      <c r="AM30" s="114">
        <v>6</v>
      </c>
      <c r="AN30" s="112">
        <f>(AP$5/24)</f>
        <v>4941.40625</v>
      </c>
      <c r="AO30" s="112">
        <v>0</v>
      </c>
      <c r="AP30" s="112">
        <v>0</v>
      </c>
      <c r="AQ30" s="112">
        <v>0</v>
      </c>
      <c r="AR30" s="112">
        <v>15.625</v>
      </c>
      <c r="AS30" s="112">
        <v>500</v>
      </c>
      <c r="AT30" s="112">
        <v>335</v>
      </c>
      <c r="AU30" s="112">
        <v>0</v>
      </c>
      <c r="AV30" s="112">
        <v>0</v>
      </c>
      <c r="AW30" s="112">
        <v>0</v>
      </c>
      <c r="AX30" s="112">
        <f>(AP$21/24)</f>
        <v>3424.6575342465749</v>
      </c>
      <c r="AY30" s="112">
        <v>0</v>
      </c>
      <c r="AZ30" s="112">
        <f>(15000*0.033)</f>
        <v>495</v>
      </c>
      <c r="BA30" s="112">
        <v>0</v>
      </c>
      <c r="BB30" s="112">
        <f>(1250/5)</f>
        <v>250</v>
      </c>
      <c r="BC30" s="112">
        <v>0</v>
      </c>
      <c r="BD30" s="108">
        <f t="shared" ref="BD30:BD35" si="3">SUM(AN30:BC30)</f>
        <v>9961.6887842465749</v>
      </c>
      <c r="BE30" s="108">
        <f>(BD30/1000)</f>
        <v>9.961688784246574</v>
      </c>
    </row>
    <row r="31" spans="1:71" x14ac:dyDescent="0.3">
      <c r="T31" s="105"/>
      <c r="V31">
        <f>(V27*2)</f>
        <v>2300</v>
      </c>
      <c r="X31">
        <f>(X30*5)</f>
        <v>2347.916666666667</v>
      </c>
      <c r="AM31" s="114">
        <v>7</v>
      </c>
      <c r="AN31" s="112">
        <f t="shared" ref="AN31:AN53" si="4">(AP$5/24)</f>
        <v>4941.40625</v>
      </c>
      <c r="AO31" s="112">
        <v>0</v>
      </c>
      <c r="AP31" s="112">
        <v>0</v>
      </c>
      <c r="AQ31" s="112">
        <v>0</v>
      </c>
      <c r="AR31" s="112">
        <v>15.625</v>
      </c>
      <c r="AS31" s="112">
        <v>500</v>
      </c>
      <c r="AT31" s="112">
        <v>0</v>
      </c>
      <c r="AU31" s="112">
        <v>0</v>
      </c>
      <c r="AV31" s="112">
        <v>0</v>
      </c>
      <c r="AW31" s="112">
        <v>0</v>
      </c>
      <c r="AX31" s="112">
        <f t="shared" ref="AX31:AX53" si="5">(AP$21/24)</f>
        <v>3424.6575342465749</v>
      </c>
      <c r="AY31" s="112">
        <f>(47500/3)</f>
        <v>15833.333333333334</v>
      </c>
      <c r="AZ31" s="112">
        <v>0</v>
      </c>
      <c r="BA31" s="112">
        <f>(2875/3)</f>
        <v>958.33333333333337</v>
      </c>
      <c r="BB31" s="112">
        <v>0</v>
      </c>
      <c r="BC31" s="112">
        <v>0</v>
      </c>
      <c r="BD31" s="108">
        <f t="shared" si="3"/>
        <v>25673.355450913241</v>
      </c>
      <c r="BE31" s="108">
        <f t="shared" ref="BE31:BE54" si="6">(BD31/1000)</f>
        <v>25.673355450913242</v>
      </c>
    </row>
    <row r="32" spans="1:71" x14ac:dyDescent="0.3">
      <c r="T32" s="105"/>
      <c r="V32">
        <f>SUM(V30:V31)</f>
        <v>10350</v>
      </c>
      <c r="X32">
        <f>(X28*19)</f>
        <v>6372.916666666667</v>
      </c>
      <c r="AM32" s="114">
        <v>8</v>
      </c>
      <c r="AN32" s="112">
        <f t="shared" si="4"/>
        <v>4941.40625</v>
      </c>
      <c r="AO32" s="112">
        <v>0</v>
      </c>
      <c r="AP32" s="112">
        <v>0</v>
      </c>
      <c r="AQ32" s="112">
        <v>0</v>
      </c>
      <c r="AR32" s="112">
        <v>15.625</v>
      </c>
      <c r="AS32" s="112">
        <v>500</v>
      </c>
      <c r="AT32" s="112">
        <v>0</v>
      </c>
      <c r="AU32" s="112">
        <v>0</v>
      </c>
      <c r="AV32" s="112">
        <v>0</v>
      </c>
      <c r="AW32" s="112">
        <f>(10000/4)</f>
        <v>2500</v>
      </c>
      <c r="AX32" s="112">
        <f t="shared" si="5"/>
        <v>3424.6575342465749</v>
      </c>
      <c r="AY32" s="112">
        <v>0</v>
      </c>
      <c r="AZ32" s="112">
        <f>(15000*0.033)</f>
        <v>495</v>
      </c>
      <c r="BA32" s="112">
        <v>0</v>
      </c>
      <c r="BB32" s="112">
        <v>0</v>
      </c>
      <c r="BC32" s="112">
        <v>0</v>
      </c>
      <c r="BD32" s="108">
        <f t="shared" si="3"/>
        <v>11876.688784246575</v>
      </c>
      <c r="BE32" s="108">
        <f t="shared" si="6"/>
        <v>11.876688784246575</v>
      </c>
    </row>
    <row r="33" spans="24:57" x14ac:dyDescent="0.3">
      <c r="X33">
        <f>SUM(X31:X32)</f>
        <v>8720.8333333333339</v>
      </c>
      <c r="AM33" s="114">
        <v>9</v>
      </c>
      <c r="AN33" s="112">
        <f t="shared" si="4"/>
        <v>4941.40625</v>
      </c>
      <c r="AO33" s="112">
        <v>0</v>
      </c>
      <c r="AP33" s="112">
        <v>0</v>
      </c>
      <c r="AQ33" s="112">
        <v>0</v>
      </c>
      <c r="AR33" s="112">
        <v>15.625</v>
      </c>
      <c r="AS33" s="112">
        <v>500</v>
      </c>
      <c r="AT33" s="112">
        <v>335</v>
      </c>
      <c r="AU33" s="112">
        <v>0</v>
      </c>
      <c r="AV33" s="112">
        <v>0</v>
      </c>
      <c r="AW33" s="112">
        <f>(10000/4)</f>
        <v>2500</v>
      </c>
      <c r="AX33" s="112">
        <f t="shared" si="5"/>
        <v>3424.6575342465749</v>
      </c>
      <c r="AY33" s="112">
        <v>0</v>
      </c>
      <c r="AZ33" s="112">
        <v>0</v>
      </c>
      <c r="BA33" s="112">
        <v>0</v>
      </c>
      <c r="BB33" s="112">
        <v>250</v>
      </c>
      <c r="BC33" s="112">
        <v>0</v>
      </c>
      <c r="BD33" s="108">
        <f t="shared" si="3"/>
        <v>11966.688784246575</v>
      </c>
      <c r="BE33" s="108">
        <f t="shared" si="6"/>
        <v>11.966688784246575</v>
      </c>
    </row>
    <row r="34" spans="24:57" x14ac:dyDescent="0.3">
      <c r="AM34" s="114">
        <v>10</v>
      </c>
      <c r="AN34" s="112">
        <f t="shared" si="4"/>
        <v>4941.40625</v>
      </c>
      <c r="AO34" s="112">
        <v>7187.5</v>
      </c>
      <c r="AP34" s="112">
        <v>0</v>
      </c>
      <c r="AQ34" s="112">
        <f>(7187.5/2)</f>
        <v>3593.75</v>
      </c>
      <c r="AR34" s="112">
        <v>15.625</v>
      </c>
      <c r="AS34" s="112">
        <v>500</v>
      </c>
      <c r="AT34" s="112">
        <v>0</v>
      </c>
      <c r="AU34" s="112">
        <v>0</v>
      </c>
      <c r="AV34" s="112">
        <v>1150</v>
      </c>
      <c r="AW34" s="112">
        <v>0</v>
      </c>
      <c r="AX34" s="112">
        <f t="shared" si="5"/>
        <v>3424.6575342465749</v>
      </c>
      <c r="AY34" s="112">
        <v>0</v>
      </c>
      <c r="AZ34" s="112">
        <v>495</v>
      </c>
      <c r="BA34" s="112">
        <v>0</v>
      </c>
      <c r="BB34" s="112">
        <v>0</v>
      </c>
      <c r="BC34" s="112">
        <v>0</v>
      </c>
      <c r="BD34" s="108">
        <f t="shared" si="3"/>
        <v>21307.938784246573</v>
      </c>
      <c r="BE34" s="108">
        <f t="shared" si="6"/>
        <v>21.307938784246574</v>
      </c>
    </row>
    <row r="35" spans="24:57" x14ac:dyDescent="0.3">
      <c r="AM35" s="114">
        <v>11</v>
      </c>
      <c r="AN35" s="112">
        <f t="shared" si="4"/>
        <v>4941.40625</v>
      </c>
      <c r="AO35" s="112">
        <v>0</v>
      </c>
      <c r="AP35" s="112">
        <f>(AP$7/2)</f>
        <v>10781.25</v>
      </c>
      <c r="AQ35" s="112">
        <f>(7187.5/2)</f>
        <v>3593.75</v>
      </c>
      <c r="AR35" s="112">
        <v>15.625</v>
      </c>
      <c r="AS35" s="112">
        <v>0</v>
      </c>
      <c r="AT35" s="112">
        <v>0</v>
      </c>
      <c r="AU35" s="112">
        <v>0</v>
      </c>
      <c r="AV35" s="112">
        <v>1150</v>
      </c>
      <c r="AW35" s="112">
        <v>0</v>
      </c>
      <c r="AX35" s="112">
        <f t="shared" si="5"/>
        <v>3424.6575342465749</v>
      </c>
      <c r="AY35" s="112">
        <v>0</v>
      </c>
      <c r="AZ35" s="112">
        <v>0</v>
      </c>
      <c r="BA35" s="112">
        <v>0</v>
      </c>
      <c r="BB35" s="112">
        <v>0</v>
      </c>
      <c r="BC35" s="112"/>
      <c r="BD35" s="108">
        <f t="shared" si="3"/>
        <v>23906.688784246573</v>
      </c>
      <c r="BE35" s="108">
        <f t="shared" si="6"/>
        <v>23.906688784246573</v>
      </c>
    </row>
    <row r="36" spans="24:57" x14ac:dyDescent="0.3">
      <c r="AM36" s="114">
        <v>12</v>
      </c>
      <c r="AN36" s="112">
        <f t="shared" si="4"/>
        <v>4941.40625</v>
      </c>
      <c r="AO36" s="112">
        <v>0</v>
      </c>
      <c r="AP36" s="112">
        <v>0</v>
      </c>
      <c r="AQ36" s="112">
        <v>0</v>
      </c>
      <c r="AR36" s="112">
        <v>15.625</v>
      </c>
      <c r="AS36" s="112">
        <v>0</v>
      </c>
      <c r="AT36" s="112">
        <v>0</v>
      </c>
      <c r="AU36" s="112">
        <v>0</v>
      </c>
      <c r="AV36" s="112">
        <v>1150</v>
      </c>
      <c r="AW36" s="112">
        <v>0</v>
      </c>
      <c r="AX36" s="112">
        <f t="shared" si="5"/>
        <v>3424.6575342465749</v>
      </c>
      <c r="AY36" s="112">
        <v>0</v>
      </c>
      <c r="AZ36" s="112">
        <v>0</v>
      </c>
      <c r="BA36" s="112">
        <v>0</v>
      </c>
      <c r="BB36" s="112">
        <v>0</v>
      </c>
      <c r="BC36" s="112">
        <f>(AX$17/3)</f>
        <v>23541.666666666668</v>
      </c>
      <c r="BD36" s="108">
        <f t="shared" ref="BD36:BD53" si="7">SUM(AN36:BC36)</f>
        <v>33073.355450913245</v>
      </c>
      <c r="BE36" s="33">
        <f>(BD36/1000)</f>
        <v>33.073355450913247</v>
      </c>
    </row>
    <row r="37" spans="24:57" x14ac:dyDescent="0.3">
      <c r="AM37" s="114" t="s">
        <v>164</v>
      </c>
      <c r="AN37" s="112">
        <f t="shared" si="4"/>
        <v>4941.40625</v>
      </c>
      <c r="AO37" s="112">
        <v>0</v>
      </c>
      <c r="AP37" s="112">
        <v>0</v>
      </c>
      <c r="AQ37" s="112">
        <v>0</v>
      </c>
      <c r="AR37" s="112">
        <v>15.625</v>
      </c>
      <c r="AS37" s="112">
        <v>0</v>
      </c>
      <c r="AT37" s="112">
        <v>0</v>
      </c>
      <c r="AU37" s="112">
        <v>0</v>
      </c>
      <c r="AV37" s="112">
        <v>0</v>
      </c>
      <c r="AW37" s="112">
        <v>0</v>
      </c>
      <c r="AX37" s="112">
        <f t="shared" si="5"/>
        <v>3424.6575342465749</v>
      </c>
      <c r="AY37" s="112">
        <v>0</v>
      </c>
      <c r="AZ37" s="112">
        <v>0</v>
      </c>
      <c r="BA37" s="112">
        <v>0</v>
      </c>
      <c r="BB37" s="112">
        <v>0</v>
      </c>
      <c r="BC37" s="112">
        <f>(AX$17/3)</f>
        <v>23541.666666666668</v>
      </c>
      <c r="BD37" s="108">
        <f>SUM(AN37:BC37)</f>
        <v>31923.355450913245</v>
      </c>
      <c r="BE37" s="108">
        <f t="shared" si="6"/>
        <v>31.923355450913245</v>
      </c>
    </row>
    <row r="38" spans="24:57" x14ac:dyDescent="0.3">
      <c r="AM38" s="114" t="s">
        <v>165</v>
      </c>
      <c r="AN38" s="112">
        <f t="shared" si="4"/>
        <v>4941.40625</v>
      </c>
      <c r="AO38" s="112">
        <v>0</v>
      </c>
      <c r="AP38" s="112">
        <v>0</v>
      </c>
      <c r="AQ38" s="112">
        <v>0</v>
      </c>
      <c r="AR38" s="112">
        <v>15.625</v>
      </c>
      <c r="AS38" s="112">
        <v>0</v>
      </c>
      <c r="AT38" s="112">
        <v>0</v>
      </c>
      <c r="AU38" s="112">
        <v>0</v>
      </c>
      <c r="AV38" s="112">
        <v>0</v>
      </c>
      <c r="AW38" s="112">
        <v>0</v>
      </c>
      <c r="AX38" s="112">
        <f t="shared" si="5"/>
        <v>3424.6575342465749</v>
      </c>
      <c r="AY38" s="112">
        <v>0</v>
      </c>
      <c r="AZ38" s="112">
        <v>0</v>
      </c>
      <c r="BA38" s="112">
        <v>0</v>
      </c>
      <c r="BB38" s="112">
        <v>0</v>
      </c>
      <c r="BC38" s="112">
        <v>0</v>
      </c>
      <c r="BD38" s="108">
        <f t="shared" si="7"/>
        <v>8381.6887842465749</v>
      </c>
      <c r="BE38" s="108">
        <f t="shared" si="6"/>
        <v>8.3816887842465757</v>
      </c>
    </row>
    <row r="39" spans="24:57" x14ac:dyDescent="0.3">
      <c r="AM39" s="114" t="s">
        <v>166</v>
      </c>
      <c r="AN39" s="112">
        <f t="shared" si="4"/>
        <v>4941.40625</v>
      </c>
      <c r="AO39" s="112">
        <v>0</v>
      </c>
      <c r="AP39" s="112">
        <v>0</v>
      </c>
      <c r="AQ39" s="112">
        <v>0</v>
      </c>
      <c r="AR39" s="112">
        <v>15.625</v>
      </c>
      <c r="AS39" s="112">
        <v>0</v>
      </c>
      <c r="AT39" s="112">
        <v>0</v>
      </c>
      <c r="AU39" s="112">
        <v>0</v>
      </c>
      <c r="AV39" s="112">
        <v>0</v>
      </c>
      <c r="AW39" s="112">
        <v>0</v>
      </c>
      <c r="AX39" s="112">
        <f t="shared" si="5"/>
        <v>3424.6575342465749</v>
      </c>
      <c r="AY39" s="112">
        <v>0</v>
      </c>
      <c r="AZ39" s="112">
        <v>0</v>
      </c>
      <c r="BA39" s="112">
        <v>0</v>
      </c>
      <c r="BB39" s="112">
        <v>0</v>
      </c>
      <c r="BC39" s="112">
        <v>0</v>
      </c>
      <c r="BD39" s="108">
        <f t="shared" si="7"/>
        <v>8381.6887842465749</v>
      </c>
      <c r="BE39" s="108">
        <f t="shared" si="6"/>
        <v>8.3816887842465757</v>
      </c>
    </row>
    <row r="40" spans="24:57" x14ac:dyDescent="0.3">
      <c r="AM40" s="114" t="s">
        <v>167</v>
      </c>
      <c r="AN40" s="112">
        <f t="shared" si="4"/>
        <v>4941.40625</v>
      </c>
      <c r="AO40" s="112">
        <v>0</v>
      </c>
      <c r="AP40" s="112">
        <v>0</v>
      </c>
      <c r="AQ40" s="112">
        <v>0</v>
      </c>
      <c r="AR40" s="112">
        <v>15.625</v>
      </c>
      <c r="AS40" s="112">
        <v>0</v>
      </c>
      <c r="AT40" s="112">
        <v>0</v>
      </c>
      <c r="AU40" s="112">
        <v>4637.5600000000004</v>
      </c>
      <c r="AV40" s="112">
        <v>0</v>
      </c>
      <c r="AW40" s="112">
        <v>0</v>
      </c>
      <c r="AX40" s="112">
        <f t="shared" si="5"/>
        <v>3424.6575342465749</v>
      </c>
      <c r="AY40" s="112">
        <v>0</v>
      </c>
      <c r="AZ40" s="112">
        <v>0</v>
      </c>
      <c r="BA40" s="112">
        <v>0</v>
      </c>
      <c r="BB40" s="112">
        <v>0</v>
      </c>
      <c r="BC40" s="112">
        <v>0</v>
      </c>
      <c r="BD40" s="108">
        <f t="shared" si="7"/>
        <v>13019.248784246576</v>
      </c>
      <c r="BE40" s="108">
        <f t="shared" si="6"/>
        <v>13.019248784246576</v>
      </c>
    </row>
    <row r="41" spans="24:57" x14ac:dyDescent="0.3">
      <c r="AM41" s="114" t="s">
        <v>168</v>
      </c>
      <c r="AN41" s="112">
        <f t="shared" si="4"/>
        <v>4941.40625</v>
      </c>
      <c r="AO41" s="112">
        <v>0</v>
      </c>
      <c r="AP41" s="112">
        <v>0</v>
      </c>
      <c r="AQ41" s="112">
        <v>0</v>
      </c>
      <c r="AR41" s="112">
        <v>15.625</v>
      </c>
      <c r="AS41" s="112">
        <v>0</v>
      </c>
      <c r="AT41" s="112">
        <v>0</v>
      </c>
      <c r="AU41" s="112">
        <v>0</v>
      </c>
      <c r="AV41" s="112">
        <v>0</v>
      </c>
      <c r="AW41" s="112">
        <v>0</v>
      </c>
      <c r="AX41" s="112">
        <f t="shared" si="5"/>
        <v>3424.6575342465749</v>
      </c>
      <c r="AY41" s="112">
        <v>0</v>
      </c>
      <c r="AZ41" s="112">
        <f>(15000*0.033)</f>
        <v>495</v>
      </c>
      <c r="BA41" s="112">
        <v>0</v>
      </c>
      <c r="BB41" s="112">
        <v>0</v>
      </c>
      <c r="BC41" s="112">
        <v>0</v>
      </c>
      <c r="BD41" s="108">
        <f t="shared" si="7"/>
        <v>8876.6887842465749</v>
      </c>
      <c r="BE41" s="108">
        <f t="shared" si="6"/>
        <v>8.8766887842465749</v>
      </c>
    </row>
    <row r="42" spans="24:57" x14ac:dyDescent="0.3">
      <c r="AM42" s="114" t="s">
        <v>169</v>
      </c>
      <c r="AN42" s="112">
        <f t="shared" si="4"/>
        <v>4941.40625</v>
      </c>
      <c r="AO42" s="112">
        <v>7187.5</v>
      </c>
      <c r="AP42" s="112">
        <v>0</v>
      </c>
      <c r="AQ42" s="112">
        <v>0</v>
      </c>
      <c r="AR42" s="112">
        <v>15.625</v>
      </c>
      <c r="AS42" s="112">
        <v>0</v>
      </c>
      <c r="AT42" s="112">
        <v>0</v>
      </c>
      <c r="AU42" s="112">
        <v>0</v>
      </c>
      <c r="AV42" s="112">
        <v>0</v>
      </c>
      <c r="AW42" s="112">
        <v>0</v>
      </c>
      <c r="AX42" s="112">
        <f t="shared" si="5"/>
        <v>3424.6575342465749</v>
      </c>
      <c r="AY42" s="112">
        <v>0</v>
      </c>
      <c r="AZ42" s="112">
        <v>0</v>
      </c>
      <c r="BA42" s="112">
        <v>0</v>
      </c>
      <c r="BB42" s="112">
        <v>250</v>
      </c>
      <c r="BC42" s="112">
        <v>0</v>
      </c>
      <c r="BD42" s="108">
        <f t="shared" si="7"/>
        <v>15819.188784246575</v>
      </c>
      <c r="BE42" s="108">
        <f t="shared" si="6"/>
        <v>15.819188784246576</v>
      </c>
    </row>
    <row r="43" spans="24:57" x14ac:dyDescent="0.3">
      <c r="AM43" s="114" t="s">
        <v>170</v>
      </c>
      <c r="AN43" s="112">
        <f t="shared" si="4"/>
        <v>4941.40625</v>
      </c>
      <c r="AO43" s="112">
        <v>0</v>
      </c>
      <c r="AP43" s="112">
        <f>(AP$7/2)</f>
        <v>10781.25</v>
      </c>
      <c r="AQ43" s="112">
        <v>0</v>
      </c>
      <c r="AR43" s="112">
        <v>15.625</v>
      </c>
      <c r="AS43" s="112">
        <v>0</v>
      </c>
      <c r="AT43" s="112">
        <v>0</v>
      </c>
      <c r="AU43" s="112">
        <v>0</v>
      </c>
      <c r="AV43" s="112">
        <v>0</v>
      </c>
      <c r="AW43" s="112">
        <v>0</v>
      </c>
      <c r="AX43" s="112">
        <f t="shared" si="5"/>
        <v>3424.6575342465749</v>
      </c>
      <c r="AY43" s="112">
        <v>0</v>
      </c>
      <c r="AZ43" s="112">
        <f>(15000*0.033)</f>
        <v>495</v>
      </c>
      <c r="BA43" s="112">
        <v>0</v>
      </c>
      <c r="BB43" s="112">
        <v>0</v>
      </c>
      <c r="BC43" s="112">
        <v>0</v>
      </c>
      <c r="BD43" s="108">
        <f t="shared" si="7"/>
        <v>19657.938784246573</v>
      </c>
      <c r="BE43" s="108">
        <f t="shared" si="6"/>
        <v>19.657938784246571</v>
      </c>
    </row>
    <row r="44" spans="24:57" x14ac:dyDescent="0.3">
      <c r="AM44" s="114" t="s">
        <v>171</v>
      </c>
      <c r="AN44" s="112">
        <f t="shared" si="4"/>
        <v>4941.40625</v>
      </c>
      <c r="AO44" s="112">
        <v>0</v>
      </c>
      <c r="AP44" s="112">
        <v>0</v>
      </c>
      <c r="AQ44" s="112">
        <v>0</v>
      </c>
      <c r="AR44" s="112">
        <v>15.625</v>
      </c>
      <c r="AS44" s="112">
        <v>0</v>
      </c>
      <c r="AT44" s="112">
        <v>0</v>
      </c>
      <c r="AU44" s="112">
        <v>0</v>
      </c>
      <c r="AV44" s="112">
        <v>0</v>
      </c>
      <c r="AW44" s="112">
        <v>0</v>
      </c>
      <c r="AX44" s="112">
        <f t="shared" si="5"/>
        <v>3424.6575342465749</v>
      </c>
      <c r="AY44" s="112">
        <v>0</v>
      </c>
      <c r="AZ44" s="112">
        <v>0</v>
      </c>
      <c r="BA44" s="112">
        <v>0</v>
      </c>
      <c r="BB44" s="112">
        <v>0</v>
      </c>
      <c r="BC44" s="112">
        <v>0</v>
      </c>
      <c r="BD44" s="108">
        <f t="shared" si="7"/>
        <v>8381.6887842465749</v>
      </c>
      <c r="BE44" s="108">
        <f t="shared" si="6"/>
        <v>8.3816887842465757</v>
      </c>
    </row>
    <row r="45" spans="24:57" x14ac:dyDescent="0.3">
      <c r="AM45" s="114" t="s">
        <v>172</v>
      </c>
      <c r="AN45" s="112">
        <f t="shared" si="4"/>
        <v>4941.40625</v>
      </c>
      <c r="AO45" s="112">
        <v>0</v>
      </c>
      <c r="AP45" s="112">
        <v>0</v>
      </c>
      <c r="AQ45" s="112">
        <v>0</v>
      </c>
      <c r="AR45" s="112">
        <v>15.625</v>
      </c>
      <c r="AS45" s="112">
        <v>0</v>
      </c>
      <c r="AT45" s="112">
        <v>0</v>
      </c>
      <c r="AU45" s="112">
        <v>0</v>
      </c>
      <c r="AV45" s="112">
        <v>0</v>
      </c>
      <c r="AW45" s="112">
        <v>0</v>
      </c>
      <c r="AX45" s="112">
        <f t="shared" si="5"/>
        <v>3424.6575342465749</v>
      </c>
      <c r="AY45" s="112">
        <v>0</v>
      </c>
      <c r="AZ45" s="112">
        <f>(15000*0.033)</f>
        <v>495</v>
      </c>
      <c r="BA45" s="112">
        <f>(2875/3)</f>
        <v>958.33333333333337</v>
      </c>
      <c r="BB45" s="112">
        <v>0</v>
      </c>
      <c r="BC45" s="112">
        <v>0</v>
      </c>
      <c r="BD45" s="108">
        <f t="shared" si="7"/>
        <v>9835.0221175799088</v>
      </c>
      <c r="BE45" s="108">
        <f t="shared" si="6"/>
        <v>9.8350221175799089</v>
      </c>
    </row>
    <row r="46" spans="24:57" x14ac:dyDescent="0.3">
      <c r="AM46" s="114" t="s">
        <v>173</v>
      </c>
      <c r="AN46" s="112">
        <f t="shared" si="4"/>
        <v>4941.40625</v>
      </c>
      <c r="AO46" s="112">
        <v>0</v>
      </c>
      <c r="AP46" s="112">
        <v>0</v>
      </c>
      <c r="AQ46" s="112">
        <v>0</v>
      </c>
      <c r="AR46" s="112">
        <v>15.625</v>
      </c>
      <c r="AS46" s="112">
        <v>0</v>
      </c>
      <c r="AT46" s="112">
        <v>335</v>
      </c>
      <c r="AU46" s="112">
        <v>0</v>
      </c>
      <c r="AV46" s="112">
        <v>0</v>
      </c>
      <c r="AW46" s="112">
        <v>0</v>
      </c>
      <c r="AX46" s="112">
        <f t="shared" si="5"/>
        <v>3424.6575342465749</v>
      </c>
      <c r="AY46" s="112">
        <v>0</v>
      </c>
      <c r="AZ46" s="112">
        <v>0</v>
      </c>
      <c r="BA46" s="112">
        <v>0</v>
      </c>
      <c r="BB46" s="112">
        <v>250</v>
      </c>
      <c r="BC46" s="112">
        <v>0</v>
      </c>
      <c r="BD46" s="108">
        <f t="shared" si="7"/>
        <v>8966.6887842465749</v>
      </c>
      <c r="BE46" s="108">
        <f t="shared" si="6"/>
        <v>8.9666887842465748</v>
      </c>
    </row>
    <row r="47" spans="24:57" x14ac:dyDescent="0.3">
      <c r="AM47" s="114" t="s">
        <v>174</v>
      </c>
      <c r="AN47" s="112">
        <f t="shared" si="4"/>
        <v>4941.40625</v>
      </c>
      <c r="AO47" s="112">
        <v>0</v>
      </c>
      <c r="AP47" s="112">
        <v>0</v>
      </c>
      <c r="AQ47" s="112">
        <v>0</v>
      </c>
      <c r="AR47" s="112">
        <v>15.625</v>
      </c>
      <c r="AS47" s="112">
        <v>0</v>
      </c>
      <c r="AT47" s="112">
        <v>0</v>
      </c>
      <c r="AU47" s="112">
        <v>0</v>
      </c>
      <c r="AV47" s="112">
        <v>0</v>
      </c>
      <c r="AW47" s="112">
        <v>0</v>
      </c>
      <c r="AX47" s="112">
        <f t="shared" si="5"/>
        <v>3424.6575342465749</v>
      </c>
      <c r="AY47" s="112">
        <v>0</v>
      </c>
      <c r="AZ47" s="112">
        <f>(15000*0.033)</f>
        <v>495</v>
      </c>
      <c r="BA47" s="112">
        <v>0</v>
      </c>
      <c r="BB47" s="112">
        <v>0</v>
      </c>
      <c r="BC47" s="112">
        <v>0</v>
      </c>
      <c r="BD47" s="108">
        <f t="shared" si="7"/>
        <v>8876.6887842465749</v>
      </c>
      <c r="BE47" s="108">
        <f t="shared" si="6"/>
        <v>8.8766887842465749</v>
      </c>
    </row>
    <row r="48" spans="24:57" x14ac:dyDescent="0.3">
      <c r="AM48" s="114" t="s">
        <v>175</v>
      </c>
      <c r="AN48" s="112">
        <f t="shared" si="4"/>
        <v>4941.40625</v>
      </c>
      <c r="AO48" s="112">
        <v>0</v>
      </c>
      <c r="AP48" s="112">
        <v>0</v>
      </c>
      <c r="AQ48" s="112">
        <v>0</v>
      </c>
      <c r="AR48" s="112">
        <v>15.625</v>
      </c>
      <c r="AS48" s="112">
        <v>0</v>
      </c>
      <c r="AT48" s="112">
        <v>0</v>
      </c>
      <c r="AU48" s="112">
        <v>0</v>
      </c>
      <c r="AV48" s="112">
        <v>0</v>
      </c>
      <c r="AW48" s="112">
        <v>0</v>
      </c>
      <c r="AX48" s="112">
        <f t="shared" si="5"/>
        <v>3424.6575342465749</v>
      </c>
      <c r="AY48" s="112">
        <v>0</v>
      </c>
      <c r="AZ48" s="112">
        <v>0</v>
      </c>
      <c r="BA48" s="112">
        <v>0</v>
      </c>
      <c r="BB48" s="112">
        <v>0</v>
      </c>
      <c r="BC48" s="112">
        <v>0</v>
      </c>
      <c r="BD48" s="108">
        <f t="shared" si="7"/>
        <v>8381.6887842465749</v>
      </c>
      <c r="BE48" s="108">
        <f t="shared" si="6"/>
        <v>8.3816887842465757</v>
      </c>
    </row>
    <row r="49" spans="10:58" x14ac:dyDescent="0.3">
      <c r="AM49" s="114">
        <v>1</v>
      </c>
      <c r="AN49" s="112">
        <f t="shared" si="4"/>
        <v>4941.40625</v>
      </c>
      <c r="AO49" s="112">
        <v>0</v>
      </c>
      <c r="AP49" s="112">
        <v>0</v>
      </c>
      <c r="AQ49" s="112">
        <v>0</v>
      </c>
      <c r="AR49" s="112">
        <v>15.625</v>
      </c>
      <c r="AS49" s="112">
        <v>0</v>
      </c>
      <c r="AT49" s="112">
        <v>335</v>
      </c>
      <c r="AU49" s="112">
        <v>0</v>
      </c>
      <c r="AV49" s="112">
        <v>0</v>
      </c>
      <c r="AW49" s="112">
        <f>(10000/4)</f>
        <v>2500</v>
      </c>
      <c r="AX49" s="112">
        <f t="shared" si="5"/>
        <v>3424.6575342465749</v>
      </c>
      <c r="AY49" s="112">
        <f>(47500/3)</f>
        <v>15833.333333333334</v>
      </c>
      <c r="AZ49" s="112">
        <f>(15000*0.033)</f>
        <v>495</v>
      </c>
      <c r="BA49" s="112">
        <f>(2875/3)</f>
        <v>958.33333333333337</v>
      </c>
      <c r="BB49" s="112">
        <v>0</v>
      </c>
      <c r="BC49" s="112"/>
      <c r="BD49" s="108">
        <f t="shared" si="7"/>
        <v>28503.355450913241</v>
      </c>
      <c r="BE49" s="108">
        <f t="shared" si="6"/>
        <v>28.50335545091324</v>
      </c>
    </row>
    <row r="50" spans="10:58" x14ac:dyDescent="0.3">
      <c r="AM50" s="114">
        <v>2</v>
      </c>
      <c r="AN50" s="112">
        <f t="shared" si="4"/>
        <v>4941.40625</v>
      </c>
      <c r="AO50" s="112">
        <v>0</v>
      </c>
      <c r="AP50" s="112">
        <v>0</v>
      </c>
      <c r="AQ50" s="112">
        <v>0</v>
      </c>
      <c r="AR50" s="112">
        <v>15.625</v>
      </c>
      <c r="AS50" s="112">
        <v>0</v>
      </c>
      <c r="AT50" s="112">
        <v>0</v>
      </c>
      <c r="AU50" s="112">
        <v>0</v>
      </c>
      <c r="AV50" s="112">
        <v>0</v>
      </c>
      <c r="AW50" s="112">
        <f>(10000/4)</f>
        <v>2500</v>
      </c>
      <c r="AX50" s="112">
        <f t="shared" si="5"/>
        <v>3424.6575342465749</v>
      </c>
      <c r="AY50" s="112">
        <v>0</v>
      </c>
      <c r="AZ50" s="112">
        <f>(15000*0.033)</f>
        <v>495</v>
      </c>
      <c r="BA50" s="112">
        <v>0</v>
      </c>
      <c r="BB50" s="112">
        <v>0</v>
      </c>
      <c r="BC50" s="112">
        <v>0</v>
      </c>
      <c r="BD50" s="108">
        <f t="shared" si="7"/>
        <v>11376.688784246575</v>
      </c>
      <c r="BE50" s="108">
        <f t="shared" si="6"/>
        <v>11.376688784246575</v>
      </c>
    </row>
    <row r="51" spans="10:58" x14ac:dyDescent="0.3">
      <c r="AM51" s="114">
        <v>3</v>
      </c>
      <c r="AN51" s="112">
        <f t="shared" si="4"/>
        <v>4941.40625</v>
      </c>
      <c r="AO51" s="112">
        <v>0</v>
      </c>
      <c r="AP51" s="112">
        <v>0</v>
      </c>
      <c r="AQ51" s="112">
        <v>0</v>
      </c>
      <c r="AR51" s="112">
        <v>15.625</v>
      </c>
      <c r="AS51" s="112">
        <v>0</v>
      </c>
      <c r="AT51" s="112">
        <v>0</v>
      </c>
      <c r="AU51" s="112">
        <v>0</v>
      </c>
      <c r="AV51" s="112">
        <v>0</v>
      </c>
      <c r="AW51" s="112">
        <v>0</v>
      </c>
      <c r="AX51" s="112">
        <f t="shared" si="5"/>
        <v>3424.6575342465749</v>
      </c>
      <c r="AY51" s="112">
        <v>0</v>
      </c>
      <c r="AZ51" s="112">
        <v>0</v>
      </c>
      <c r="BA51" s="112">
        <v>0</v>
      </c>
      <c r="BB51" s="112">
        <v>0</v>
      </c>
      <c r="BC51" s="112">
        <f>(AX$17/3)</f>
        <v>23541.666666666668</v>
      </c>
      <c r="BD51" s="108">
        <f t="shared" si="7"/>
        <v>31923.355450913245</v>
      </c>
      <c r="BE51" s="108">
        <f t="shared" si="6"/>
        <v>31.923355450913245</v>
      </c>
    </row>
    <row r="52" spans="10:58" x14ac:dyDescent="0.3">
      <c r="AM52" s="114">
        <v>4</v>
      </c>
      <c r="AN52" s="112">
        <f t="shared" si="4"/>
        <v>4941.40625</v>
      </c>
      <c r="AO52" s="112">
        <v>0</v>
      </c>
      <c r="AP52" s="112">
        <v>0</v>
      </c>
      <c r="AQ52" s="112">
        <v>0</v>
      </c>
      <c r="AR52" s="112">
        <v>15.625</v>
      </c>
      <c r="AS52" s="112">
        <v>0</v>
      </c>
      <c r="AT52" s="112">
        <v>335</v>
      </c>
      <c r="AU52" s="112">
        <v>0</v>
      </c>
      <c r="AV52" s="112">
        <v>0</v>
      </c>
      <c r="AW52" s="112">
        <v>0</v>
      </c>
      <c r="AX52" s="112">
        <f t="shared" si="5"/>
        <v>3424.6575342465749</v>
      </c>
      <c r="AY52" s="112">
        <v>0</v>
      </c>
      <c r="AZ52" s="112">
        <v>0</v>
      </c>
      <c r="BA52" s="112">
        <v>0</v>
      </c>
      <c r="BB52" s="112">
        <v>250</v>
      </c>
      <c r="BC52" s="112">
        <v>0</v>
      </c>
      <c r="BD52" s="108">
        <f t="shared" si="7"/>
        <v>8966.6887842465749</v>
      </c>
      <c r="BE52" s="108">
        <f t="shared" si="6"/>
        <v>8.9666887842465748</v>
      </c>
    </row>
    <row r="53" spans="10:58" x14ac:dyDescent="0.3">
      <c r="AM53" s="114">
        <v>5</v>
      </c>
      <c r="AN53" s="112">
        <f t="shared" si="4"/>
        <v>4941.40625</v>
      </c>
      <c r="AO53" s="112">
        <v>0</v>
      </c>
      <c r="AP53" s="112">
        <v>0</v>
      </c>
      <c r="AQ53" s="112">
        <v>0</v>
      </c>
      <c r="AR53" s="112">
        <v>15.625</v>
      </c>
      <c r="AS53" s="112">
        <v>0</v>
      </c>
      <c r="AT53" s="112">
        <v>0</v>
      </c>
      <c r="AU53" s="112">
        <v>0</v>
      </c>
      <c r="AV53" s="112">
        <v>0</v>
      </c>
      <c r="AW53" s="112">
        <v>0</v>
      </c>
      <c r="AX53" s="112">
        <f t="shared" si="5"/>
        <v>3424.6575342465749</v>
      </c>
      <c r="AY53" s="112">
        <f>(47500/3)</f>
        <v>15833.333333333334</v>
      </c>
      <c r="AZ53" s="112">
        <f>(15000*0.033)</f>
        <v>495</v>
      </c>
      <c r="BA53" s="112">
        <v>0</v>
      </c>
      <c r="BB53" s="112">
        <v>0</v>
      </c>
      <c r="BC53" s="112">
        <v>0</v>
      </c>
      <c r="BD53" s="108">
        <f t="shared" si="7"/>
        <v>24710.022117579909</v>
      </c>
      <c r="BE53" s="108">
        <f t="shared" si="6"/>
        <v>24.710022117579907</v>
      </c>
    </row>
    <row r="54" spans="10:58" ht="16.2" thickBot="1" x14ac:dyDescent="0.35">
      <c r="AP54" s="106"/>
      <c r="BC54" s="108" t="s">
        <v>111</v>
      </c>
      <c r="BD54" s="108">
        <f>SUM(BD30:BD53)</f>
        <v>393748.09082191775</v>
      </c>
      <c r="BE54" s="109">
        <f t="shared" si="6"/>
        <v>393.74809082191774</v>
      </c>
    </row>
    <row r="55" spans="10:58" x14ac:dyDescent="0.3">
      <c r="J55" s="138" t="s">
        <v>222</v>
      </c>
      <c r="K55" s="124"/>
      <c r="L55" s="124"/>
      <c r="M55" s="124"/>
      <c r="N55" s="124"/>
      <c r="O55" s="124"/>
      <c r="P55" s="124"/>
      <c r="Q55" s="124"/>
      <c r="R55" s="125"/>
      <c r="S55" s="124"/>
      <c r="T55" s="124"/>
      <c r="U55" s="124"/>
      <c r="V55" s="124"/>
      <c r="W55" s="124"/>
      <c r="X55" s="125"/>
    </row>
    <row r="56" spans="10:58" x14ac:dyDescent="0.3">
      <c r="J56" s="126"/>
      <c r="K56" s="127" t="s">
        <v>217</v>
      </c>
      <c r="L56" s="127"/>
      <c r="M56" s="127"/>
      <c r="N56" s="127"/>
      <c r="O56" s="128"/>
      <c r="P56" s="128"/>
      <c r="Q56" s="128"/>
      <c r="R56" s="129"/>
      <c r="S56" s="128"/>
      <c r="T56" s="128"/>
      <c r="U56" s="128"/>
      <c r="V56" s="128"/>
      <c r="W56" s="128"/>
      <c r="X56" s="129"/>
    </row>
    <row r="57" spans="10:58" x14ac:dyDescent="0.3">
      <c r="J57" s="126"/>
      <c r="K57" s="128"/>
      <c r="L57" s="128"/>
      <c r="M57" s="128"/>
      <c r="N57" s="128"/>
      <c r="O57" s="128"/>
      <c r="P57" s="128"/>
      <c r="Q57" s="128"/>
      <c r="R57" s="129"/>
      <c r="S57" s="128"/>
      <c r="T57" s="128"/>
      <c r="U57" s="128"/>
      <c r="V57" s="128"/>
      <c r="W57" s="128"/>
      <c r="X57" s="129"/>
    </row>
    <row r="58" spans="10:58" x14ac:dyDescent="0.3">
      <c r="J58" s="126"/>
      <c r="K58" s="128"/>
      <c r="L58" s="128"/>
      <c r="M58" s="128">
        <f>SUM(BK166:BK183)</f>
        <v>0</v>
      </c>
      <c r="N58" s="128"/>
      <c r="O58" s="128"/>
      <c r="P58" s="128"/>
      <c r="Q58" s="128"/>
      <c r="R58" s="129"/>
      <c r="S58" s="146" t="s">
        <v>226</v>
      </c>
      <c r="T58" s="146"/>
      <c r="U58" s="146"/>
      <c r="V58" s="146"/>
      <c r="W58" s="147"/>
      <c r="X58" s="148"/>
    </row>
    <row r="59" spans="10:58" ht="21" x14ac:dyDescent="0.4">
      <c r="J59" s="126"/>
      <c r="K59" s="128"/>
      <c r="L59" s="128"/>
      <c r="M59" s="128"/>
      <c r="N59" s="128"/>
      <c r="O59" s="128"/>
      <c r="P59" s="128"/>
      <c r="Q59" s="128"/>
      <c r="R59" s="129"/>
      <c r="S59" s="128"/>
      <c r="T59" s="128"/>
      <c r="U59" s="128"/>
      <c r="V59" s="127"/>
      <c r="W59" s="128"/>
      <c r="X59" s="129"/>
      <c r="AM59" s="113" t="s">
        <v>181</v>
      </c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</row>
    <row r="60" spans="10:58" x14ac:dyDescent="0.3">
      <c r="J60" s="139">
        <v>6</v>
      </c>
      <c r="K60" s="128">
        <v>15.749248784246577</v>
      </c>
      <c r="L60" s="128">
        <f>(22-K60)</f>
        <v>6.2507512157534233</v>
      </c>
      <c r="M60" s="128">
        <v>6.2</v>
      </c>
      <c r="N60" s="128"/>
      <c r="O60" s="140">
        <f>(O80+N83+M60)</f>
        <v>102.12276819634702</v>
      </c>
      <c r="P60" s="140" t="s">
        <v>219</v>
      </c>
      <c r="Q60" s="140"/>
      <c r="R60" s="129"/>
      <c r="S60" s="128">
        <v>6</v>
      </c>
      <c r="T60" s="128">
        <v>22.048948297945206</v>
      </c>
      <c r="U60" s="128">
        <f>(14.85-T60)</f>
        <v>-7.198948297945206</v>
      </c>
      <c r="V60" s="127">
        <f>(102+U60)</f>
        <v>94.801051702054792</v>
      </c>
      <c r="W60" s="128"/>
      <c r="X60" s="129"/>
      <c r="AM60" s="33" t="s">
        <v>146</v>
      </c>
      <c r="AN60" s="41" t="s">
        <v>147</v>
      </c>
      <c r="AO60" s="41" t="s">
        <v>148</v>
      </c>
      <c r="AP60" s="41" t="s">
        <v>149</v>
      </c>
      <c r="AQ60" s="41" t="s">
        <v>150</v>
      </c>
      <c r="AR60" s="41" t="s">
        <v>151</v>
      </c>
      <c r="AS60" s="41" t="s">
        <v>152</v>
      </c>
      <c r="AT60" s="41" t="s">
        <v>153</v>
      </c>
      <c r="AU60" s="41" t="s">
        <v>154</v>
      </c>
      <c r="AV60" s="41" t="s">
        <v>155</v>
      </c>
      <c r="AW60" s="41" t="s">
        <v>157</v>
      </c>
      <c r="AX60" s="41" t="s">
        <v>156</v>
      </c>
      <c r="AY60" s="41" t="s">
        <v>158</v>
      </c>
      <c r="AZ60" s="41" t="s">
        <v>159</v>
      </c>
      <c r="BA60" s="41" t="s">
        <v>160</v>
      </c>
      <c r="BB60" s="41" t="s">
        <v>161</v>
      </c>
      <c r="BC60" s="41" t="s">
        <v>163</v>
      </c>
      <c r="BD60" s="108" t="s">
        <v>162</v>
      </c>
      <c r="BE60" s="108" t="s">
        <v>177</v>
      </c>
      <c r="BF60" s="111" t="s">
        <v>178</v>
      </c>
    </row>
    <row r="61" spans="10:58" x14ac:dyDescent="0.3">
      <c r="J61" s="139">
        <v>7</v>
      </c>
      <c r="K61" s="128">
        <v>31.460915450913241</v>
      </c>
      <c r="L61" s="128">
        <f>(22-K61)</f>
        <v>-9.4609154509132409</v>
      </c>
      <c r="M61" s="128"/>
      <c r="N61" s="128"/>
      <c r="O61" s="127">
        <f>(O60+L61)</f>
        <v>92.661852745433777</v>
      </c>
      <c r="P61" s="128"/>
      <c r="Q61" s="128"/>
      <c r="R61" s="129"/>
      <c r="S61" s="128">
        <v>7</v>
      </c>
      <c r="T61" s="128">
        <v>44.045281631278534</v>
      </c>
      <c r="U61" s="128">
        <f>(14.85-T61)</f>
        <v>-29.195281631278533</v>
      </c>
      <c r="V61" s="127">
        <f>(V60+U61)</f>
        <v>65.605770070776259</v>
      </c>
      <c r="W61" s="128"/>
      <c r="X61" s="129"/>
      <c r="AM61" s="33" t="s">
        <v>145</v>
      </c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108"/>
      <c r="BE61" s="108"/>
      <c r="BF61" s="108"/>
    </row>
    <row r="62" spans="10:58" x14ac:dyDescent="0.3">
      <c r="J62" s="139">
        <v>8</v>
      </c>
      <c r="K62" s="128">
        <v>17.664248784246578</v>
      </c>
      <c r="L62" s="128">
        <f>(22-K62)</f>
        <v>4.3357512157534224</v>
      </c>
      <c r="M62" s="128">
        <v>4.3</v>
      </c>
      <c r="N62" s="128"/>
      <c r="O62" s="128"/>
      <c r="P62" s="128"/>
      <c r="Q62" s="128"/>
      <c r="R62" s="129"/>
      <c r="S62" s="128">
        <v>8</v>
      </c>
      <c r="T62" s="128">
        <v>24.729948297945207</v>
      </c>
      <c r="U62" s="128">
        <f>(14.85-T62)</f>
        <v>-9.8799482979452069</v>
      </c>
      <c r="V62" s="127">
        <f>(V61+U62)</f>
        <v>55.725821772831054</v>
      </c>
      <c r="W62" s="128"/>
      <c r="X62" s="129"/>
      <c r="AM62" s="107">
        <v>6</v>
      </c>
      <c r="AN62" s="112">
        <f>(AP$5/24)</f>
        <v>4941.40625</v>
      </c>
      <c r="AO62" s="112">
        <v>0</v>
      </c>
      <c r="AP62" s="112">
        <v>0</v>
      </c>
      <c r="AQ62" s="112">
        <v>0</v>
      </c>
      <c r="AR62" s="112">
        <v>15.625</v>
      </c>
      <c r="AS62" s="112">
        <v>500</v>
      </c>
      <c r="AT62" s="112">
        <v>335</v>
      </c>
      <c r="AU62" s="112">
        <v>4637.5600000000004</v>
      </c>
      <c r="AV62" s="112">
        <v>1150</v>
      </c>
      <c r="AW62" s="112">
        <v>0</v>
      </c>
      <c r="AX62" s="112">
        <f>(AP$21/24)</f>
        <v>3424.6575342465749</v>
      </c>
      <c r="AY62" s="112">
        <v>0</v>
      </c>
      <c r="AZ62" s="112">
        <f>(15000*0.033)</f>
        <v>495</v>
      </c>
      <c r="BA62" s="112">
        <v>0</v>
      </c>
      <c r="BB62" s="112">
        <f>(1250/5)</f>
        <v>250</v>
      </c>
      <c r="BC62" s="112">
        <v>0</v>
      </c>
      <c r="BD62" s="108">
        <f t="shared" ref="BD62:BD67" si="8">SUM(AN62:BC62)</f>
        <v>15749.248784246576</v>
      </c>
      <c r="BE62" s="108">
        <f t="shared" ref="BE62:BE67" si="9">(BD62/1000)</f>
        <v>15.749248784246577</v>
      </c>
      <c r="BF62" s="108">
        <f>(BE62*1.4)</f>
        <v>22.048948297945206</v>
      </c>
    </row>
    <row r="63" spans="10:58" x14ac:dyDescent="0.3">
      <c r="J63" s="139">
        <v>9</v>
      </c>
      <c r="K63" s="128">
        <v>17.754248784246577</v>
      </c>
      <c r="L63" s="128">
        <f>(22-K63)</f>
        <v>4.2457512157534225</v>
      </c>
      <c r="M63" s="128">
        <v>4.2</v>
      </c>
      <c r="N63" s="128"/>
      <c r="O63" s="128"/>
      <c r="P63" s="128"/>
      <c r="Q63" s="128"/>
      <c r="R63" s="129"/>
      <c r="S63" s="128">
        <v>9</v>
      </c>
      <c r="T63" s="128">
        <v>24.855948297945208</v>
      </c>
      <c r="U63" s="128">
        <f>(14.85-T63)</f>
        <v>-10.005948297945208</v>
      </c>
      <c r="V63" s="127">
        <f>(V62+U63)</f>
        <v>45.719873474885844</v>
      </c>
      <c r="W63" s="128"/>
      <c r="X63" s="129"/>
      <c r="AM63" s="107">
        <v>7</v>
      </c>
      <c r="AN63" s="112">
        <f t="shared" ref="AN63:AN85" si="10">(AP$5/24)</f>
        <v>4941.40625</v>
      </c>
      <c r="AO63" s="112">
        <v>0</v>
      </c>
      <c r="AP63" s="112">
        <v>0</v>
      </c>
      <c r="AQ63" s="112">
        <v>0</v>
      </c>
      <c r="AR63" s="112">
        <v>15.625</v>
      </c>
      <c r="AS63" s="112">
        <v>500</v>
      </c>
      <c r="AT63" s="112">
        <v>0</v>
      </c>
      <c r="AU63" s="112">
        <v>4637.5600000000004</v>
      </c>
      <c r="AV63" s="112">
        <v>1150</v>
      </c>
      <c r="AW63" s="112">
        <v>0</v>
      </c>
      <c r="AX63" s="112">
        <f t="shared" ref="AX63:AX85" si="11">(AP$21/24)</f>
        <v>3424.6575342465749</v>
      </c>
      <c r="AY63" s="112">
        <f>(47500/3)</f>
        <v>15833.333333333334</v>
      </c>
      <c r="AZ63" s="112">
        <v>0</v>
      </c>
      <c r="BA63" s="112">
        <f>(2875/3)</f>
        <v>958.33333333333337</v>
      </c>
      <c r="BB63" s="112">
        <v>0</v>
      </c>
      <c r="BC63" s="112">
        <v>0</v>
      </c>
      <c r="BD63" s="108">
        <f t="shared" si="8"/>
        <v>31460.915450913242</v>
      </c>
      <c r="BE63" s="108">
        <f t="shared" si="9"/>
        <v>31.460915450913241</v>
      </c>
      <c r="BF63" s="111">
        <f>(BE63*1.4)</f>
        <v>44.045281631278534</v>
      </c>
    </row>
    <row r="64" spans="10:58" x14ac:dyDescent="0.3">
      <c r="J64" s="139">
        <v>10</v>
      </c>
      <c r="K64" s="128">
        <v>25.945498784246578</v>
      </c>
      <c r="L64" s="128">
        <f>(22-K64)</f>
        <v>-3.9454987842465776</v>
      </c>
      <c r="M64" s="128"/>
      <c r="N64" s="128"/>
      <c r="O64" s="128"/>
      <c r="P64" s="127">
        <f>(O61+M63+M62+L64)</f>
        <v>97.216353961187195</v>
      </c>
      <c r="Q64" s="128" t="s">
        <v>218</v>
      </c>
      <c r="R64" s="129"/>
      <c r="S64" s="128">
        <v>10</v>
      </c>
      <c r="T64" s="128">
        <v>36.323698297945207</v>
      </c>
      <c r="U64" s="128">
        <f>(14.85-T64)</f>
        <v>-21.473698297945205</v>
      </c>
      <c r="V64" s="127">
        <f>(V63+U64)</f>
        <v>24.246175176940639</v>
      </c>
      <c r="W64" s="128"/>
      <c r="X64" s="129"/>
      <c r="AM64" s="107">
        <v>8</v>
      </c>
      <c r="AN64" s="112">
        <f t="shared" si="10"/>
        <v>4941.40625</v>
      </c>
      <c r="AO64" s="112">
        <v>0</v>
      </c>
      <c r="AP64" s="112">
        <v>0</v>
      </c>
      <c r="AQ64" s="112">
        <v>0</v>
      </c>
      <c r="AR64" s="112">
        <v>15.625</v>
      </c>
      <c r="AS64" s="112">
        <v>500</v>
      </c>
      <c r="AT64" s="112">
        <v>0</v>
      </c>
      <c r="AU64" s="112">
        <v>4637.5600000000004</v>
      </c>
      <c r="AV64" s="112">
        <v>1150</v>
      </c>
      <c r="AW64" s="112">
        <f>(10000/4)</f>
        <v>2500</v>
      </c>
      <c r="AX64" s="112">
        <f t="shared" si="11"/>
        <v>3424.6575342465749</v>
      </c>
      <c r="AY64" s="112">
        <v>0</v>
      </c>
      <c r="AZ64" s="112">
        <f>(15000*0.033)</f>
        <v>495</v>
      </c>
      <c r="BA64" s="112">
        <v>0</v>
      </c>
      <c r="BB64" s="112">
        <v>0</v>
      </c>
      <c r="BC64" s="112">
        <v>0</v>
      </c>
      <c r="BD64" s="108">
        <f t="shared" si="8"/>
        <v>17664.248784246578</v>
      </c>
      <c r="BE64" s="108">
        <f t="shared" si="9"/>
        <v>17.664248784246578</v>
      </c>
      <c r="BF64" s="108">
        <f>(BE64*1.4)</f>
        <v>24.729948297945207</v>
      </c>
    </row>
    <row r="65" spans="10:58" x14ac:dyDescent="0.3">
      <c r="J65" s="139">
        <v>11</v>
      </c>
      <c r="K65" s="128">
        <v>27.394248784246578</v>
      </c>
      <c r="L65" s="128">
        <f>(22-K65)</f>
        <v>-5.3942487842465781</v>
      </c>
      <c r="M65" s="128"/>
      <c r="N65" s="128"/>
      <c r="O65" s="128"/>
      <c r="P65" s="127">
        <f>(P64+L65)</f>
        <v>91.822105176940624</v>
      </c>
      <c r="Q65" s="128"/>
      <c r="R65" s="129"/>
      <c r="S65" s="128">
        <v>11</v>
      </c>
      <c r="T65" s="128">
        <v>27.394248784246578</v>
      </c>
      <c r="U65" s="128">
        <f>(14.85-T65)</f>
        <v>-12.544248784246578</v>
      </c>
      <c r="V65" s="127">
        <f>(V64+U65)</f>
        <v>11.701926392694061</v>
      </c>
      <c r="W65" s="128"/>
      <c r="X65" s="129"/>
      <c r="AM65" s="107">
        <v>9</v>
      </c>
      <c r="AN65" s="112">
        <f t="shared" si="10"/>
        <v>4941.40625</v>
      </c>
      <c r="AO65" s="112">
        <v>0</v>
      </c>
      <c r="AP65" s="112">
        <v>0</v>
      </c>
      <c r="AQ65" s="112">
        <v>0</v>
      </c>
      <c r="AR65" s="112">
        <v>15.625</v>
      </c>
      <c r="AS65" s="112">
        <v>500</v>
      </c>
      <c r="AT65" s="112">
        <v>335</v>
      </c>
      <c r="AU65" s="112">
        <v>4637.5600000000004</v>
      </c>
      <c r="AV65" s="112">
        <v>1150</v>
      </c>
      <c r="AW65" s="112">
        <f>(10000/4)</f>
        <v>2500</v>
      </c>
      <c r="AX65" s="112">
        <f t="shared" si="11"/>
        <v>3424.6575342465749</v>
      </c>
      <c r="AY65" s="112">
        <v>0</v>
      </c>
      <c r="AZ65" s="112">
        <v>0</v>
      </c>
      <c r="BA65" s="112">
        <v>0</v>
      </c>
      <c r="BB65" s="112">
        <v>250</v>
      </c>
      <c r="BC65" s="112">
        <v>0</v>
      </c>
      <c r="BD65" s="108">
        <f t="shared" si="8"/>
        <v>17754.248784246578</v>
      </c>
      <c r="BE65" s="108">
        <f t="shared" si="9"/>
        <v>17.754248784246577</v>
      </c>
      <c r="BF65" s="108">
        <f>(BE65*1.4)</f>
        <v>24.855948297945208</v>
      </c>
    </row>
    <row r="66" spans="10:58" x14ac:dyDescent="0.3">
      <c r="J66" s="139">
        <v>12</v>
      </c>
      <c r="K66" s="128">
        <v>36.560915450913242</v>
      </c>
      <c r="L66" s="128">
        <f>(22-K66)</f>
        <v>-14.560915450913242</v>
      </c>
      <c r="M66" s="128"/>
      <c r="N66" s="128"/>
      <c r="O66" s="128"/>
      <c r="P66" s="127">
        <f>(P65+L66)</f>
        <v>77.261189726027382</v>
      </c>
      <c r="Q66" s="128"/>
      <c r="R66" s="129"/>
      <c r="S66" s="128">
        <v>12</v>
      </c>
      <c r="T66" s="128">
        <v>36.5609154509132</v>
      </c>
      <c r="U66" s="128">
        <f>(14.85-T66)</f>
        <v>-21.710915450913198</v>
      </c>
      <c r="V66" s="128">
        <f>(V65+U66)</f>
        <v>-10.008989058219138</v>
      </c>
      <c r="W66" s="134">
        <v>10.1</v>
      </c>
      <c r="X66" s="129"/>
      <c r="AM66" s="107">
        <v>10</v>
      </c>
      <c r="AN66" s="112">
        <f t="shared" si="10"/>
        <v>4941.40625</v>
      </c>
      <c r="AO66" s="112">
        <v>7187.5</v>
      </c>
      <c r="AP66" s="112">
        <v>0</v>
      </c>
      <c r="AQ66" s="112">
        <f>(7187.5/2)</f>
        <v>3593.75</v>
      </c>
      <c r="AR66" s="112">
        <v>15.625</v>
      </c>
      <c r="AS66" s="112">
        <v>500</v>
      </c>
      <c r="AT66" s="112">
        <v>0</v>
      </c>
      <c r="AU66" s="112">
        <v>4637.5600000000004</v>
      </c>
      <c r="AV66" s="112">
        <v>1150</v>
      </c>
      <c r="AW66" s="112">
        <v>0</v>
      </c>
      <c r="AX66" s="112">
        <f t="shared" si="11"/>
        <v>3424.6575342465749</v>
      </c>
      <c r="AY66" s="112">
        <v>0</v>
      </c>
      <c r="AZ66" s="112">
        <v>495</v>
      </c>
      <c r="BA66" s="112">
        <v>0</v>
      </c>
      <c r="BB66" s="112">
        <v>0</v>
      </c>
      <c r="BC66" s="112">
        <v>0</v>
      </c>
      <c r="BD66" s="108">
        <f t="shared" si="8"/>
        <v>25945.498784246578</v>
      </c>
      <c r="BE66" s="108">
        <f t="shared" si="9"/>
        <v>25.945498784246578</v>
      </c>
      <c r="BF66" s="108">
        <f>(BE66*1.4)</f>
        <v>36.323698297945207</v>
      </c>
    </row>
    <row r="67" spans="10:58" x14ac:dyDescent="0.3">
      <c r="J67" s="139" t="s">
        <v>164</v>
      </c>
      <c r="K67" s="128">
        <v>36.560915450913242</v>
      </c>
      <c r="L67" s="128">
        <f>(22-K67)</f>
        <v>-14.560915450913242</v>
      </c>
      <c r="M67" s="128"/>
      <c r="N67" s="128"/>
      <c r="O67" s="128"/>
      <c r="P67" s="127">
        <f>(P66+L67)</f>
        <v>62.70027427511414</v>
      </c>
      <c r="Q67" s="128"/>
      <c r="R67" s="129"/>
      <c r="S67" s="143" t="s">
        <v>164</v>
      </c>
      <c r="T67" s="128">
        <v>36.560915450913242</v>
      </c>
      <c r="U67" s="128">
        <f>(14.85-T67)</f>
        <v>-21.710915450913241</v>
      </c>
      <c r="V67" s="128">
        <f>(V66+U67)</f>
        <v>-31.719904509132377</v>
      </c>
      <c r="W67" s="134">
        <v>31.8</v>
      </c>
      <c r="X67" s="129"/>
      <c r="AM67" s="107">
        <v>11</v>
      </c>
      <c r="AN67" s="112">
        <f t="shared" si="10"/>
        <v>4941.40625</v>
      </c>
      <c r="AO67" s="112">
        <v>0</v>
      </c>
      <c r="AP67" s="112">
        <f>(AP$7/2)</f>
        <v>10781.25</v>
      </c>
      <c r="AQ67" s="112">
        <f>(7187.5/2)</f>
        <v>3593.75</v>
      </c>
      <c r="AR67" s="112">
        <v>15.625</v>
      </c>
      <c r="AS67" s="112">
        <v>0</v>
      </c>
      <c r="AT67" s="112">
        <v>0</v>
      </c>
      <c r="AU67" s="112">
        <v>4637.5600000000004</v>
      </c>
      <c r="AV67" s="112">
        <v>0</v>
      </c>
      <c r="AW67" s="112">
        <v>0</v>
      </c>
      <c r="AX67" s="112">
        <f t="shared" si="11"/>
        <v>3424.6575342465749</v>
      </c>
      <c r="AY67" s="112">
        <v>0</v>
      </c>
      <c r="AZ67" s="112">
        <v>0</v>
      </c>
      <c r="BA67" s="112">
        <v>0</v>
      </c>
      <c r="BB67" s="112">
        <v>0</v>
      </c>
      <c r="BC67" s="112"/>
      <c r="BD67" s="108">
        <f t="shared" si="8"/>
        <v>27394.248784246578</v>
      </c>
      <c r="BE67" s="108">
        <f t="shared" si="9"/>
        <v>27.394248784246578</v>
      </c>
      <c r="BF67" s="108">
        <v>27.394248784246578</v>
      </c>
    </row>
    <row r="68" spans="10:58" x14ac:dyDescent="0.3">
      <c r="J68" s="139" t="s">
        <v>165</v>
      </c>
      <c r="K68" s="128">
        <v>13.019248784246576</v>
      </c>
      <c r="L68" s="128">
        <f>(22-K68)</f>
        <v>8.9807512157534237</v>
      </c>
      <c r="M68" s="128">
        <v>8.9</v>
      </c>
      <c r="N68" s="128"/>
      <c r="O68" s="128"/>
      <c r="P68" s="128"/>
      <c r="Q68" s="128"/>
      <c r="R68" s="129"/>
      <c r="S68" s="128"/>
      <c r="T68" s="128"/>
      <c r="U68" s="128">
        <f>SUM(U60:U67)</f>
        <v>-133.71990450913236</v>
      </c>
      <c r="V68" s="128"/>
      <c r="W68" s="134">
        <f>SUM(W66:W67)</f>
        <v>41.9</v>
      </c>
      <c r="X68" s="129"/>
      <c r="AM68" s="107">
        <v>12</v>
      </c>
      <c r="AN68" s="112">
        <f t="shared" si="10"/>
        <v>4941.40625</v>
      </c>
      <c r="AO68" s="112">
        <v>0</v>
      </c>
      <c r="AP68" s="112">
        <v>0</v>
      </c>
      <c r="AQ68" s="112">
        <v>0</v>
      </c>
      <c r="AR68" s="112">
        <v>15.625</v>
      </c>
      <c r="AS68" s="112">
        <v>0</v>
      </c>
      <c r="AT68" s="112">
        <v>0</v>
      </c>
      <c r="AU68" s="112">
        <v>4637.5600000000004</v>
      </c>
      <c r="AV68" s="112">
        <v>0</v>
      </c>
      <c r="AW68" s="112">
        <v>0</v>
      </c>
      <c r="AX68" s="112">
        <f t="shared" si="11"/>
        <v>3424.6575342465749</v>
      </c>
      <c r="AY68" s="112">
        <v>0</v>
      </c>
      <c r="AZ68" s="112">
        <v>0</v>
      </c>
      <c r="BA68" s="112">
        <v>0</v>
      </c>
      <c r="BB68" s="112">
        <v>0</v>
      </c>
      <c r="BC68" s="112">
        <f>(AX$17/3)</f>
        <v>23541.666666666668</v>
      </c>
      <c r="BD68" s="108">
        <f t="shared" ref="BD68:BD85" si="12">SUM(AN68:BC68)</f>
        <v>36560.915450913242</v>
      </c>
      <c r="BE68" s="108">
        <f t="shared" ref="BE68:BE85" si="13">(BD68/1000)</f>
        <v>36.560915450913242</v>
      </c>
      <c r="BF68" s="33">
        <v>36.5609154509132</v>
      </c>
    </row>
    <row r="69" spans="10:58" x14ac:dyDescent="0.3">
      <c r="J69" s="139" t="s">
        <v>166</v>
      </c>
      <c r="K69" s="128">
        <v>13.019248784246576</v>
      </c>
      <c r="L69" s="128">
        <f>(22-K69)</f>
        <v>8.9807512157534237</v>
      </c>
      <c r="M69" s="128">
        <v>8.9</v>
      </c>
      <c r="N69" s="128"/>
      <c r="O69" s="128"/>
      <c r="P69" s="128"/>
      <c r="Q69" s="128"/>
      <c r="R69" s="129"/>
      <c r="S69" s="128"/>
      <c r="T69" s="128"/>
      <c r="U69" s="128"/>
      <c r="V69" s="128"/>
      <c r="W69" s="128"/>
      <c r="X69" s="129"/>
      <c r="AM69" s="107" t="s">
        <v>164</v>
      </c>
      <c r="AN69" s="112">
        <f t="shared" si="10"/>
        <v>4941.40625</v>
      </c>
      <c r="AO69" s="112">
        <v>0</v>
      </c>
      <c r="AP69" s="112">
        <v>0</v>
      </c>
      <c r="AQ69" s="112">
        <v>0</v>
      </c>
      <c r="AR69" s="112">
        <v>15.625</v>
      </c>
      <c r="AS69" s="112">
        <v>0</v>
      </c>
      <c r="AT69" s="112">
        <v>0</v>
      </c>
      <c r="AU69" s="112">
        <v>4637.5600000000004</v>
      </c>
      <c r="AV69" s="112">
        <v>0</v>
      </c>
      <c r="AW69" s="112">
        <v>0</v>
      </c>
      <c r="AX69" s="112">
        <f t="shared" si="11"/>
        <v>3424.6575342465749</v>
      </c>
      <c r="AY69" s="112">
        <v>0</v>
      </c>
      <c r="AZ69" s="112">
        <v>0</v>
      </c>
      <c r="BA69" s="112">
        <v>0</v>
      </c>
      <c r="BB69" s="112">
        <v>0</v>
      </c>
      <c r="BC69" s="112">
        <f>(AX$17/3)</f>
        <v>23541.666666666668</v>
      </c>
      <c r="BD69" s="108">
        <f>SUM(AN69:BC69)</f>
        <v>36560.915450913242</v>
      </c>
      <c r="BE69" s="108">
        <f t="shared" si="13"/>
        <v>36.560915450913242</v>
      </c>
      <c r="BF69" s="33">
        <v>36.560915450913242</v>
      </c>
    </row>
    <row r="70" spans="10:58" x14ac:dyDescent="0.3">
      <c r="J70" s="139" t="s">
        <v>167</v>
      </c>
      <c r="K70" s="128">
        <v>13.019248784246576</v>
      </c>
      <c r="L70" s="128">
        <f>(22-K70)</f>
        <v>8.9807512157534237</v>
      </c>
      <c r="M70" s="128">
        <v>8.9</v>
      </c>
      <c r="N70" s="128"/>
      <c r="O70" s="128"/>
      <c r="P70" s="128"/>
      <c r="Q70" s="128"/>
      <c r="R70" s="129"/>
      <c r="S70" s="128"/>
      <c r="T70" s="128"/>
      <c r="U70" s="128"/>
      <c r="V70" s="128"/>
      <c r="W70" s="128"/>
      <c r="X70" s="129"/>
      <c r="AM70" s="107" t="s">
        <v>165</v>
      </c>
      <c r="AN70" s="112">
        <f t="shared" si="10"/>
        <v>4941.40625</v>
      </c>
      <c r="AO70" s="112">
        <v>0</v>
      </c>
      <c r="AP70" s="112">
        <v>0</v>
      </c>
      <c r="AQ70" s="112">
        <v>0</v>
      </c>
      <c r="AR70" s="112">
        <v>15.625</v>
      </c>
      <c r="AS70" s="112">
        <v>0</v>
      </c>
      <c r="AT70" s="112">
        <v>0</v>
      </c>
      <c r="AU70" s="112">
        <v>4637.5600000000004</v>
      </c>
      <c r="AV70" s="112">
        <v>0</v>
      </c>
      <c r="AW70" s="112">
        <v>0</v>
      </c>
      <c r="AX70" s="112">
        <f t="shared" si="11"/>
        <v>3424.6575342465749</v>
      </c>
      <c r="AY70" s="112">
        <v>0</v>
      </c>
      <c r="AZ70" s="112">
        <v>0</v>
      </c>
      <c r="BA70" s="112">
        <v>0</v>
      </c>
      <c r="BB70" s="112">
        <v>0</v>
      </c>
      <c r="BC70" s="112">
        <v>0</v>
      </c>
      <c r="BD70" s="108">
        <f t="shared" si="12"/>
        <v>13019.248784246576</v>
      </c>
      <c r="BE70" s="108">
        <f t="shared" si="13"/>
        <v>13.019248784246576</v>
      </c>
      <c r="BF70" s="108">
        <v>13.019248784246576</v>
      </c>
    </row>
    <row r="71" spans="10:58" x14ac:dyDescent="0.3">
      <c r="J71" s="139" t="s">
        <v>168</v>
      </c>
      <c r="K71" s="128">
        <v>13.514248784246575</v>
      </c>
      <c r="L71" s="128">
        <f>(22-K71)</f>
        <v>8.4857512157534245</v>
      </c>
      <c r="M71" s="128">
        <v>8.4</v>
      </c>
      <c r="N71" s="128"/>
      <c r="O71" s="128"/>
      <c r="P71" s="128"/>
      <c r="Q71" s="128"/>
      <c r="R71" s="129"/>
      <c r="S71" s="134" t="s">
        <v>223</v>
      </c>
      <c r="T71" s="134"/>
      <c r="U71" s="134"/>
      <c r="V71" s="128"/>
      <c r="W71" s="128"/>
      <c r="X71" s="129"/>
      <c r="AM71" s="107" t="s">
        <v>166</v>
      </c>
      <c r="AN71" s="112">
        <f t="shared" si="10"/>
        <v>4941.40625</v>
      </c>
      <c r="AO71" s="112">
        <v>0</v>
      </c>
      <c r="AP71" s="112">
        <v>0</v>
      </c>
      <c r="AQ71" s="112">
        <v>0</v>
      </c>
      <c r="AR71" s="112">
        <v>15.625</v>
      </c>
      <c r="AS71" s="112">
        <v>0</v>
      </c>
      <c r="AT71" s="112">
        <v>0</v>
      </c>
      <c r="AU71" s="112">
        <v>4637.5600000000004</v>
      </c>
      <c r="AV71" s="112">
        <v>0</v>
      </c>
      <c r="AW71" s="112">
        <v>0</v>
      </c>
      <c r="AX71" s="112">
        <f t="shared" si="11"/>
        <v>3424.6575342465749</v>
      </c>
      <c r="AY71" s="112">
        <v>0</v>
      </c>
      <c r="AZ71" s="112">
        <v>0</v>
      </c>
      <c r="BA71" s="112">
        <v>0</v>
      </c>
      <c r="BB71" s="112">
        <v>0</v>
      </c>
      <c r="BC71" s="112">
        <v>0</v>
      </c>
      <c r="BD71" s="108">
        <f t="shared" si="12"/>
        <v>13019.248784246576</v>
      </c>
      <c r="BE71" s="108">
        <f t="shared" si="13"/>
        <v>13.019248784246576</v>
      </c>
      <c r="BF71" s="108">
        <v>13.019248784246576</v>
      </c>
    </row>
    <row r="72" spans="10:58" x14ac:dyDescent="0.3">
      <c r="J72" s="139" t="s">
        <v>169</v>
      </c>
      <c r="K72" s="128">
        <v>20.456748784246578</v>
      </c>
      <c r="L72" s="128">
        <f>(22-K72)</f>
        <v>1.5432512157534219</v>
      </c>
      <c r="M72" s="128">
        <v>1.5</v>
      </c>
      <c r="N72" s="128"/>
      <c r="O72" s="128"/>
      <c r="P72" s="128"/>
      <c r="Q72" s="136"/>
      <c r="R72" s="141"/>
      <c r="S72" s="128"/>
      <c r="T72" s="128"/>
      <c r="U72" s="128"/>
      <c r="V72" s="128"/>
      <c r="W72" s="128"/>
      <c r="X72" s="129"/>
      <c r="AM72" s="107" t="s">
        <v>167</v>
      </c>
      <c r="AN72" s="112">
        <f t="shared" si="10"/>
        <v>4941.40625</v>
      </c>
      <c r="AO72" s="112">
        <v>0</v>
      </c>
      <c r="AP72" s="112">
        <v>0</v>
      </c>
      <c r="AQ72" s="112">
        <v>0</v>
      </c>
      <c r="AR72" s="112">
        <v>15.625</v>
      </c>
      <c r="AS72" s="112">
        <v>0</v>
      </c>
      <c r="AT72" s="112">
        <v>0</v>
      </c>
      <c r="AU72" s="112">
        <v>4637.5600000000004</v>
      </c>
      <c r="AV72" s="112">
        <v>0</v>
      </c>
      <c r="AW72" s="112">
        <v>0</v>
      </c>
      <c r="AX72" s="112">
        <f t="shared" si="11"/>
        <v>3424.6575342465749</v>
      </c>
      <c r="AY72" s="112">
        <v>0</v>
      </c>
      <c r="AZ72" s="112">
        <v>0</v>
      </c>
      <c r="BA72" s="112">
        <v>0</v>
      </c>
      <c r="BB72" s="112">
        <v>0</v>
      </c>
      <c r="BC72" s="112">
        <v>0</v>
      </c>
      <c r="BD72" s="108">
        <f t="shared" si="12"/>
        <v>13019.248784246576</v>
      </c>
      <c r="BE72" s="108">
        <f t="shared" si="13"/>
        <v>13.019248784246576</v>
      </c>
      <c r="BF72" s="108">
        <v>13.019248784246576</v>
      </c>
    </row>
    <row r="73" spans="10:58" x14ac:dyDescent="0.3">
      <c r="J73" s="139" t="s">
        <v>170</v>
      </c>
      <c r="K73" s="128">
        <v>24.295498784246579</v>
      </c>
      <c r="L73" s="128">
        <f>(22-K73)</f>
        <v>-2.295498784246579</v>
      </c>
      <c r="M73" s="127">
        <f>SUM(M68:M72)</f>
        <v>36.6</v>
      </c>
      <c r="N73" s="127">
        <f>SUM(L73:M73)</f>
        <v>34.304501215753419</v>
      </c>
      <c r="O73" s="128"/>
      <c r="P73" s="128"/>
      <c r="Q73" s="136"/>
      <c r="R73" s="141"/>
      <c r="S73" s="128"/>
      <c r="T73" s="128"/>
      <c r="U73" s="128"/>
      <c r="V73" s="128"/>
      <c r="W73" s="128"/>
      <c r="X73" s="129"/>
      <c r="AM73" s="107" t="s">
        <v>168</v>
      </c>
      <c r="AN73" s="112">
        <f t="shared" si="10"/>
        <v>4941.40625</v>
      </c>
      <c r="AO73" s="112">
        <v>0</v>
      </c>
      <c r="AP73" s="112">
        <v>0</v>
      </c>
      <c r="AQ73" s="112">
        <v>0</v>
      </c>
      <c r="AR73" s="112">
        <v>15.625</v>
      </c>
      <c r="AS73" s="112">
        <v>0</v>
      </c>
      <c r="AT73" s="112">
        <v>0</v>
      </c>
      <c r="AU73" s="112">
        <v>4637.5600000000004</v>
      </c>
      <c r="AV73" s="112">
        <v>0</v>
      </c>
      <c r="AW73" s="112">
        <v>0</v>
      </c>
      <c r="AX73" s="112">
        <f t="shared" si="11"/>
        <v>3424.6575342465749</v>
      </c>
      <c r="AY73" s="112">
        <v>0</v>
      </c>
      <c r="AZ73" s="112">
        <f>(15000*0.033)</f>
        <v>495</v>
      </c>
      <c r="BA73" s="112">
        <v>0</v>
      </c>
      <c r="BB73" s="112">
        <v>0</v>
      </c>
      <c r="BC73" s="112">
        <v>0</v>
      </c>
      <c r="BD73" s="108">
        <f t="shared" si="12"/>
        <v>13514.248784246576</v>
      </c>
      <c r="BE73" s="108">
        <f t="shared" si="13"/>
        <v>13.514248784246575</v>
      </c>
      <c r="BF73" s="108">
        <v>13.514248784246575</v>
      </c>
    </row>
    <row r="74" spans="10:58" x14ac:dyDescent="0.3">
      <c r="J74" s="139" t="s">
        <v>171</v>
      </c>
      <c r="K74" s="128">
        <v>13.019248784246576</v>
      </c>
      <c r="L74" s="128">
        <f>(22-K74)</f>
        <v>8.9807512157534237</v>
      </c>
      <c r="M74" s="128">
        <v>8.9</v>
      </c>
      <c r="N74" s="128"/>
      <c r="O74" s="136"/>
      <c r="P74" s="136"/>
      <c r="Q74" s="136"/>
      <c r="R74" s="141"/>
      <c r="S74" s="128"/>
      <c r="T74" s="128"/>
      <c r="U74" s="128"/>
      <c r="V74" s="128"/>
      <c r="W74" s="128"/>
      <c r="X74" s="129"/>
      <c r="AM74" s="107" t="s">
        <v>169</v>
      </c>
      <c r="AN74" s="112">
        <f t="shared" si="10"/>
        <v>4941.40625</v>
      </c>
      <c r="AO74" s="112">
        <v>7187.5</v>
      </c>
      <c r="AP74" s="112">
        <v>0</v>
      </c>
      <c r="AQ74" s="112">
        <v>0</v>
      </c>
      <c r="AR74" s="112">
        <v>15.625</v>
      </c>
      <c r="AS74" s="112">
        <v>0</v>
      </c>
      <c r="AT74" s="112">
        <v>0</v>
      </c>
      <c r="AU74" s="112">
        <v>4637.5600000000004</v>
      </c>
      <c r="AV74" s="112">
        <v>0</v>
      </c>
      <c r="AW74" s="112">
        <v>0</v>
      </c>
      <c r="AX74" s="112">
        <f t="shared" si="11"/>
        <v>3424.6575342465749</v>
      </c>
      <c r="AY74" s="112">
        <v>0</v>
      </c>
      <c r="AZ74" s="112">
        <v>0</v>
      </c>
      <c r="BA74" s="112">
        <v>0</v>
      </c>
      <c r="BB74" s="112">
        <v>250</v>
      </c>
      <c r="BC74" s="112">
        <v>0</v>
      </c>
      <c r="BD74" s="108">
        <f t="shared" si="12"/>
        <v>20456.748784246578</v>
      </c>
      <c r="BE74" s="108">
        <f t="shared" si="13"/>
        <v>20.456748784246578</v>
      </c>
      <c r="BF74" s="108">
        <v>20.456748784246578</v>
      </c>
    </row>
    <row r="75" spans="10:58" x14ac:dyDescent="0.3">
      <c r="J75" s="139" t="s">
        <v>172</v>
      </c>
      <c r="K75" s="128">
        <v>9.8350221175799089</v>
      </c>
      <c r="L75" s="128">
        <f>(22-K75)</f>
        <v>12.164977882420091</v>
      </c>
      <c r="M75" s="128">
        <v>12.2</v>
      </c>
      <c r="N75" s="128"/>
      <c r="O75" s="136"/>
      <c r="P75" s="136"/>
      <c r="Q75" s="136"/>
      <c r="R75" s="141"/>
      <c r="S75" s="128"/>
      <c r="T75" s="128"/>
      <c r="U75" s="128"/>
      <c r="V75" s="128"/>
      <c r="W75" s="128"/>
      <c r="X75" s="129"/>
      <c r="AM75" s="107" t="s">
        <v>170</v>
      </c>
      <c r="AN75" s="112">
        <f t="shared" si="10"/>
        <v>4941.40625</v>
      </c>
      <c r="AO75" s="112">
        <v>0</v>
      </c>
      <c r="AP75" s="112">
        <f>(AP$7/2)</f>
        <v>10781.25</v>
      </c>
      <c r="AQ75" s="112">
        <v>0</v>
      </c>
      <c r="AR75" s="112">
        <v>15.625</v>
      </c>
      <c r="AS75" s="112">
        <v>0</v>
      </c>
      <c r="AT75" s="112">
        <v>0</v>
      </c>
      <c r="AU75" s="112">
        <v>4637.5600000000004</v>
      </c>
      <c r="AV75" s="112">
        <v>0</v>
      </c>
      <c r="AW75" s="112">
        <v>0</v>
      </c>
      <c r="AX75" s="112">
        <f t="shared" si="11"/>
        <v>3424.6575342465749</v>
      </c>
      <c r="AY75" s="112">
        <v>0</v>
      </c>
      <c r="AZ75" s="112">
        <f>(15000*0.033)</f>
        <v>495</v>
      </c>
      <c r="BA75" s="112">
        <v>0</v>
      </c>
      <c r="BB75" s="112">
        <v>0</v>
      </c>
      <c r="BC75" s="112">
        <v>0</v>
      </c>
      <c r="BD75" s="108">
        <f t="shared" si="12"/>
        <v>24295.498784246578</v>
      </c>
      <c r="BE75" s="108">
        <f t="shared" si="13"/>
        <v>24.295498784246579</v>
      </c>
      <c r="BF75" s="108">
        <v>24.295498784246579</v>
      </c>
    </row>
    <row r="76" spans="10:58" x14ac:dyDescent="0.3">
      <c r="J76" s="139" t="s">
        <v>173</v>
      </c>
      <c r="K76" s="128">
        <v>8.9666887842465748</v>
      </c>
      <c r="L76" s="128">
        <f>(22-K76)</f>
        <v>13.033311215753425</v>
      </c>
      <c r="M76" s="128">
        <v>13</v>
      </c>
      <c r="N76" s="128"/>
      <c r="O76" s="136"/>
      <c r="P76" s="136"/>
      <c r="Q76" s="136"/>
      <c r="R76" s="141"/>
      <c r="S76" s="128"/>
      <c r="T76" s="128"/>
      <c r="U76" s="128"/>
      <c r="V76" s="128"/>
      <c r="W76" s="128"/>
      <c r="X76" s="129"/>
      <c r="AM76" s="107" t="s">
        <v>171</v>
      </c>
      <c r="AN76" s="112">
        <f t="shared" si="10"/>
        <v>4941.40625</v>
      </c>
      <c r="AO76" s="112">
        <v>0</v>
      </c>
      <c r="AP76" s="112">
        <v>0</v>
      </c>
      <c r="AQ76" s="112">
        <v>0</v>
      </c>
      <c r="AR76" s="112">
        <v>15.625</v>
      </c>
      <c r="AS76" s="112">
        <v>0</v>
      </c>
      <c r="AT76" s="112">
        <v>0</v>
      </c>
      <c r="AU76" s="112">
        <v>4637.5600000000004</v>
      </c>
      <c r="AV76" s="112">
        <v>0</v>
      </c>
      <c r="AW76" s="112">
        <v>0</v>
      </c>
      <c r="AX76" s="112">
        <f t="shared" si="11"/>
        <v>3424.6575342465749</v>
      </c>
      <c r="AY76" s="112">
        <v>0</v>
      </c>
      <c r="AZ76" s="112">
        <v>0</v>
      </c>
      <c r="BA76" s="112">
        <v>0</v>
      </c>
      <c r="BB76" s="112">
        <v>0</v>
      </c>
      <c r="BC76" s="112">
        <v>0</v>
      </c>
      <c r="BD76" s="108">
        <f t="shared" si="12"/>
        <v>13019.248784246576</v>
      </c>
      <c r="BE76" s="108">
        <f t="shared" si="13"/>
        <v>13.019248784246576</v>
      </c>
      <c r="BF76" s="108">
        <v>13.019248784246576</v>
      </c>
    </row>
    <row r="77" spans="10:58" x14ac:dyDescent="0.3">
      <c r="J77" s="139" t="s">
        <v>174</v>
      </c>
      <c r="K77" s="128">
        <v>8.8766887842465749</v>
      </c>
      <c r="L77" s="128">
        <f>(22-K77)</f>
        <v>13.123311215753425</v>
      </c>
      <c r="M77" s="128">
        <v>13</v>
      </c>
      <c r="N77" s="128"/>
      <c r="O77" s="136"/>
      <c r="P77" s="136"/>
      <c r="Q77" s="136"/>
      <c r="R77" s="141"/>
      <c r="S77" s="128"/>
      <c r="T77" s="128"/>
      <c r="U77" s="128"/>
      <c r="V77" s="128"/>
      <c r="W77" s="128"/>
      <c r="X77" s="129"/>
      <c r="AM77" s="107" t="s">
        <v>172</v>
      </c>
      <c r="AN77" s="112">
        <f t="shared" si="10"/>
        <v>4941.40625</v>
      </c>
      <c r="AO77" s="112">
        <v>0</v>
      </c>
      <c r="AP77" s="112">
        <v>0</v>
      </c>
      <c r="AQ77" s="112">
        <v>0</v>
      </c>
      <c r="AR77" s="112">
        <v>15.625</v>
      </c>
      <c r="AS77" s="112">
        <v>0</v>
      </c>
      <c r="AT77" s="112">
        <v>0</v>
      </c>
      <c r="AU77" s="112">
        <v>0</v>
      </c>
      <c r="AV77" s="112">
        <v>0</v>
      </c>
      <c r="AW77" s="112">
        <v>0</v>
      </c>
      <c r="AX77" s="112">
        <f t="shared" si="11"/>
        <v>3424.6575342465749</v>
      </c>
      <c r="AY77" s="112">
        <v>0</v>
      </c>
      <c r="AZ77" s="112">
        <f>(15000*0.033)</f>
        <v>495</v>
      </c>
      <c r="BA77" s="112">
        <f>(2875/3)</f>
        <v>958.33333333333337</v>
      </c>
      <c r="BB77" s="112">
        <v>0</v>
      </c>
      <c r="BC77" s="112">
        <v>0</v>
      </c>
      <c r="BD77" s="108">
        <f t="shared" si="12"/>
        <v>9835.0221175799088</v>
      </c>
      <c r="BE77" s="108">
        <f t="shared" si="13"/>
        <v>9.8350221175799089</v>
      </c>
      <c r="BF77" s="108">
        <v>9.8350221175799089</v>
      </c>
    </row>
    <row r="78" spans="10:58" x14ac:dyDescent="0.3">
      <c r="J78" s="139" t="s">
        <v>175</v>
      </c>
      <c r="K78" s="128">
        <v>8.3816887842465757</v>
      </c>
      <c r="L78" s="128">
        <f>(22-K78)</f>
        <v>13.618311215753424</v>
      </c>
      <c r="M78" s="128">
        <v>13</v>
      </c>
      <c r="N78" s="128"/>
      <c r="O78" s="128"/>
      <c r="P78" s="128"/>
      <c r="Q78" s="128"/>
      <c r="R78" s="129"/>
      <c r="S78" s="128"/>
      <c r="T78" s="128"/>
      <c r="U78" s="128"/>
      <c r="V78" s="128"/>
      <c r="W78" s="128"/>
      <c r="X78" s="129"/>
      <c r="AM78" s="107" t="s">
        <v>173</v>
      </c>
      <c r="AN78" s="112">
        <f t="shared" si="10"/>
        <v>4941.40625</v>
      </c>
      <c r="AO78" s="112">
        <v>0</v>
      </c>
      <c r="AP78" s="112">
        <v>0</v>
      </c>
      <c r="AQ78" s="112">
        <v>0</v>
      </c>
      <c r="AR78" s="112">
        <v>15.625</v>
      </c>
      <c r="AS78" s="112">
        <v>0</v>
      </c>
      <c r="AT78" s="112">
        <v>335</v>
      </c>
      <c r="AU78" s="112">
        <v>0</v>
      </c>
      <c r="AV78" s="112">
        <v>0</v>
      </c>
      <c r="AW78" s="112">
        <v>0</v>
      </c>
      <c r="AX78" s="112">
        <f t="shared" si="11"/>
        <v>3424.6575342465749</v>
      </c>
      <c r="AY78" s="112">
        <v>0</v>
      </c>
      <c r="AZ78" s="112">
        <v>0</v>
      </c>
      <c r="BA78" s="112">
        <v>0</v>
      </c>
      <c r="BB78" s="112">
        <v>250</v>
      </c>
      <c r="BC78" s="112">
        <v>0</v>
      </c>
      <c r="BD78" s="108">
        <f t="shared" si="12"/>
        <v>8966.6887842465749</v>
      </c>
      <c r="BE78" s="108">
        <f t="shared" si="13"/>
        <v>8.9666887842465748</v>
      </c>
      <c r="BF78" s="108">
        <v>8.9666887842465748</v>
      </c>
    </row>
    <row r="79" spans="10:58" x14ac:dyDescent="0.3">
      <c r="J79" s="139">
        <v>1</v>
      </c>
      <c r="K79" s="128">
        <v>28.50335545091324</v>
      </c>
      <c r="L79" s="128">
        <f>(22-K79)</f>
        <v>-6.5033554509132401</v>
      </c>
      <c r="M79" s="127">
        <f>SUM(M74:M78)</f>
        <v>60.1</v>
      </c>
      <c r="N79" s="127">
        <f>SUM(L79:M79)</f>
        <v>53.596644549086761</v>
      </c>
      <c r="O79" s="128"/>
      <c r="P79" s="128"/>
      <c r="Q79" s="128"/>
      <c r="R79" s="129"/>
      <c r="S79" s="128"/>
      <c r="T79" s="128"/>
      <c r="U79" s="128"/>
      <c r="V79" s="128"/>
      <c r="W79" s="128"/>
      <c r="X79" s="129"/>
      <c r="AM79" s="107" t="s">
        <v>174</v>
      </c>
      <c r="AN79" s="112">
        <f t="shared" si="10"/>
        <v>4941.40625</v>
      </c>
      <c r="AO79" s="112">
        <v>0</v>
      </c>
      <c r="AP79" s="112">
        <v>0</v>
      </c>
      <c r="AQ79" s="112">
        <v>0</v>
      </c>
      <c r="AR79" s="112">
        <v>15.625</v>
      </c>
      <c r="AS79" s="112">
        <v>0</v>
      </c>
      <c r="AT79" s="112">
        <v>0</v>
      </c>
      <c r="AU79" s="112">
        <v>0</v>
      </c>
      <c r="AV79" s="112">
        <v>0</v>
      </c>
      <c r="AW79" s="112">
        <v>0</v>
      </c>
      <c r="AX79" s="112">
        <f t="shared" si="11"/>
        <v>3424.6575342465749</v>
      </c>
      <c r="AY79" s="112">
        <v>0</v>
      </c>
      <c r="AZ79" s="112">
        <f>(15000*0.033)</f>
        <v>495</v>
      </c>
      <c r="BA79" s="112">
        <v>0</v>
      </c>
      <c r="BB79" s="112">
        <v>0</v>
      </c>
      <c r="BC79" s="112">
        <v>0</v>
      </c>
      <c r="BD79" s="108">
        <f t="shared" si="12"/>
        <v>8876.6887842465749</v>
      </c>
      <c r="BE79" s="108">
        <f t="shared" si="13"/>
        <v>8.8766887842465749</v>
      </c>
      <c r="BF79" s="108">
        <v>8.8766887842465749</v>
      </c>
    </row>
    <row r="80" spans="10:58" x14ac:dyDescent="0.3">
      <c r="J80" s="139">
        <v>2</v>
      </c>
      <c r="K80" s="128">
        <v>34.918355450913246</v>
      </c>
      <c r="L80" s="128">
        <f>(22-K80)</f>
        <v>-12.918355450913246</v>
      </c>
      <c r="M80" s="128"/>
      <c r="N80" s="127">
        <f>SUM(N73:N79)</f>
        <v>87.90114576484018</v>
      </c>
      <c r="O80" s="127">
        <f>(N80+L80)</f>
        <v>74.982790313926927</v>
      </c>
      <c r="P80" s="128"/>
      <c r="Q80" s="128"/>
      <c r="R80" s="129"/>
      <c r="S80" s="128"/>
      <c r="T80" s="128"/>
      <c r="U80" s="128"/>
      <c r="V80" s="128"/>
      <c r="W80" s="128"/>
      <c r="X80" s="129"/>
      <c r="AM80" s="107" t="s">
        <v>175</v>
      </c>
      <c r="AN80" s="112">
        <f t="shared" si="10"/>
        <v>4941.40625</v>
      </c>
      <c r="AO80" s="112">
        <v>0</v>
      </c>
      <c r="AP80" s="112">
        <v>0</v>
      </c>
      <c r="AQ80" s="112">
        <v>0</v>
      </c>
      <c r="AR80" s="112">
        <v>15.625</v>
      </c>
      <c r="AS80" s="112">
        <v>0</v>
      </c>
      <c r="AT80" s="112">
        <v>0</v>
      </c>
      <c r="AU80" s="112">
        <v>0</v>
      </c>
      <c r="AV80" s="112">
        <v>0</v>
      </c>
      <c r="AW80" s="112">
        <v>0</v>
      </c>
      <c r="AX80" s="112">
        <f t="shared" si="11"/>
        <v>3424.6575342465749</v>
      </c>
      <c r="AY80" s="112">
        <v>0</v>
      </c>
      <c r="AZ80" s="112">
        <v>0</v>
      </c>
      <c r="BA80" s="112">
        <v>0</v>
      </c>
      <c r="BB80" s="112">
        <v>0</v>
      </c>
      <c r="BC80" s="112">
        <v>0</v>
      </c>
      <c r="BD80" s="108">
        <f t="shared" si="12"/>
        <v>8381.6887842465749</v>
      </c>
      <c r="BE80" s="108">
        <f t="shared" si="13"/>
        <v>8.3816887842465757</v>
      </c>
      <c r="BF80" s="108">
        <v>8.3816887842465757</v>
      </c>
    </row>
    <row r="81" spans="10:58" x14ac:dyDescent="0.3">
      <c r="J81" s="139">
        <v>3</v>
      </c>
      <c r="K81" s="128">
        <v>8.3816887842465757</v>
      </c>
      <c r="L81" s="128">
        <f>(22-K81)</f>
        <v>13.618311215753424</v>
      </c>
      <c r="M81" s="128">
        <v>13</v>
      </c>
      <c r="N81" s="128"/>
      <c r="O81" s="128"/>
      <c r="P81" s="128"/>
      <c r="Q81" s="128"/>
      <c r="R81" s="129"/>
      <c r="S81" s="128"/>
      <c r="T81" s="128"/>
      <c r="U81" s="128"/>
      <c r="V81" s="128"/>
      <c r="W81" s="128"/>
      <c r="X81" s="129"/>
      <c r="AM81" s="107">
        <v>1</v>
      </c>
      <c r="AN81" s="112">
        <f t="shared" si="10"/>
        <v>4941.40625</v>
      </c>
      <c r="AO81" s="112">
        <v>0</v>
      </c>
      <c r="AP81" s="112">
        <v>0</v>
      </c>
      <c r="AQ81" s="112">
        <v>0</v>
      </c>
      <c r="AR81" s="112">
        <v>15.625</v>
      </c>
      <c r="AS81" s="112">
        <v>0</v>
      </c>
      <c r="AT81" s="112">
        <v>335</v>
      </c>
      <c r="AU81" s="112">
        <v>0</v>
      </c>
      <c r="AV81" s="112">
        <v>0</v>
      </c>
      <c r="AW81" s="112">
        <f>(10000/4)</f>
        <v>2500</v>
      </c>
      <c r="AX81" s="112">
        <f t="shared" si="11"/>
        <v>3424.6575342465749</v>
      </c>
      <c r="AY81" s="112">
        <f>(47500/3)</f>
        <v>15833.333333333334</v>
      </c>
      <c r="AZ81" s="112">
        <f>(15000*0.033)</f>
        <v>495</v>
      </c>
      <c r="BA81" s="112">
        <f>(2875/3)</f>
        <v>958.33333333333337</v>
      </c>
      <c r="BB81" s="112">
        <v>0</v>
      </c>
      <c r="BC81" s="112">
        <v>0</v>
      </c>
      <c r="BD81" s="108">
        <f t="shared" si="12"/>
        <v>28503.355450913241</v>
      </c>
      <c r="BE81" s="108">
        <f t="shared" si="13"/>
        <v>28.50335545091324</v>
      </c>
      <c r="BF81" s="108">
        <v>28.50335545091324</v>
      </c>
    </row>
    <row r="82" spans="10:58" x14ac:dyDescent="0.3">
      <c r="J82" s="139">
        <v>4</v>
      </c>
      <c r="K82" s="128">
        <v>10.116688784246575</v>
      </c>
      <c r="L82" s="128">
        <f>(22-K82)</f>
        <v>11.883311215753425</v>
      </c>
      <c r="M82" s="128">
        <v>11.8</v>
      </c>
      <c r="N82" s="128"/>
      <c r="O82" s="128"/>
      <c r="P82" s="128"/>
      <c r="Q82" s="128"/>
      <c r="R82" s="129"/>
      <c r="S82" s="128"/>
      <c r="T82" s="128"/>
      <c r="U82" s="128"/>
      <c r="V82" s="128"/>
      <c r="W82" s="128"/>
      <c r="X82" s="129"/>
      <c r="AM82" s="107">
        <v>2</v>
      </c>
      <c r="AN82" s="112">
        <f t="shared" si="10"/>
        <v>4941.40625</v>
      </c>
      <c r="AO82" s="112">
        <v>0</v>
      </c>
      <c r="AP82" s="112">
        <v>0</v>
      </c>
      <c r="AQ82" s="112">
        <v>0</v>
      </c>
      <c r="AR82" s="112">
        <v>15.625</v>
      </c>
      <c r="AS82" s="112">
        <v>0</v>
      </c>
      <c r="AT82" s="112">
        <v>0</v>
      </c>
      <c r="AU82" s="112">
        <v>0</v>
      </c>
      <c r="AV82" s="112">
        <v>0</v>
      </c>
      <c r="AW82" s="112">
        <f>(10000/4)</f>
        <v>2500</v>
      </c>
      <c r="AX82" s="112">
        <f t="shared" si="11"/>
        <v>3424.6575342465749</v>
      </c>
      <c r="AY82" s="112">
        <v>0</v>
      </c>
      <c r="AZ82" s="112">
        <f>(15000*0.033)</f>
        <v>495</v>
      </c>
      <c r="BA82" s="112">
        <v>0</v>
      </c>
      <c r="BB82" s="112">
        <v>0</v>
      </c>
      <c r="BC82" s="112">
        <f>(AX$17/3)</f>
        <v>23541.666666666668</v>
      </c>
      <c r="BD82" s="108">
        <f t="shared" si="12"/>
        <v>34918.355450913245</v>
      </c>
      <c r="BE82" s="108">
        <f t="shared" si="13"/>
        <v>34.918355450913246</v>
      </c>
      <c r="BF82" s="108">
        <v>34.918355450913246</v>
      </c>
    </row>
    <row r="83" spans="10:58" x14ac:dyDescent="0.3">
      <c r="J83" s="139">
        <v>5</v>
      </c>
      <c r="K83" s="128">
        <v>25.860022117579909</v>
      </c>
      <c r="L83" s="128">
        <f>(22-K83)</f>
        <v>-3.8600221175799092</v>
      </c>
      <c r="M83" s="127">
        <f>SUM(M81:M82)</f>
        <v>24.8</v>
      </c>
      <c r="N83" s="127">
        <f>SUM(L83:M83)</f>
        <v>20.939977882420092</v>
      </c>
      <c r="O83" s="128"/>
      <c r="P83" s="128"/>
      <c r="Q83" s="128"/>
      <c r="R83" s="129"/>
      <c r="S83" s="128"/>
      <c r="T83" s="128"/>
      <c r="U83" s="128"/>
      <c r="V83" s="128"/>
      <c r="W83" s="128"/>
      <c r="X83" s="129"/>
      <c r="AM83" s="107">
        <v>3</v>
      </c>
      <c r="AN83" s="112">
        <f t="shared" si="10"/>
        <v>4941.40625</v>
      </c>
      <c r="AO83" s="112">
        <v>0</v>
      </c>
      <c r="AP83" s="112">
        <v>0</v>
      </c>
      <c r="AQ83" s="112">
        <v>0</v>
      </c>
      <c r="AR83" s="112">
        <v>15.625</v>
      </c>
      <c r="AS83" s="112">
        <v>0</v>
      </c>
      <c r="AT83" s="112">
        <v>0</v>
      </c>
      <c r="AU83" s="112">
        <v>0</v>
      </c>
      <c r="AV83" s="112">
        <v>0</v>
      </c>
      <c r="AW83" s="112">
        <v>0</v>
      </c>
      <c r="AX83" s="112">
        <f t="shared" si="11"/>
        <v>3424.6575342465749</v>
      </c>
      <c r="AY83" s="112">
        <v>0</v>
      </c>
      <c r="AZ83" s="112">
        <v>0</v>
      </c>
      <c r="BA83" s="112">
        <v>0</v>
      </c>
      <c r="BB83" s="112">
        <v>0</v>
      </c>
      <c r="BC83" s="112">
        <v>0</v>
      </c>
      <c r="BD83" s="108">
        <f t="shared" si="12"/>
        <v>8381.6887842465749</v>
      </c>
      <c r="BE83" s="108">
        <f t="shared" si="13"/>
        <v>8.3816887842465757</v>
      </c>
      <c r="BF83" s="108">
        <v>8.3816887842465757</v>
      </c>
    </row>
    <row r="84" spans="10:58" x14ac:dyDescent="0.3">
      <c r="J84" s="126"/>
      <c r="K84" s="128">
        <f>SUM(K60:K83)</f>
        <v>463.27393082191787</v>
      </c>
      <c r="L84" s="128"/>
      <c r="M84" s="128"/>
      <c r="N84" s="128"/>
      <c r="O84" s="128"/>
      <c r="P84" s="128"/>
      <c r="Q84" s="128"/>
      <c r="R84" s="129"/>
      <c r="S84" s="128"/>
      <c r="T84" s="128"/>
      <c r="U84" s="128"/>
      <c r="V84" s="128"/>
      <c r="W84" s="128"/>
      <c r="X84" s="129"/>
      <c r="AM84" s="107">
        <v>4</v>
      </c>
      <c r="AN84" s="112">
        <f t="shared" si="10"/>
        <v>4941.40625</v>
      </c>
      <c r="AO84" s="112">
        <v>0</v>
      </c>
      <c r="AP84" s="112">
        <v>0</v>
      </c>
      <c r="AQ84" s="112">
        <v>0</v>
      </c>
      <c r="AR84" s="112">
        <v>15.625</v>
      </c>
      <c r="AS84" s="112">
        <v>0</v>
      </c>
      <c r="AT84" s="112">
        <v>335</v>
      </c>
      <c r="AU84" s="112">
        <v>0</v>
      </c>
      <c r="AV84" s="112">
        <v>1150</v>
      </c>
      <c r="AW84" s="112">
        <v>0</v>
      </c>
      <c r="AX84" s="112">
        <f t="shared" si="11"/>
        <v>3424.6575342465749</v>
      </c>
      <c r="AY84" s="112">
        <v>0</v>
      </c>
      <c r="AZ84" s="112">
        <v>0</v>
      </c>
      <c r="BA84" s="112">
        <v>0</v>
      </c>
      <c r="BB84" s="112">
        <v>250</v>
      </c>
      <c r="BC84" s="112">
        <v>0</v>
      </c>
      <c r="BD84" s="108">
        <f t="shared" si="12"/>
        <v>10116.688784246575</v>
      </c>
      <c r="BE84" s="108">
        <f t="shared" si="13"/>
        <v>10.116688784246575</v>
      </c>
      <c r="BF84" s="108">
        <v>10.116688784246575</v>
      </c>
    </row>
    <row r="85" spans="10:58" ht="16.2" thickBot="1" x14ac:dyDescent="0.35">
      <c r="J85" s="130"/>
      <c r="K85" s="131"/>
      <c r="L85" s="131"/>
      <c r="M85" s="131"/>
      <c r="N85" s="131"/>
      <c r="O85" s="131"/>
      <c r="P85" s="131"/>
      <c r="Q85" s="131"/>
      <c r="R85" s="132"/>
      <c r="S85" s="131"/>
      <c r="T85" s="131"/>
      <c r="U85" s="131"/>
      <c r="V85" s="131"/>
      <c r="W85" s="131"/>
      <c r="X85" s="132"/>
      <c r="AM85" s="107">
        <v>5</v>
      </c>
      <c r="AN85" s="112">
        <f t="shared" si="10"/>
        <v>4941.40625</v>
      </c>
      <c r="AO85" s="112">
        <v>0</v>
      </c>
      <c r="AP85" s="112">
        <v>0</v>
      </c>
      <c r="AQ85" s="112">
        <v>0</v>
      </c>
      <c r="AR85" s="112">
        <v>15.625</v>
      </c>
      <c r="AS85" s="112">
        <v>0</v>
      </c>
      <c r="AT85" s="112">
        <v>0</v>
      </c>
      <c r="AU85" s="112">
        <v>0</v>
      </c>
      <c r="AV85" s="112">
        <v>1150</v>
      </c>
      <c r="AW85" s="112">
        <v>0</v>
      </c>
      <c r="AX85" s="112">
        <f t="shared" si="11"/>
        <v>3424.6575342465749</v>
      </c>
      <c r="AY85" s="112">
        <f>(47500/3)</f>
        <v>15833.333333333334</v>
      </c>
      <c r="AZ85" s="112">
        <f>(15000*0.033)</f>
        <v>495</v>
      </c>
      <c r="BA85" s="112">
        <v>0</v>
      </c>
      <c r="BB85" s="112">
        <v>0</v>
      </c>
      <c r="BC85" s="112">
        <v>0</v>
      </c>
      <c r="BD85" s="110">
        <f t="shared" si="12"/>
        <v>25860.022117579909</v>
      </c>
      <c r="BE85" s="108">
        <f t="shared" si="13"/>
        <v>25.860022117579909</v>
      </c>
      <c r="BF85" s="108">
        <v>25.860022117579909</v>
      </c>
    </row>
    <row r="86" spans="10:58" x14ac:dyDescent="0.3">
      <c r="AP86" s="106"/>
      <c r="BC86" s="110" t="s">
        <v>111</v>
      </c>
      <c r="BD86" s="110">
        <f>SUM(BD62:BD85)</f>
        <v>463273.93082191772</v>
      </c>
      <c r="BE86" s="109">
        <f>SUM(BE62:BE85)</f>
        <v>463.27393082191787</v>
      </c>
      <c r="BF86" s="109">
        <f>SUM(BF62:BF85)</f>
        <v>506.70359505707768</v>
      </c>
    </row>
    <row r="88" spans="10:58" ht="21" x14ac:dyDescent="0.4">
      <c r="AM88" s="113" t="s">
        <v>182</v>
      </c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</row>
    <row r="89" spans="10:58" x14ac:dyDescent="0.3">
      <c r="AM89" s="33" t="s">
        <v>146</v>
      </c>
      <c r="AN89" s="41" t="s">
        <v>147</v>
      </c>
      <c r="AO89" s="41" t="s">
        <v>148</v>
      </c>
      <c r="AP89" s="41" t="s">
        <v>149</v>
      </c>
      <c r="AQ89" s="41" t="s">
        <v>150</v>
      </c>
      <c r="AR89" s="41" t="s">
        <v>151</v>
      </c>
      <c r="AS89" s="41" t="s">
        <v>152</v>
      </c>
      <c r="AT89" s="41" t="s">
        <v>153</v>
      </c>
      <c r="AU89" s="41" t="s">
        <v>154</v>
      </c>
      <c r="AV89" s="41" t="s">
        <v>155</v>
      </c>
      <c r="AW89" s="41" t="s">
        <v>157</v>
      </c>
      <c r="AX89" s="41" t="s">
        <v>156</v>
      </c>
      <c r="AY89" s="41" t="s">
        <v>158</v>
      </c>
      <c r="AZ89" s="41" t="s">
        <v>159</v>
      </c>
      <c r="BA89" s="41" t="s">
        <v>160</v>
      </c>
      <c r="BB89" s="41" t="s">
        <v>161</v>
      </c>
      <c r="BC89" s="41" t="s">
        <v>163</v>
      </c>
      <c r="BD89" s="108" t="s">
        <v>162</v>
      </c>
      <c r="BE89" s="108" t="s">
        <v>177</v>
      </c>
    </row>
    <row r="90" spans="10:58" x14ac:dyDescent="0.3">
      <c r="AM90" s="33" t="s">
        <v>145</v>
      </c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108"/>
      <c r="BE90" s="108"/>
    </row>
    <row r="91" spans="10:58" x14ac:dyDescent="0.3">
      <c r="AM91" s="107">
        <v>6</v>
      </c>
      <c r="AN91" s="112">
        <f>((AP$5/24)*1.25)</f>
        <v>6176.7578125</v>
      </c>
      <c r="AO91" s="112">
        <v>0</v>
      </c>
      <c r="AP91" s="112">
        <v>0</v>
      </c>
      <c r="AQ91" s="112">
        <v>0</v>
      </c>
      <c r="AR91" s="112">
        <f>15.625*1.25</f>
        <v>19.53125</v>
      </c>
      <c r="AS91" s="112">
        <f>500*1.25</f>
        <v>625</v>
      </c>
      <c r="AT91" s="112">
        <f>335*1.25</f>
        <v>418.75</v>
      </c>
      <c r="AU91" s="112">
        <v>0</v>
      </c>
      <c r="AV91" s="112">
        <f>1150*1.25</f>
        <v>1437.5</v>
      </c>
      <c r="AW91" s="112">
        <v>0</v>
      </c>
      <c r="AX91" s="112">
        <f>((AP$21/24)*1.25)</f>
        <v>4280.8219178082181</v>
      </c>
      <c r="AY91" s="112">
        <v>0</v>
      </c>
      <c r="AZ91" s="112">
        <f>((15000*0.033)*1.25)</f>
        <v>618.75</v>
      </c>
      <c r="BA91" s="112">
        <v>0</v>
      </c>
      <c r="BB91" s="112">
        <f>((1250/5)*1.25)</f>
        <v>312.5</v>
      </c>
      <c r="BC91" s="112">
        <v>0</v>
      </c>
      <c r="BD91" s="108">
        <f t="shared" ref="BD91:BD96" si="14">SUM(AN91:BC91)</f>
        <v>13889.610980308218</v>
      </c>
      <c r="BE91" s="108">
        <f t="shared" ref="BE91:BE96" si="15">(BD91/1000)</f>
        <v>13.889610980308218</v>
      </c>
    </row>
    <row r="92" spans="10:58" x14ac:dyDescent="0.3">
      <c r="AM92" s="107">
        <v>7</v>
      </c>
      <c r="AN92" s="112">
        <f t="shared" ref="AN92:AN114" si="16">((AP$5/24)*1.25)</f>
        <v>6176.7578125</v>
      </c>
      <c r="AO92" s="112">
        <v>0</v>
      </c>
      <c r="AP92" s="112">
        <v>0</v>
      </c>
      <c r="AQ92" s="112">
        <v>0</v>
      </c>
      <c r="AR92" s="112">
        <f t="shared" ref="AR92:AR114" si="17">15.625*1.25</f>
        <v>19.53125</v>
      </c>
      <c r="AS92" s="112">
        <f>500*1.25</f>
        <v>625</v>
      </c>
      <c r="AT92" s="112">
        <v>0</v>
      </c>
      <c r="AU92" s="112">
        <v>0</v>
      </c>
      <c r="AV92" s="112">
        <f>1150*1.25</f>
        <v>1437.5</v>
      </c>
      <c r="AW92" s="112">
        <v>0</v>
      </c>
      <c r="AX92" s="112">
        <f t="shared" ref="AX92:AX114" si="18">((AP$21/24)*1.25)</f>
        <v>4280.8219178082181</v>
      </c>
      <c r="AY92" s="112">
        <f>((47500/3)*1.25)</f>
        <v>19791.666666666668</v>
      </c>
      <c r="AZ92" s="112">
        <v>0</v>
      </c>
      <c r="BA92" s="112">
        <f>((2875/3)*1.25)</f>
        <v>1197.9166666666667</v>
      </c>
      <c r="BB92" s="112">
        <v>0</v>
      </c>
      <c r="BC92" s="112">
        <v>0</v>
      </c>
      <c r="BD92" s="108">
        <f t="shared" si="14"/>
        <v>33529.19431364155</v>
      </c>
      <c r="BE92" s="108">
        <f t="shared" si="15"/>
        <v>33.529194313641547</v>
      </c>
    </row>
    <row r="93" spans="10:58" x14ac:dyDescent="0.3">
      <c r="AM93" s="107">
        <v>8</v>
      </c>
      <c r="AN93" s="112">
        <f t="shared" si="16"/>
        <v>6176.7578125</v>
      </c>
      <c r="AO93" s="112">
        <v>0</v>
      </c>
      <c r="AP93" s="112">
        <v>0</v>
      </c>
      <c r="AQ93" s="112">
        <v>0</v>
      </c>
      <c r="AR93" s="112">
        <f t="shared" si="17"/>
        <v>19.53125</v>
      </c>
      <c r="AS93" s="112">
        <f>500*1.25</f>
        <v>625</v>
      </c>
      <c r="AT93" s="112">
        <v>0</v>
      </c>
      <c r="AU93" s="112">
        <f>(6028.945*0.2)</f>
        <v>1205.789</v>
      </c>
      <c r="AV93" s="112">
        <f>1150*1.25</f>
        <v>1437.5</v>
      </c>
      <c r="AW93" s="112">
        <f>((10000/4)*1.25)</f>
        <v>3125</v>
      </c>
      <c r="AX93" s="112">
        <f t="shared" si="18"/>
        <v>4280.8219178082181</v>
      </c>
      <c r="AY93" s="112">
        <v>0</v>
      </c>
      <c r="AZ93" s="112">
        <f>((15000*0.033)*1.25)</f>
        <v>618.75</v>
      </c>
      <c r="BA93" s="112">
        <v>0</v>
      </c>
      <c r="BB93" s="112">
        <v>0</v>
      </c>
      <c r="BC93" s="112">
        <v>0</v>
      </c>
      <c r="BD93" s="108">
        <f t="shared" si="14"/>
        <v>17489.149980308219</v>
      </c>
      <c r="BE93" s="108">
        <f t="shared" si="15"/>
        <v>17.48914998030822</v>
      </c>
    </row>
    <row r="94" spans="10:58" x14ac:dyDescent="0.3">
      <c r="AM94" s="107">
        <v>9</v>
      </c>
      <c r="AN94" s="112">
        <f t="shared" si="16"/>
        <v>6176.7578125</v>
      </c>
      <c r="AO94" s="112">
        <v>0</v>
      </c>
      <c r="AP94" s="112">
        <v>0</v>
      </c>
      <c r="AQ94" s="112">
        <v>0</v>
      </c>
      <c r="AR94" s="112">
        <f t="shared" si="17"/>
        <v>19.53125</v>
      </c>
      <c r="AS94" s="112">
        <f>500*1.25</f>
        <v>625</v>
      </c>
      <c r="AT94" s="112">
        <f>335*1.25</f>
        <v>418.75</v>
      </c>
      <c r="AU94" s="112">
        <f>(4637.65*1.3)</f>
        <v>6028.9449999999997</v>
      </c>
      <c r="AV94" s="112">
        <f>1150*1.25</f>
        <v>1437.5</v>
      </c>
      <c r="AW94" s="112">
        <f>((10000/4)*1.25)</f>
        <v>3125</v>
      </c>
      <c r="AX94" s="112">
        <f t="shared" si="18"/>
        <v>4280.8219178082181</v>
      </c>
      <c r="AY94" s="112">
        <v>0</v>
      </c>
      <c r="AZ94" s="112">
        <v>0</v>
      </c>
      <c r="BA94" s="112">
        <v>0</v>
      </c>
      <c r="BB94" s="112">
        <f>((1250/5)*1.25)</f>
        <v>312.5</v>
      </c>
      <c r="BC94" s="112">
        <v>0</v>
      </c>
      <c r="BD94" s="108">
        <f t="shared" si="14"/>
        <v>22424.805980308218</v>
      </c>
      <c r="BE94" s="108">
        <f t="shared" si="15"/>
        <v>22.424805980308218</v>
      </c>
    </row>
    <row r="95" spans="10:58" x14ac:dyDescent="0.3">
      <c r="AM95" s="107">
        <v>10</v>
      </c>
      <c r="AN95" s="112">
        <f t="shared" si="16"/>
        <v>6176.7578125</v>
      </c>
      <c r="AO95" s="112">
        <f>7187.5*1.25</f>
        <v>8984.375</v>
      </c>
      <c r="AP95" s="112">
        <v>0</v>
      </c>
      <c r="AQ95" s="112">
        <f>((7187.5/2)*1.25)</f>
        <v>4492.1875</v>
      </c>
      <c r="AR95" s="112">
        <f t="shared" si="17"/>
        <v>19.53125</v>
      </c>
      <c r="AS95" s="112">
        <f>500*1.25</f>
        <v>625</v>
      </c>
      <c r="AT95" s="112">
        <v>0</v>
      </c>
      <c r="AU95" s="112">
        <f t="shared" ref="AU95:AU105" si="19">(4637.65*1.3)</f>
        <v>6028.9449999999997</v>
      </c>
      <c r="AV95" s="112">
        <f>1150*1.25</f>
        <v>1437.5</v>
      </c>
      <c r="AW95" s="112">
        <v>0</v>
      </c>
      <c r="AX95" s="112">
        <f t="shared" si="18"/>
        <v>4280.8219178082181</v>
      </c>
      <c r="AY95" s="112">
        <v>0</v>
      </c>
      <c r="AZ95" s="112">
        <f>((15000*0.033)*1.25)</f>
        <v>618.75</v>
      </c>
      <c r="BA95" s="112">
        <v>0</v>
      </c>
      <c r="BB95" s="112">
        <v>0</v>
      </c>
      <c r="BC95" s="112">
        <v>0</v>
      </c>
      <c r="BD95" s="108">
        <f t="shared" si="14"/>
        <v>32663.868480308218</v>
      </c>
      <c r="BE95" s="108">
        <f t="shared" si="15"/>
        <v>32.663868480308217</v>
      </c>
    </row>
    <row r="96" spans="10:58" x14ac:dyDescent="0.3">
      <c r="AM96" s="107">
        <v>11</v>
      </c>
      <c r="AN96" s="112">
        <f t="shared" si="16"/>
        <v>6176.7578125</v>
      </c>
      <c r="AO96" s="112">
        <v>0</v>
      </c>
      <c r="AP96" s="112">
        <f>((AP$7/2)*1.25)</f>
        <v>13476.5625</v>
      </c>
      <c r="AQ96" s="112">
        <f>((7187.5/2)*1.25)</f>
        <v>4492.1875</v>
      </c>
      <c r="AR96" s="112">
        <f t="shared" si="17"/>
        <v>19.53125</v>
      </c>
      <c r="AS96" s="112">
        <v>0</v>
      </c>
      <c r="AT96" s="112">
        <v>0</v>
      </c>
      <c r="AU96" s="112">
        <f t="shared" si="19"/>
        <v>6028.9449999999997</v>
      </c>
      <c r="AV96" s="112">
        <v>0</v>
      </c>
      <c r="AW96" s="112">
        <v>0</v>
      </c>
      <c r="AX96" s="112">
        <f t="shared" si="18"/>
        <v>4280.8219178082181</v>
      </c>
      <c r="AY96" s="112">
        <v>0</v>
      </c>
      <c r="AZ96" s="112">
        <v>0</v>
      </c>
      <c r="BA96" s="112">
        <v>0</v>
      </c>
      <c r="BB96" s="112">
        <v>0</v>
      </c>
      <c r="BC96" s="112"/>
      <c r="BD96" s="108">
        <f t="shared" si="14"/>
        <v>34474.805980308214</v>
      </c>
      <c r="BE96" s="108">
        <f t="shared" si="15"/>
        <v>34.474805980308211</v>
      </c>
    </row>
    <row r="97" spans="9:57" x14ac:dyDescent="0.3">
      <c r="AM97" s="107">
        <v>12</v>
      </c>
      <c r="AN97" s="112">
        <f t="shared" si="16"/>
        <v>6176.7578125</v>
      </c>
      <c r="AO97" s="112">
        <v>0</v>
      </c>
      <c r="AP97" s="112">
        <v>0</v>
      </c>
      <c r="AQ97" s="112">
        <v>0</v>
      </c>
      <c r="AR97" s="112">
        <f t="shared" si="17"/>
        <v>19.53125</v>
      </c>
      <c r="AS97" s="112">
        <v>0</v>
      </c>
      <c r="AT97" s="112">
        <v>0</v>
      </c>
      <c r="AU97" s="112">
        <f t="shared" si="19"/>
        <v>6028.9449999999997</v>
      </c>
      <c r="AV97" s="112">
        <v>0</v>
      </c>
      <c r="AW97" s="112">
        <v>0</v>
      </c>
      <c r="AX97" s="112">
        <f t="shared" si="18"/>
        <v>4280.8219178082181</v>
      </c>
      <c r="AY97" s="112">
        <v>0</v>
      </c>
      <c r="AZ97" s="112">
        <v>0</v>
      </c>
      <c r="BA97" s="112">
        <v>0</v>
      </c>
      <c r="BB97" s="112">
        <v>0</v>
      </c>
      <c r="BC97" s="112">
        <f>((AX$17/3)*1.25)</f>
        <v>29427.083333333336</v>
      </c>
      <c r="BD97" s="108">
        <f t="shared" ref="BD97:BD114" si="20">SUM(AN97:BC97)</f>
        <v>45933.139313641557</v>
      </c>
      <c r="BE97" s="33">
        <f t="shared" ref="BE97:BE114" si="21">(BD97/1000)</f>
        <v>45.933139313641554</v>
      </c>
    </row>
    <row r="98" spans="9:57" x14ac:dyDescent="0.3">
      <c r="AM98" s="107" t="s">
        <v>164</v>
      </c>
      <c r="AN98" s="112">
        <f t="shared" si="16"/>
        <v>6176.7578125</v>
      </c>
      <c r="AO98" s="112">
        <v>0</v>
      </c>
      <c r="AP98" s="112">
        <v>0</v>
      </c>
      <c r="AQ98" s="112">
        <v>0</v>
      </c>
      <c r="AR98" s="112">
        <f t="shared" si="17"/>
        <v>19.53125</v>
      </c>
      <c r="AS98" s="112">
        <v>0</v>
      </c>
      <c r="AT98" s="112">
        <v>0</v>
      </c>
      <c r="AU98" s="112">
        <f t="shared" si="19"/>
        <v>6028.9449999999997</v>
      </c>
      <c r="AV98" s="112">
        <v>0</v>
      </c>
      <c r="AW98" s="112">
        <v>0</v>
      </c>
      <c r="AX98" s="112">
        <f t="shared" si="18"/>
        <v>4280.8219178082181</v>
      </c>
      <c r="AY98" s="112">
        <v>0</v>
      </c>
      <c r="AZ98" s="112">
        <v>0</v>
      </c>
      <c r="BA98" s="112">
        <v>0</v>
      </c>
      <c r="BB98" s="112">
        <v>0</v>
      </c>
      <c r="BC98" s="112">
        <f>((AX$17/3)*1.25)</f>
        <v>29427.083333333336</v>
      </c>
      <c r="BD98" s="108">
        <f>SUM(AN98:BC98)</f>
        <v>45933.139313641557</v>
      </c>
      <c r="BE98" s="33">
        <f t="shared" si="21"/>
        <v>45.933139313641554</v>
      </c>
    </row>
    <row r="99" spans="9:57" x14ac:dyDescent="0.3">
      <c r="AM99" s="107" t="s">
        <v>165</v>
      </c>
      <c r="AN99" s="112">
        <f t="shared" si="16"/>
        <v>6176.7578125</v>
      </c>
      <c r="AO99" s="112">
        <v>0</v>
      </c>
      <c r="AP99" s="112">
        <v>0</v>
      </c>
      <c r="AQ99" s="112">
        <v>0</v>
      </c>
      <c r="AR99" s="112">
        <f t="shared" si="17"/>
        <v>19.53125</v>
      </c>
      <c r="AS99" s="112">
        <v>0</v>
      </c>
      <c r="AT99" s="112">
        <v>0</v>
      </c>
      <c r="AU99" s="112">
        <f t="shared" si="19"/>
        <v>6028.9449999999997</v>
      </c>
      <c r="AV99" s="112">
        <v>0</v>
      </c>
      <c r="AW99" s="112">
        <v>0</v>
      </c>
      <c r="AX99" s="112">
        <f t="shared" si="18"/>
        <v>4280.8219178082181</v>
      </c>
      <c r="AY99" s="112">
        <v>0</v>
      </c>
      <c r="AZ99" s="112">
        <v>0</v>
      </c>
      <c r="BA99" s="112">
        <v>0</v>
      </c>
      <c r="BB99" s="112">
        <v>0</v>
      </c>
      <c r="BC99" s="112">
        <v>0</v>
      </c>
      <c r="BD99" s="108">
        <f t="shared" si="20"/>
        <v>16506.055980308218</v>
      </c>
      <c r="BE99" s="108">
        <f t="shared" si="21"/>
        <v>16.506055980308219</v>
      </c>
    </row>
    <row r="100" spans="9:57" x14ac:dyDescent="0.3">
      <c r="AM100" s="107" t="s">
        <v>166</v>
      </c>
      <c r="AN100" s="112">
        <f t="shared" si="16"/>
        <v>6176.7578125</v>
      </c>
      <c r="AO100" s="112">
        <v>0</v>
      </c>
      <c r="AP100" s="112">
        <v>0</v>
      </c>
      <c r="AQ100" s="112">
        <v>0</v>
      </c>
      <c r="AR100" s="112">
        <f t="shared" si="17"/>
        <v>19.53125</v>
      </c>
      <c r="AS100" s="112">
        <v>0</v>
      </c>
      <c r="AT100" s="112">
        <v>0</v>
      </c>
      <c r="AU100" s="112">
        <f t="shared" si="19"/>
        <v>6028.9449999999997</v>
      </c>
      <c r="AV100" s="112">
        <v>0</v>
      </c>
      <c r="AW100" s="112">
        <v>0</v>
      </c>
      <c r="AX100" s="112">
        <f t="shared" si="18"/>
        <v>4280.8219178082181</v>
      </c>
      <c r="AY100" s="112">
        <v>0</v>
      </c>
      <c r="AZ100" s="112">
        <v>0</v>
      </c>
      <c r="BA100" s="112">
        <v>0</v>
      </c>
      <c r="BB100" s="112">
        <v>0</v>
      </c>
      <c r="BC100" s="112">
        <v>0</v>
      </c>
      <c r="BD100" s="108">
        <f t="shared" si="20"/>
        <v>16506.055980308218</v>
      </c>
      <c r="BE100" s="108">
        <f t="shared" si="21"/>
        <v>16.506055980308219</v>
      </c>
    </row>
    <row r="101" spans="9:57" x14ac:dyDescent="0.3">
      <c r="AM101" s="107" t="s">
        <v>167</v>
      </c>
      <c r="AN101" s="112">
        <f t="shared" si="16"/>
        <v>6176.7578125</v>
      </c>
      <c r="AO101" s="112">
        <v>0</v>
      </c>
      <c r="AP101" s="112">
        <v>0</v>
      </c>
      <c r="AQ101" s="112">
        <v>0</v>
      </c>
      <c r="AR101" s="112">
        <f t="shared" si="17"/>
        <v>19.53125</v>
      </c>
      <c r="AS101" s="112">
        <v>0</v>
      </c>
      <c r="AT101" s="112">
        <v>0</v>
      </c>
      <c r="AU101" s="112">
        <f t="shared" si="19"/>
        <v>6028.9449999999997</v>
      </c>
      <c r="AV101" s="112">
        <v>0</v>
      </c>
      <c r="AW101" s="112">
        <v>0</v>
      </c>
      <c r="AX101" s="112">
        <f t="shared" si="18"/>
        <v>4280.8219178082181</v>
      </c>
      <c r="AY101" s="112">
        <v>0</v>
      </c>
      <c r="AZ101" s="112">
        <v>0</v>
      </c>
      <c r="BA101" s="112">
        <v>0</v>
      </c>
      <c r="BB101" s="112">
        <v>0</v>
      </c>
      <c r="BC101" s="112">
        <v>0</v>
      </c>
      <c r="BD101" s="108">
        <f t="shared" si="20"/>
        <v>16506.055980308218</v>
      </c>
      <c r="BE101" s="108">
        <f t="shared" si="21"/>
        <v>16.506055980308219</v>
      </c>
    </row>
    <row r="102" spans="9:57" x14ac:dyDescent="0.3">
      <c r="AM102" s="107" t="s">
        <v>168</v>
      </c>
      <c r="AN102" s="112">
        <f t="shared" si="16"/>
        <v>6176.7578125</v>
      </c>
      <c r="AO102" s="112">
        <v>0</v>
      </c>
      <c r="AP102" s="112">
        <v>0</v>
      </c>
      <c r="AQ102" s="112">
        <v>0</v>
      </c>
      <c r="AR102" s="112">
        <f t="shared" si="17"/>
        <v>19.53125</v>
      </c>
      <c r="AS102" s="112">
        <v>0</v>
      </c>
      <c r="AT102" s="112">
        <v>0</v>
      </c>
      <c r="AU102" s="112">
        <f t="shared" si="19"/>
        <v>6028.9449999999997</v>
      </c>
      <c r="AV102" s="112">
        <v>0</v>
      </c>
      <c r="AW102" s="112">
        <v>0</v>
      </c>
      <c r="AX102" s="112">
        <f t="shared" si="18"/>
        <v>4280.8219178082181</v>
      </c>
      <c r="AY102" s="112">
        <v>0</v>
      </c>
      <c r="AZ102" s="112">
        <f>((15000*0.033)*1.25)</f>
        <v>618.75</v>
      </c>
      <c r="BA102" s="112">
        <v>0</v>
      </c>
      <c r="BB102" s="112">
        <v>0</v>
      </c>
      <c r="BC102" s="112">
        <v>0</v>
      </c>
      <c r="BD102" s="108">
        <f t="shared" si="20"/>
        <v>17124.805980308218</v>
      </c>
      <c r="BE102" s="108">
        <f t="shared" si="21"/>
        <v>17.124805980308217</v>
      </c>
    </row>
    <row r="103" spans="9:57" x14ac:dyDescent="0.3">
      <c r="AM103" s="107" t="s">
        <v>169</v>
      </c>
      <c r="AN103" s="112">
        <f t="shared" si="16"/>
        <v>6176.7578125</v>
      </c>
      <c r="AO103" s="112">
        <f>AO95</f>
        <v>8984.375</v>
      </c>
      <c r="AP103" s="112">
        <v>0</v>
      </c>
      <c r="AQ103" s="112">
        <v>0</v>
      </c>
      <c r="AR103" s="112">
        <f t="shared" si="17"/>
        <v>19.53125</v>
      </c>
      <c r="AS103" s="112">
        <v>0</v>
      </c>
      <c r="AT103" s="112">
        <v>0</v>
      </c>
      <c r="AU103" s="112">
        <f t="shared" si="19"/>
        <v>6028.9449999999997</v>
      </c>
      <c r="AV103" s="112">
        <v>0</v>
      </c>
      <c r="AW103" s="112">
        <v>0</v>
      </c>
      <c r="AX103" s="112">
        <f t="shared" si="18"/>
        <v>4280.8219178082181</v>
      </c>
      <c r="AY103" s="112">
        <v>0</v>
      </c>
      <c r="AZ103" s="112">
        <v>0</v>
      </c>
      <c r="BA103" s="112">
        <v>0</v>
      </c>
      <c r="BB103" s="112">
        <f>((1250/5)*1.25)</f>
        <v>312.5</v>
      </c>
      <c r="BC103" s="112">
        <v>0</v>
      </c>
      <c r="BD103" s="108">
        <f t="shared" si="20"/>
        <v>25802.930980308218</v>
      </c>
      <c r="BE103" s="108">
        <f t="shared" si="21"/>
        <v>25.802930980308219</v>
      </c>
    </row>
    <row r="104" spans="9:57" x14ac:dyDescent="0.3">
      <c r="AM104" s="107" t="s">
        <v>170</v>
      </c>
      <c r="AN104" s="112">
        <f t="shared" si="16"/>
        <v>6176.7578125</v>
      </c>
      <c r="AO104" s="112">
        <v>0</v>
      </c>
      <c r="AP104" s="112">
        <f>((AP$7/2)*1.25)</f>
        <v>13476.5625</v>
      </c>
      <c r="AQ104" s="112">
        <v>0</v>
      </c>
      <c r="AR104" s="112">
        <f t="shared" si="17"/>
        <v>19.53125</v>
      </c>
      <c r="AS104" s="112">
        <v>0</v>
      </c>
      <c r="AT104" s="112">
        <v>0</v>
      </c>
      <c r="AU104" s="112">
        <f t="shared" si="19"/>
        <v>6028.9449999999997</v>
      </c>
      <c r="AV104" s="112">
        <v>0</v>
      </c>
      <c r="AW104" s="112">
        <v>0</v>
      </c>
      <c r="AX104" s="112">
        <f t="shared" si="18"/>
        <v>4280.8219178082181</v>
      </c>
      <c r="AY104" s="112">
        <v>0</v>
      </c>
      <c r="AZ104" s="112">
        <f>((15000*0.033)*1.25)</f>
        <v>618.75</v>
      </c>
      <c r="BA104" s="112">
        <v>0</v>
      </c>
      <c r="BB104" s="112">
        <v>0</v>
      </c>
      <c r="BC104" s="112">
        <v>0</v>
      </c>
      <c r="BD104" s="108">
        <f t="shared" si="20"/>
        <v>30601.368480308218</v>
      </c>
      <c r="BE104" s="108">
        <f t="shared" si="21"/>
        <v>30.601368480308217</v>
      </c>
    </row>
    <row r="105" spans="9:57" x14ac:dyDescent="0.3">
      <c r="AM105" s="107" t="s">
        <v>171</v>
      </c>
      <c r="AN105" s="112">
        <f t="shared" si="16"/>
        <v>6176.7578125</v>
      </c>
      <c r="AO105" s="112">
        <v>0</v>
      </c>
      <c r="AP105" s="112">
        <v>0</v>
      </c>
      <c r="AQ105" s="112">
        <v>0</v>
      </c>
      <c r="AR105" s="112">
        <f t="shared" si="17"/>
        <v>19.53125</v>
      </c>
      <c r="AS105" s="112">
        <v>0</v>
      </c>
      <c r="AT105" s="112">
        <v>0</v>
      </c>
      <c r="AU105" s="112">
        <f t="shared" si="19"/>
        <v>6028.9449999999997</v>
      </c>
      <c r="AV105" s="112">
        <v>0</v>
      </c>
      <c r="AW105" s="112">
        <v>0</v>
      </c>
      <c r="AX105" s="112">
        <f t="shared" si="18"/>
        <v>4280.8219178082181</v>
      </c>
      <c r="AY105" s="112">
        <v>0</v>
      </c>
      <c r="AZ105" s="112">
        <v>0</v>
      </c>
      <c r="BA105" s="112">
        <v>0</v>
      </c>
      <c r="BB105" s="112">
        <v>0</v>
      </c>
      <c r="BC105" s="112">
        <v>0</v>
      </c>
      <c r="BD105" s="108">
        <f t="shared" si="20"/>
        <v>16506.055980308218</v>
      </c>
      <c r="BE105" s="108">
        <f t="shared" si="21"/>
        <v>16.506055980308219</v>
      </c>
    </row>
    <row r="106" spans="9:57" ht="16.2" thickBot="1" x14ac:dyDescent="0.35">
      <c r="AM106" s="107" t="s">
        <v>172</v>
      </c>
      <c r="AN106" s="112">
        <f t="shared" si="16"/>
        <v>6176.7578125</v>
      </c>
      <c r="AO106" s="112">
        <v>0</v>
      </c>
      <c r="AP106" s="112">
        <v>0</v>
      </c>
      <c r="AQ106" s="112">
        <v>0</v>
      </c>
      <c r="AR106" s="112">
        <f t="shared" si="17"/>
        <v>19.53125</v>
      </c>
      <c r="AS106" s="112">
        <v>0</v>
      </c>
      <c r="AT106" s="112">
        <v>0</v>
      </c>
      <c r="AU106" s="112">
        <v>0</v>
      </c>
      <c r="AV106" s="112">
        <v>0</v>
      </c>
      <c r="AW106" s="112">
        <v>0</v>
      </c>
      <c r="AX106" s="112">
        <f t="shared" si="18"/>
        <v>4280.8219178082181</v>
      </c>
      <c r="AY106" s="112">
        <v>0</v>
      </c>
      <c r="AZ106" s="112">
        <f>((15000*0.033)*1.25)</f>
        <v>618.75</v>
      </c>
      <c r="BA106" s="112">
        <f>((2875/3)*1.25)</f>
        <v>1197.9166666666667</v>
      </c>
      <c r="BB106" s="112">
        <v>0</v>
      </c>
      <c r="BC106" s="112">
        <v>0</v>
      </c>
      <c r="BD106" s="108">
        <f t="shared" si="20"/>
        <v>12293.777646974884</v>
      </c>
      <c r="BE106" s="108">
        <f t="shared" si="21"/>
        <v>12.293777646974885</v>
      </c>
    </row>
    <row r="107" spans="9:57" ht="18" x14ac:dyDescent="0.35">
      <c r="I107" s="142" t="s">
        <v>224</v>
      </c>
      <c r="J107" s="124"/>
      <c r="K107" s="124"/>
      <c r="L107" s="124"/>
      <c r="M107" s="124"/>
      <c r="N107" s="124"/>
      <c r="O107" s="125"/>
      <c r="AM107" s="107" t="s">
        <v>173</v>
      </c>
      <c r="AN107" s="112">
        <f t="shared" si="16"/>
        <v>6176.7578125</v>
      </c>
      <c r="AO107" s="112">
        <v>0</v>
      </c>
      <c r="AP107" s="112">
        <v>0</v>
      </c>
      <c r="AQ107" s="112">
        <v>0</v>
      </c>
      <c r="AR107" s="112">
        <f t="shared" si="17"/>
        <v>19.53125</v>
      </c>
      <c r="AS107" s="112">
        <v>0</v>
      </c>
      <c r="AT107" s="112">
        <f>335*1.25</f>
        <v>418.75</v>
      </c>
      <c r="AU107" s="112">
        <v>0</v>
      </c>
      <c r="AV107" s="112">
        <v>0</v>
      </c>
      <c r="AW107" s="112">
        <v>0</v>
      </c>
      <c r="AX107" s="112">
        <f t="shared" si="18"/>
        <v>4280.8219178082181</v>
      </c>
      <c r="AY107" s="112">
        <v>0</v>
      </c>
      <c r="AZ107" s="112">
        <v>0</v>
      </c>
      <c r="BA107" s="112">
        <v>0</v>
      </c>
      <c r="BB107" s="112">
        <f>((1250/5)*1.25)</f>
        <v>312.5</v>
      </c>
      <c r="BC107" s="112">
        <v>0</v>
      </c>
      <c r="BD107" s="108">
        <f t="shared" si="20"/>
        <v>11208.360980308218</v>
      </c>
      <c r="BE107" s="108">
        <f t="shared" si="21"/>
        <v>11.208360980308218</v>
      </c>
    </row>
    <row r="108" spans="9:57" x14ac:dyDescent="0.3">
      <c r="I108" s="139">
        <v>6</v>
      </c>
      <c r="J108" s="128">
        <v>13.889610980308218</v>
      </c>
      <c r="K108" s="128">
        <f>(22-J108)</f>
        <v>8.1103890196917821</v>
      </c>
      <c r="L108" s="128">
        <v>8.1</v>
      </c>
      <c r="M108" s="128"/>
      <c r="N108" s="128"/>
      <c r="O108" s="129"/>
      <c r="AM108" s="107" t="s">
        <v>174</v>
      </c>
      <c r="AN108" s="112">
        <f t="shared" si="16"/>
        <v>6176.7578125</v>
      </c>
      <c r="AO108" s="112">
        <v>0</v>
      </c>
      <c r="AP108" s="112">
        <v>0</v>
      </c>
      <c r="AQ108" s="112">
        <v>0</v>
      </c>
      <c r="AR108" s="112">
        <f t="shared" si="17"/>
        <v>19.53125</v>
      </c>
      <c r="AS108" s="112">
        <v>0</v>
      </c>
      <c r="AT108" s="112">
        <v>0</v>
      </c>
      <c r="AU108" s="112">
        <v>0</v>
      </c>
      <c r="AV108" s="112">
        <v>0</v>
      </c>
      <c r="AW108" s="112">
        <v>0</v>
      </c>
      <c r="AX108" s="112">
        <f t="shared" si="18"/>
        <v>4280.8219178082181</v>
      </c>
      <c r="AY108" s="112">
        <v>0</v>
      </c>
      <c r="AZ108" s="112">
        <f>((15000*0.033)*1.25)</f>
        <v>618.75</v>
      </c>
      <c r="BA108" s="112">
        <v>0</v>
      </c>
      <c r="BB108" s="112">
        <v>0</v>
      </c>
      <c r="BC108" s="112">
        <v>0</v>
      </c>
      <c r="BD108" s="108">
        <f t="shared" si="20"/>
        <v>11095.860980308218</v>
      </c>
      <c r="BE108" s="108">
        <f t="shared" si="21"/>
        <v>11.095860980308219</v>
      </c>
    </row>
    <row r="109" spans="9:57" ht="16.2" thickBot="1" x14ac:dyDescent="0.35">
      <c r="I109" s="139">
        <v>7</v>
      </c>
      <c r="J109" s="128">
        <v>33.529194313641547</v>
      </c>
      <c r="K109" s="128">
        <f t="shared" ref="K109:K131" si="22">(22-J109)</f>
        <v>-11.529194313641547</v>
      </c>
      <c r="L109" s="128"/>
      <c r="M109" s="128"/>
      <c r="N109" s="127">
        <f>(M131+L108+K109)</f>
        <v>38.863790490867608</v>
      </c>
      <c r="O109" s="129"/>
      <c r="AM109" s="107" t="s">
        <v>175</v>
      </c>
      <c r="AN109" s="112">
        <f t="shared" si="16"/>
        <v>6176.7578125</v>
      </c>
      <c r="AO109" s="112">
        <v>0</v>
      </c>
      <c r="AP109" s="112">
        <v>0</v>
      </c>
      <c r="AQ109" s="112">
        <v>0</v>
      </c>
      <c r="AR109" s="112">
        <f t="shared" si="17"/>
        <v>19.53125</v>
      </c>
      <c r="AS109" s="112">
        <v>0</v>
      </c>
      <c r="AT109" s="112">
        <v>0</v>
      </c>
      <c r="AU109" s="112">
        <v>0</v>
      </c>
      <c r="AV109" s="112">
        <v>0</v>
      </c>
      <c r="AW109" s="112">
        <v>0</v>
      </c>
      <c r="AX109" s="112">
        <f t="shared" si="18"/>
        <v>4280.8219178082181</v>
      </c>
      <c r="AY109" s="112">
        <v>0</v>
      </c>
      <c r="AZ109" s="112">
        <v>0</v>
      </c>
      <c r="BA109" s="112">
        <v>0</v>
      </c>
      <c r="BB109" s="112">
        <v>0</v>
      </c>
      <c r="BC109" s="112">
        <v>0</v>
      </c>
      <c r="BD109" s="108">
        <f t="shared" si="20"/>
        <v>10477.110980308218</v>
      </c>
      <c r="BE109" s="108">
        <f t="shared" si="21"/>
        <v>10.477110980308218</v>
      </c>
    </row>
    <row r="110" spans="9:57" x14ac:dyDescent="0.3">
      <c r="I110" s="139">
        <v>8</v>
      </c>
      <c r="J110" s="128">
        <v>17.48914998030822</v>
      </c>
      <c r="K110" s="128">
        <f t="shared" si="22"/>
        <v>4.5108500196917802</v>
      </c>
      <c r="L110" s="128">
        <v>4.5</v>
      </c>
      <c r="M110" s="128"/>
      <c r="N110" s="128"/>
      <c r="O110" s="129"/>
      <c r="Y110" s="123" t="s">
        <v>221</v>
      </c>
      <c r="Z110" s="124"/>
      <c r="AA110" s="124"/>
      <c r="AB110" s="124"/>
      <c r="AC110" s="124"/>
      <c r="AD110" s="124"/>
      <c r="AE110" s="124"/>
      <c r="AF110" s="124"/>
      <c r="AG110" s="125"/>
      <c r="AM110" s="107">
        <v>1</v>
      </c>
      <c r="AN110" s="112">
        <f t="shared" si="16"/>
        <v>6176.7578125</v>
      </c>
      <c r="AO110" s="112">
        <v>0</v>
      </c>
      <c r="AP110" s="112">
        <v>0</v>
      </c>
      <c r="AQ110" s="112">
        <v>0</v>
      </c>
      <c r="AR110" s="112">
        <f t="shared" si="17"/>
        <v>19.53125</v>
      </c>
      <c r="AS110" s="112">
        <v>0</v>
      </c>
      <c r="AT110" s="112">
        <f>335*1.25</f>
        <v>418.75</v>
      </c>
      <c r="AU110" s="112">
        <v>0</v>
      </c>
      <c r="AV110" s="112">
        <v>0</v>
      </c>
      <c r="AW110" s="112">
        <f>((10000/4)*1.25)</f>
        <v>3125</v>
      </c>
      <c r="AX110" s="112">
        <f t="shared" si="18"/>
        <v>4280.8219178082181</v>
      </c>
      <c r="AY110" s="112">
        <f>((47500/3)*1.25)</f>
        <v>19791.666666666668</v>
      </c>
      <c r="AZ110" s="112">
        <f>((15000*0.033)*1.25)</f>
        <v>618.75</v>
      </c>
      <c r="BA110" s="112">
        <f>((2875/3)*1.25)</f>
        <v>1197.9166666666667</v>
      </c>
      <c r="BB110" s="112">
        <v>0</v>
      </c>
      <c r="BC110" s="112">
        <v>0</v>
      </c>
      <c r="BD110" s="108">
        <f t="shared" si="20"/>
        <v>35629.19431364155</v>
      </c>
      <c r="BE110" s="108">
        <f t="shared" si="21"/>
        <v>35.629194313641548</v>
      </c>
    </row>
    <row r="111" spans="9:57" x14ac:dyDescent="0.3">
      <c r="I111" s="139">
        <v>9</v>
      </c>
      <c r="J111" s="128">
        <v>22.424805980308218</v>
      </c>
      <c r="K111" s="128">
        <f t="shared" si="22"/>
        <v>-0.42480598030821781</v>
      </c>
      <c r="L111" s="128"/>
      <c r="M111" s="128"/>
      <c r="N111" s="127">
        <f>(N109+L110+K111)</f>
        <v>42.938984510559393</v>
      </c>
      <c r="O111" s="129"/>
      <c r="Y111" s="139">
        <v>6</v>
      </c>
      <c r="Z111" s="128">
        <v>24.710022117579907</v>
      </c>
      <c r="AA111" s="128"/>
      <c r="AB111" s="128"/>
      <c r="AC111" s="128"/>
      <c r="AD111" s="128"/>
      <c r="AE111" s="128"/>
      <c r="AF111" s="128"/>
      <c r="AG111" s="129"/>
      <c r="AM111" s="107">
        <v>2</v>
      </c>
      <c r="AN111" s="112">
        <f t="shared" si="16"/>
        <v>6176.7578125</v>
      </c>
      <c r="AO111" s="112">
        <v>0</v>
      </c>
      <c r="AP111" s="112">
        <v>0</v>
      </c>
      <c r="AQ111" s="112">
        <v>0</v>
      </c>
      <c r="AR111" s="112">
        <f t="shared" si="17"/>
        <v>19.53125</v>
      </c>
      <c r="AS111" s="112">
        <v>0</v>
      </c>
      <c r="AT111" s="112">
        <v>0</v>
      </c>
      <c r="AU111" s="112">
        <v>0</v>
      </c>
      <c r="AV111" s="112">
        <v>0</v>
      </c>
      <c r="AW111" s="112">
        <f>((10000/4)*1.25)</f>
        <v>3125</v>
      </c>
      <c r="AX111" s="112">
        <f t="shared" si="18"/>
        <v>4280.8219178082181</v>
      </c>
      <c r="AY111" s="112">
        <v>0</v>
      </c>
      <c r="AZ111" s="112">
        <f>((15000*0.033)*1.25)</f>
        <v>618.75</v>
      </c>
      <c r="BA111" s="112">
        <v>0</v>
      </c>
      <c r="BB111" s="112">
        <v>0</v>
      </c>
      <c r="BC111" s="112">
        <v>0</v>
      </c>
      <c r="BD111" s="108">
        <f t="shared" si="20"/>
        <v>14220.860980308218</v>
      </c>
      <c r="BE111" s="108">
        <f t="shared" si="21"/>
        <v>14.220860980308219</v>
      </c>
    </row>
    <row r="112" spans="9:57" x14ac:dyDescent="0.3">
      <c r="I112" s="139">
        <v>10</v>
      </c>
      <c r="J112" s="128">
        <v>32.663868480308217</v>
      </c>
      <c r="K112" s="128">
        <f t="shared" si="22"/>
        <v>-10.663868480308217</v>
      </c>
      <c r="L112" s="128"/>
      <c r="M112" s="128"/>
      <c r="N112" s="127">
        <f>(N111+K112)</f>
        <v>32.275116030251176</v>
      </c>
      <c r="O112" s="129"/>
      <c r="Y112" s="139">
        <v>7</v>
      </c>
      <c r="Z112" s="128">
        <v>9.961688784246574</v>
      </c>
      <c r="AA112" s="128"/>
      <c r="AB112" s="128"/>
      <c r="AC112" s="128"/>
      <c r="AD112" s="128"/>
      <c r="AE112" s="134" t="s">
        <v>220</v>
      </c>
      <c r="AF112" s="134"/>
      <c r="AG112" s="135"/>
      <c r="AM112" s="107">
        <v>3</v>
      </c>
      <c r="AN112" s="112">
        <f t="shared" si="16"/>
        <v>6176.7578125</v>
      </c>
      <c r="AO112" s="112">
        <v>0</v>
      </c>
      <c r="AP112" s="112">
        <v>0</v>
      </c>
      <c r="AQ112" s="112">
        <v>0</v>
      </c>
      <c r="AR112" s="112">
        <f t="shared" si="17"/>
        <v>19.53125</v>
      </c>
      <c r="AS112" s="112">
        <v>0</v>
      </c>
      <c r="AT112" s="112">
        <v>0</v>
      </c>
      <c r="AU112" s="112">
        <v>0</v>
      </c>
      <c r="AV112" s="112">
        <v>0</v>
      </c>
      <c r="AW112" s="112">
        <v>0</v>
      </c>
      <c r="AX112" s="112">
        <f t="shared" si="18"/>
        <v>4280.8219178082181</v>
      </c>
      <c r="AY112" s="112">
        <v>0</v>
      </c>
      <c r="AZ112" s="112">
        <v>0</v>
      </c>
      <c r="BA112" s="112">
        <v>0</v>
      </c>
      <c r="BB112" s="112">
        <v>0</v>
      </c>
      <c r="BC112" s="112">
        <f>((AX$17/3)*1.25)</f>
        <v>29427.083333333336</v>
      </c>
      <c r="BD112" s="108">
        <f t="shared" si="20"/>
        <v>39904.19431364155</v>
      </c>
      <c r="BE112" s="108">
        <f t="shared" si="21"/>
        <v>39.904194313641547</v>
      </c>
    </row>
    <row r="113" spans="9:61" x14ac:dyDescent="0.3">
      <c r="I113" s="139">
        <v>11</v>
      </c>
      <c r="J113" s="128">
        <v>34.474805980308211</v>
      </c>
      <c r="K113" s="128">
        <f t="shared" si="22"/>
        <v>-12.474805980308211</v>
      </c>
      <c r="L113" s="128"/>
      <c r="M113" s="128"/>
      <c r="N113" s="127">
        <f>(N112+K113)</f>
        <v>19.800310049942965</v>
      </c>
      <c r="O113" s="129"/>
      <c r="Y113" s="139">
        <v>8</v>
      </c>
      <c r="Z113" s="128">
        <v>25.673355450913242</v>
      </c>
      <c r="AA113" s="128"/>
      <c r="AB113" s="128"/>
      <c r="AC113" s="128"/>
      <c r="AD113" s="128"/>
      <c r="AE113" s="134"/>
      <c r="AF113" s="134">
        <f>(AA116+AB119+AD142+AD143)</f>
        <v>148.06015839041095</v>
      </c>
      <c r="AG113" s="135"/>
      <c r="AM113" s="107">
        <v>4</v>
      </c>
      <c r="AN113" s="112">
        <f t="shared" si="16"/>
        <v>6176.7578125</v>
      </c>
      <c r="AO113" s="112">
        <v>0</v>
      </c>
      <c r="AP113" s="112">
        <v>0</v>
      </c>
      <c r="AQ113" s="112">
        <v>0</v>
      </c>
      <c r="AR113" s="112">
        <f t="shared" si="17"/>
        <v>19.53125</v>
      </c>
      <c r="AS113" s="112">
        <v>0</v>
      </c>
      <c r="AT113" s="112">
        <f>335*1.25</f>
        <v>418.75</v>
      </c>
      <c r="AU113" s="112">
        <v>0</v>
      </c>
      <c r="AV113" s="112">
        <f>(1437*0.2)</f>
        <v>287.40000000000003</v>
      </c>
      <c r="AW113" s="112">
        <v>0</v>
      </c>
      <c r="AX113" s="112">
        <f t="shared" si="18"/>
        <v>4280.8219178082181</v>
      </c>
      <c r="AY113" s="112">
        <v>0</v>
      </c>
      <c r="AZ113" s="112">
        <v>0</v>
      </c>
      <c r="BA113" s="112">
        <v>0</v>
      </c>
      <c r="BB113" s="112">
        <f>((1250/5)*1.25)</f>
        <v>312.5</v>
      </c>
      <c r="BC113" s="112">
        <v>0</v>
      </c>
      <c r="BD113" s="108">
        <f t="shared" si="20"/>
        <v>11495.760980308218</v>
      </c>
      <c r="BE113" s="108">
        <f>(BD113/1000)</f>
        <v>11.495760980308217</v>
      </c>
    </row>
    <row r="114" spans="9:61" x14ac:dyDescent="0.3">
      <c r="I114" s="139">
        <v>12</v>
      </c>
      <c r="J114" s="128">
        <v>45.933139313641554</v>
      </c>
      <c r="K114" s="128">
        <f t="shared" si="22"/>
        <v>-23.933139313641554</v>
      </c>
      <c r="L114" s="128"/>
      <c r="M114" s="128"/>
      <c r="N114" s="133">
        <f>(N113+K114)</f>
        <v>-4.1328292636985893</v>
      </c>
      <c r="O114" s="129"/>
      <c r="Y114" s="139">
        <v>9</v>
      </c>
      <c r="Z114" s="128">
        <v>11.876688784246575</v>
      </c>
      <c r="AA114" s="128"/>
      <c r="AB114" s="128"/>
      <c r="AC114" s="128"/>
      <c r="AD114" s="128"/>
      <c r="AE114" s="128"/>
      <c r="AF114" s="128"/>
      <c r="AG114" s="129"/>
      <c r="AM114" s="107">
        <v>5</v>
      </c>
      <c r="AN114" s="112">
        <f t="shared" si="16"/>
        <v>6176.7578125</v>
      </c>
      <c r="AO114" s="112">
        <v>0</v>
      </c>
      <c r="AP114" s="112">
        <v>0</v>
      </c>
      <c r="AQ114" s="112">
        <v>0</v>
      </c>
      <c r="AR114" s="112">
        <f t="shared" si="17"/>
        <v>19.53125</v>
      </c>
      <c r="AS114" s="112">
        <v>0</v>
      </c>
      <c r="AT114" s="112">
        <v>0</v>
      </c>
      <c r="AU114" s="112">
        <v>0</v>
      </c>
      <c r="AV114" s="112">
        <f>1150*1.25</f>
        <v>1437.5</v>
      </c>
      <c r="AW114" s="112">
        <v>0</v>
      </c>
      <c r="AX114" s="112">
        <f t="shared" si="18"/>
        <v>4280.8219178082181</v>
      </c>
      <c r="AY114" s="112">
        <f>((47500/3)*1.25)</f>
        <v>19791.666666666668</v>
      </c>
      <c r="AZ114" s="112">
        <f>((15000*0.033)*1.25)</f>
        <v>618.75</v>
      </c>
      <c r="BA114" s="112">
        <v>0</v>
      </c>
      <c r="BB114" s="112">
        <v>0</v>
      </c>
      <c r="BC114" s="112">
        <v>0</v>
      </c>
      <c r="BD114" s="108">
        <f t="shared" si="20"/>
        <v>32325.027646974886</v>
      </c>
      <c r="BE114" s="108">
        <f t="shared" si="21"/>
        <v>32.325027646974888</v>
      </c>
    </row>
    <row r="115" spans="9:61" x14ac:dyDescent="0.3">
      <c r="I115" s="139" t="s">
        <v>164</v>
      </c>
      <c r="J115" s="128">
        <v>45.933139313641554</v>
      </c>
      <c r="K115" s="128">
        <f t="shared" si="22"/>
        <v>-23.933139313641554</v>
      </c>
      <c r="L115" s="128"/>
      <c r="M115" s="128"/>
      <c r="N115" s="133">
        <f>(N114+K115)</f>
        <v>-28.065968577340143</v>
      </c>
      <c r="O115" s="129"/>
      <c r="Y115" s="139">
        <v>10</v>
      </c>
      <c r="Z115" s="128">
        <v>11.966688784246575</v>
      </c>
      <c r="AA115" s="128"/>
      <c r="AB115" s="128"/>
      <c r="AC115" s="128"/>
      <c r="AD115" s="128"/>
      <c r="AE115" s="128"/>
      <c r="AF115" s="128"/>
      <c r="AG115" s="129"/>
      <c r="AP115" s="106"/>
      <c r="BC115" s="108" t="s">
        <v>111</v>
      </c>
      <c r="BD115" s="108">
        <f>SUM(BD91:BD114)</f>
        <v>564541.19252739719</v>
      </c>
      <c r="BE115" s="109">
        <f>SUM(BE91:BE114)</f>
        <v>564.54119252739724</v>
      </c>
    </row>
    <row r="116" spans="9:61" x14ac:dyDescent="0.3">
      <c r="I116" s="139" t="s">
        <v>165</v>
      </c>
      <c r="J116" s="128">
        <v>16.506055980308219</v>
      </c>
      <c r="K116" s="128">
        <f t="shared" si="22"/>
        <v>5.4939440196917815</v>
      </c>
      <c r="L116" s="128">
        <v>5.49</v>
      </c>
      <c r="M116" s="128"/>
      <c r="N116" s="128"/>
      <c r="O116" s="129"/>
      <c r="Y116" s="139">
        <v>11</v>
      </c>
      <c r="Z116" s="128">
        <v>21.307938784246574</v>
      </c>
      <c r="AA116" s="134">
        <f>(Z111+Z112+Z113+Z114+Z115+Z116)</f>
        <v>105.49638270547945</v>
      </c>
      <c r="AB116" s="128"/>
      <c r="AC116" s="128"/>
      <c r="AD116" s="128"/>
      <c r="AE116" s="128"/>
      <c r="AF116" s="128"/>
      <c r="AG116" s="129"/>
    </row>
    <row r="117" spans="9:61" ht="21" x14ac:dyDescent="0.4">
      <c r="I117" s="139" t="s">
        <v>166</v>
      </c>
      <c r="J117" s="128">
        <v>16.506055980308219</v>
      </c>
      <c r="K117" s="128">
        <f t="shared" si="22"/>
        <v>5.4939440196917815</v>
      </c>
      <c r="L117" s="128">
        <v>5.49</v>
      </c>
      <c r="M117" s="128"/>
      <c r="N117" s="128"/>
      <c r="O117" s="129"/>
      <c r="Y117" s="139">
        <v>12</v>
      </c>
      <c r="Z117" s="128">
        <v>23.906688784246573</v>
      </c>
      <c r="AA117" s="128">
        <f>(15-Z117)</f>
        <v>-8.9066887842465725</v>
      </c>
      <c r="AB117" s="128"/>
      <c r="AC117" s="128"/>
      <c r="AD117" s="128"/>
      <c r="AE117" s="128"/>
      <c r="AF117" s="128"/>
      <c r="AG117" s="129"/>
      <c r="AM117" s="113" t="s">
        <v>193</v>
      </c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</row>
    <row r="118" spans="9:61" x14ac:dyDescent="0.3">
      <c r="I118" s="139" t="s">
        <v>167</v>
      </c>
      <c r="J118" s="128">
        <v>16.506055980308219</v>
      </c>
      <c r="K118" s="128">
        <f t="shared" si="22"/>
        <v>5.4939440196917815</v>
      </c>
      <c r="L118" s="128">
        <v>5.49</v>
      </c>
      <c r="M118" s="128"/>
      <c r="N118" s="128"/>
      <c r="O118" s="129"/>
      <c r="Y118" s="139" t="s">
        <v>164</v>
      </c>
      <c r="Z118" s="128">
        <v>33.073355450913247</v>
      </c>
      <c r="AA118" s="128">
        <f t="shared" ref="AA118:AB134" si="23">(15-Z118)</f>
        <v>-18.073355450913247</v>
      </c>
      <c r="AB118" s="128"/>
      <c r="AC118" s="128"/>
      <c r="AD118" s="128"/>
      <c r="AE118" s="128"/>
      <c r="AF118" s="128"/>
      <c r="AG118" s="129"/>
      <c r="AM118" s="33" t="s">
        <v>146</v>
      </c>
      <c r="AN118" s="41" t="s">
        <v>147</v>
      </c>
      <c r="AO118" s="41" t="s">
        <v>148</v>
      </c>
      <c r="AP118" s="41" t="s">
        <v>149</v>
      </c>
      <c r="AQ118" s="41" t="s">
        <v>150</v>
      </c>
      <c r="AR118" s="41" t="s">
        <v>151</v>
      </c>
      <c r="AS118" s="41" t="s">
        <v>152</v>
      </c>
      <c r="AT118" s="41" t="s">
        <v>153</v>
      </c>
      <c r="AU118" s="41" t="s">
        <v>154</v>
      </c>
      <c r="AV118" s="41" t="s">
        <v>155</v>
      </c>
      <c r="AW118" s="41" t="s">
        <v>157</v>
      </c>
      <c r="AX118" s="41" t="s">
        <v>156</v>
      </c>
      <c r="AY118" s="41" t="s">
        <v>158</v>
      </c>
      <c r="AZ118" s="41" t="s">
        <v>159</v>
      </c>
      <c r="BA118" s="41" t="s">
        <v>160</v>
      </c>
      <c r="BB118" s="41" t="s">
        <v>161</v>
      </c>
      <c r="BC118" s="41" t="s">
        <v>163</v>
      </c>
      <c r="BD118" s="108" t="s">
        <v>176</v>
      </c>
      <c r="BE118" s="108" t="s">
        <v>179</v>
      </c>
    </row>
    <row r="119" spans="9:61" x14ac:dyDescent="0.3">
      <c r="I119" s="139" t="s">
        <v>168</v>
      </c>
      <c r="J119" s="128">
        <v>17.124805980308217</v>
      </c>
      <c r="K119" s="128">
        <f t="shared" si="22"/>
        <v>4.8751940196917829</v>
      </c>
      <c r="L119" s="128">
        <v>4.8</v>
      </c>
      <c r="M119" s="128"/>
      <c r="N119" s="128"/>
      <c r="O119" s="129"/>
      <c r="Y119" s="139" t="s">
        <v>165</v>
      </c>
      <c r="Z119" s="128">
        <v>31.923355450913245</v>
      </c>
      <c r="AA119" s="128">
        <f t="shared" si="23"/>
        <v>-16.923355450913245</v>
      </c>
      <c r="AB119" s="134">
        <f>(AA117-AA118-AA119)</f>
        <v>26.09002211757992</v>
      </c>
      <c r="AC119" s="128"/>
      <c r="AD119" s="128"/>
      <c r="AE119" s="128"/>
      <c r="AF119" s="128"/>
      <c r="AG119" s="129"/>
      <c r="AM119" s="33" t="s">
        <v>145</v>
      </c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108"/>
      <c r="BE119" s="108"/>
      <c r="BG119" t="s">
        <v>197</v>
      </c>
      <c r="BH119" t="s">
        <v>209</v>
      </c>
      <c r="BI119" t="s">
        <v>210</v>
      </c>
    </row>
    <row r="120" spans="9:61" x14ac:dyDescent="0.3">
      <c r="I120" s="139" t="s">
        <v>169</v>
      </c>
      <c r="J120" s="128">
        <v>25.802930980308219</v>
      </c>
      <c r="K120" s="128">
        <f t="shared" si="22"/>
        <v>-3.8029309803082185</v>
      </c>
      <c r="L120" s="127">
        <f>SUM(L116:L119)</f>
        <v>21.27</v>
      </c>
      <c r="M120" s="127">
        <f>SUM(K120:L120)</f>
        <v>17.467069019691781</v>
      </c>
      <c r="N120" s="128"/>
      <c r="O120" s="129"/>
      <c r="Y120" s="139" t="s">
        <v>166</v>
      </c>
      <c r="Z120" s="128">
        <v>8.3816887842465757</v>
      </c>
      <c r="AA120" s="128">
        <f t="shared" si="23"/>
        <v>6.6183112157534243</v>
      </c>
      <c r="AB120" s="128">
        <v>6.6</v>
      </c>
      <c r="AC120" s="128"/>
      <c r="AD120" s="128"/>
      <c r="AE120" s="128"/>
      <c r="AF120" s="128"/>
      <c r="AG120" s="129"/>
      <c r="AM120" s="114">
        <v>6</v>
      </c>
      <c r="AN120" s="112">
        <f>(AP$5/24)</f>
        <v>4941.40625</v>
      </c>
      <c r="AO120" s="112">
        <v>0</v>
      </c>
      <c r="AP120" s="112">
        <v>0</v>
      </c>
      <c r="AQ120" s="112">
        <v>0</v>
      </c>
      <c r="AR120" s="112">
        <v>15.625</v>
      </c>
      <c r="AS120" s="112">
        <v>500</v>
      </c>
      <c r="AT120" s="112">
        <v>335</v>
      </c>
      <c r="AU120" s="112">
        <v>0</v>
      </c>
      <c r="AV120" s="112">
        <v>0</v>
      </c>
      <c r="AW120" s="112">
        <v>0</v>
      </c>
      <c r="AX120" s="112">
        <f>(AP$21/24)</f>
        <v>3424.6575342465749</v>
      </c>
      <c r="AY120" s="112">
        <v>0</v>
      </c>
      <c r="AZ120" s="112">
        <f>(15000*0.033)</f>
        <v>495</v>
      </c>
      <c r="BA120" s="112">
        <v>0</v>
      </c>
      <c r="BB120" s="112">
        <f>(1250/5)</f>
        <v>250</v>
      </c>
      <c r="BC120" s="112">
        <v>0</v>
      </c>
      <c r="BD120" s="108">
        <f t="shared" ref="BD120:BD127" si="24">SUM(AN120:BC120)</f>
        <v>9961.6887842465749</v>
      </c>
      <c r="BE120" s="108">
        <f>(BD120/1000)</f>
        <v>9.961688784246574</v>
      </c>
      <c r="BG120" t="s">
        <v>198</v>
      </c>
      <c r="BH120">
        <v>36.560915450913242</v>
      </c>
      <c r="BI120" t="s">
        <v>211</v>
      </c>
    </row>
    <row r="121" spans="9:61" x14ac:dyDescent="0.3">
      <c r="I121" s="139" t="s">
        <v>170</v>
      </c>
      <c r="J121" s="128">
        <v>30.601368480308217</v>
      </c>
      <c r="K121" s="128">
        <f t="shared" si="22"/>
        <v>-8.6013684803082171</v>
      </c>
      <c r="L121" s="128"/>
      <c r="M121" s="127">
        <f>(M120+K121)</f>
        <v>8.8657005393835639</v>
      </c>
      <c r="N121" s="128"/>
      <c r="O121" s="129"/>
      <c r="Y121" s="139" t="s">
        <v>167</v>
      </c>
      <c r="Z121" s="128">
        <v>8.3816887842465757</v>
      </c>
      <c r="AA121" s="128">
        <f t="shared" si="23"/>
        <v>6.6183112157534243</v>
      </c>
      <c r="AB121" s="128">
        <v>6.6</v>
      </c>
      <c r="AC121" s="128"/>
      <c r="AD121" s="128"/>
      <c r="AE121" s="128"/>
      <c r="AF121" s="128"/>
      <c r="AG121" s="129"/>
      <c r="AM121" s="114">
        <v>7</v>
      </c>
      <c r="AN121" s="112">
        <f t="shared" ref="AN121:AN143" si="25">(AP$5/24)</f>
        <v>4941.40625</v>
      </c>
      <c r="AO121" s="112">
        <v>0</v>
      </c>
      <c r="AP121" s="112">
        <v>0</v>
      </c>
      <c r="AQ121" s="112">
        <v>0</v>
      </c>
      <c r="AR121" s="112">
        <v>15.625</v>
      </c>
      <c r="AS121" s="112">
        <v>500</v>
      </c>
      <c r="AT121" s="112">
        <v>0</v>
      </c>
      <c r="AU121" s="112">
        <v>0</v>
      </c>
      <c r="AV121" s="112">
        <v>0</v>
      </c>
      <c r="AW121" s="112">
        <v>0</v>
      </c>
      <c r="AX121" s="112">
        <f t="shared" ref="AX121:AX143" si="26">(AP$21/24)</f>
        <v>3424.6575342465749</v>
      </c>
      <c r="AY121" s="112">
        <f>(47500/3)</f>
        <v>15833.333333333334</v>
      </c>
      <c r="AZ121" s="112">
        <v>0</v>
      </c>
      <c r="BA121" s="112">
        <f>(2875/3)</f>
        <v>958.33333333333337</v>
      </c>
      <c r="BB121" s="112">
        <v>0</v>
      </c>
      <c r="BC121" s="112">
        <v>0</v>
      </c>
      <c r="BD121" s="108">
        <f t="shared" si="24"/>
        <v>25673.355450913241</v>
      </c>
      <c r="BE121" s="108">
        <f t="shared" ref="BE121:BE144" si="27">(BD121/1000)</f>
        <v>25.673355450913242</v>
      </c>
      <c r="BG121" t="s">
        <v>199</v>
      </c>
      <c r="BH121">
        <v>36.560915450913242</v>
      </c>
      <c r="BI121" t="s">
        <v>211</v>
      </c>
    </row>
    <row r="122" spans="9:61" x14ac:dyDescent="0.3">
      <c r="I122" s="139" t="s">
        <v>171</v>
      </c>
      <c r="J122" s="128">
        <v>16.506055980308219</v>
      </c>
      <c r="K122" s="128">
        <f t="shared" si="22"/>
        <v>5.4939440196917815</v>
      </c>
      <c r="L122" s="128">
        <v>5.4</v>
      </c>
      <c r="M122" s="128"/>
      <c r="N122" s="128"/>
      <c r="O122" s="129"/>
      <c r="Y122" s="139" t="s">
        <v>168</v>
      </c>
      <c r="Z122" s="128">
        <v>13.019248784246576</v>
      </c>
      <c r="AA122" s="128">
        <f t="shared" si="23"/>
        <v>1.9807512157534237</v>
      </c>
      <c r="AB122" s="128">
        <v>1.9</v>
      </c>
      <c r="AC122" s="128"/>
      <c r="AD122" s="128"/>
      <c r="AE122" s="128"/>
      <c r="AF122" s="128"/>
      <c r="AG122" s="129"/>
      <c r="AM122" s="114">
        <v>8</v>
      </c>
      <c r="AN122" s="112">
        <f t="shared" si="25"/>
        <v>4941.40625</v>
      </c>
      <c r="AO122" s="112">
        <v>0</v>
      </c>
      <c r="AP122" s="112">
        <v>0</v>
      </c>
      <c r="AQ122" s="112">
        <v>0</v>
      </c>
      <c r="AR122" s="112">
        <v>15.625</v>
      </c>
      <c r="AS122" s="112">
        <v>500</v>
      </c>
      <c r="AT122" s="112">
        <v>0</v>
      </c>
      <c r="AU122" s="112">
        <v>0</v>
      </c>
      <c r="AV122" s="112">
        <v>0</v>
      </c>
      <c r="AW122" s="112">
        <f>(10000/4)</f>
        <v>2500</v>
      </c>
      <c r="AX122" s="112">
        <f t="shared" si="26"/>
        <v>3424.6575342465749</v>
      </c>
      <c r="AY122" s="112">
        <v>0</v>
      </c>
      <c r="AZ122" s="112">
        <f>(15000*0.033)</f>
        <v>495</v>
      </c>
      <c r="BA122" s="112">
        <v>0</v>
      </c>
      <c r="BB122" s="112">
        <v>0</v>
      </c>
      <c r="BC122" s="112">
        <v>0</v>
      </c>
      <c r="BD122" s="108">
        <f t="shared" si="24"/>
        <v>11876.688784246575</v>
      </c>
      <c r="BE122" s="108">
        <f t="shared" si="27"/>
        <v>11.876688784246575</v>
      </c>
      <c r="BG122" t="s">
        <v>200</v>
      </c>
      <c r="BH122">
        <v>36.560915450913242</v>
      </c>
      <c r="BI122" t="s">
        <v>211</v>
      </c>
    </row>
    <row r="123" spans="9:61" x14ac:dyDescent="0.3">
      <c r="I123" s="139" t="s">
        <v>172</v>
      </c>
      <c r="J123" s="128">
        <v>12.293777646974885</v>
      </c>
      <c r="K123" s="128">
        <f t="shared" si="22"/>
        <v>9.7062223530251153</v>
      </c>
      <c r="L123" s="128">
        <v>9.6999999999999993</v>
      </c>
      <c r="M123" s="128"/>
      <c r="N123" s="128"/>
      <c r="O123" s="129"/>
      <c r="Y123" s="139" t="s">
        <v>169</v>
      </c>
      <c r="Z123" s="128">
        <v>8.8766887842465749</v>
      </c>
      <c r="AA123" s="128">
        <f t="shared" si="23"/>
        <v>6.1233112157534251</v>
      </c>
      <c r="AB123" s="128">
        <v>6.1</v>
      </c>
      <c r="AC123" s="128"/>
      <c r="AD123" s="128"/>
      <c r="AE123" s="128"/>
      <c r="AF123" s="128"/>
      <c r="AG123" s="129"/>
      <c r="AM123" s="114">
        <v>9</v>
      </c>
      <c r="AN123" s="112">
        <f t="shared" si="25"/>
        <v>4941.40625</v>
      </c>
      <c r="AO123" s="112">
        <v>0</v>
      </c>
      <c r="AP123" s="112">
        <v>0</v>
      </c>
      <c r="AQ123" s="112">
        <v>0</v>
      </c>
      <c r="AR123" s="112">
        <v>15.625</v>
      </c>
      <c r="AS123" s="112">
        <v>500</v>
      </c>
      <c r="AT123" s="112">
        <v>335</v>
      </c>
      <c r="AU123" s="112">
        <v>0</v>
      </c>
      <c r="AV123" s="112">
        <f>1150*0.8</f>
        <v>920</v>
      </c>
      <c r="AW123" s="112">
        <f>(10000/4)</f>
        <v>2500</v>
      </c>
      <c r="AX123" s="112">
        <f t="shared" si="26"/>
        <v>3424.6575342465749</v>
      </c>
      <c r="AY123" s="112">
        <v>0</v>
      </c>
      <c r="AZ123" s="112">
        <v>0</v>
      </c>
      <c r="BA123" s="112">
        <v>0</v>
      </c>
      <c r="BB123" s="112">
        <v>250</v>
      </c>
      <c r="BC123" s="112">
        <v>0</v>
      </c>
      <c r="BD123" s="108">
        <f t="shared" si="24"/>
        <v>12886.688784246575</v>
      </c>
      <c r="BE123" s="108">
        <f t="shared" si="27"/>
        <v>12.886688784246575</v>
      </c>
      <c r="BG123" t="s">
        <v>201</v>
      </c>
      <c r="BH123">
        <v>37.710915450913241</v>
      </c>
      <c r="BI123" t="s">
        <v>211</v>
      </c>
    </row>
    <row r="124" spans="9:61" x14ac:dyDescent="0.3">
      <c r="I124" s="139" t="s">
        <v>173</v>
      </c>
      <c r="J124" s="128">
        <v>11.208360980308218</v>
      </c>
      <c r="K124" s="128">
        <f t="shared" si="22"/>
        <v>10.791639019691782</v>
      </c>
      <c r="L124" s="128">
        <v>10.7</v>
      </c>
      <c r="M124" s="128"/>
      <c r="N124" s="128"/>
      <c r="O124" s="129"/>
      <c r="Y124" s="139" t="s">
        <v>170</v>
      </c>
      <c r="Z124" s="128">
        <v>15.819188784246576</v>
      </c>
      <c r="AA124" s="127">
        <f t="shared" si="23"/>
        <v>-0.81918878424657571</v>
      </c>
      <c r="AB124" s="127">
        <f>SUM(AB120:AB123)</f>
        <v>21.2</v>
      </c>
      <c r="AC124" s="127">
        <f>SUM(AA124:AB124)</f>
        <v>20.380811215753425</v>
      </c>
      <c r="AD124" s="128"/>
      <c r="AE124" s="128"/>
      <c r="AF124" s="128"/>
      <c r="AG124" s="129"/>
      <c r="AM124" s="114">
        <v>10</v>
      </c>
      <c r="AN124" s="112">
        <f t="shared" si="25"/>
        <v>4941.40625</v>
      </c>
      <c r="AO124" s="112">
        <v>7187.5</v>
      </c>
      <c r="AP124" s="112">
        <v>0</v>
      </c>
      <c r="AQ124" s="112">
        <f>(7187.5/2)</f>
        <v>3593.75</v>
      </c>
      <c r="AR124" s="112">
        <v>15.625</v>
      </c>
      <c r="AS124" s="112">
        <v>500</v>
      </c>
      <c r="AT124" s="112">
        <v>0</v>
      </c>
      <c r="AU124" s="112">
        <v>0</v>
      </c>
      <c r="AV124" s="112">
        <v>1150</v>
      </c>
      <c r="AW124" s="112">
        <v>0</v>
      </c>
      <c r="AX124" s="112">
        <f t="shared" si="26"/>
        <v>3424.6575342465749</v>
      </c>
      <c r="AY124" s="112">
        <v>0</v>
      </c>
      <c r="AZ124" s="112">
        <v>495</v>
      </c>
      <c r="BA124" s="112">
        <v>0</v>
      </c>
      <c r="BB124" s="112">
        <v>0</v>
      </c>
      <c r="BC124" s="112">
        <v>0</v>
      </c>
      <c r="BD124" s="108">
        <f t="shared" si="24"/>
        <v>21307.938784246573</v>
      </c>
      <c r="BE124" s="108">
        <f t="shared" si="27"/>
        <v>21.307938784246574</v>
      </c>
      <c r="BG124" t="s">
        <v>202</v>
      </c>
      <c r="BH124">
        <v>35.633403450913249</v>
      </c>
      <c r="BI124" t="s">
        <v>212</v>
      </c>
    </row>
    <row r="125" spans="9:61" x14ac:dyDescent="0.3">
      <c r="I125" s="139" t="s">
        <v>174</v>
      </c>
      <c r="J125" s="128">
        <v>11.095860980308219</v>
      </c>
      <c r="K125" s="128">
        <f t="shared" si="22"/>
        <v>10.904139019691781</v>
      </c>
      <c r="L125" s="128">
        <v>10.9</v>
      </c>
      <c r="M125" s="128"/>
      <c r="N125" s="128"/>
      <c r="O125" s="129"/>
      <c r="Y125" s="139" t="s">
        <v>171</v>
      </c>
      <c r="Z125" s="128">
        <v>19.657938784246571</v>
      </c>
      <c r="AA125" s="128">
        <f t="shared" si="23"/>
        <v>-4.6579387842465714</v>
      </c>
      <c r="AB125" s="128"/>
      <c r="AC125" s="127">
        <f>(AC124+AA125)</f>
        <v>15.722872431506854</v>
      </c>
      <c r="AD125" s="128"/>
      <c r="AE125" s="128"/>
      <c r="AF125" s="128"/>
      <c r="AG125" s="129"/>
      <c r="AM125" s="114">
        <v>11</v>
      </c>
      <c r="AN125" s="112">
        <f t="shared" si="25"/>
        <v>4941.40625</v>
      </c>
      <c r="AO125" s="112">
        <v>0</v>
      </c>
      <c r="AP125" s="112">
        <f>(AP$7/2)</f>
        <v>10781.25</v>
      </c>
      <c r="AQ125" s="112">
        <f>(7187.5/2)</f>
        <v>3593.75</v>
      </c>
      <c r="AR125" s="112">
        <v>15.625</v>
      </c>
      <c r="AS125" s="112">
        <v>0</v>
      </c>
      <c r="AT125" s="112">
        <v>0</v>
      </c>
      <c r="AU125" s="112">
        <v>0</v>
      </c>
      <c r="AV125" s="112">
        <v>1150</v>
      </c>
      <c r="AW125" s="112">
        <v>0</v>
      </c>
      <c r="AX125" s="112">
        <f t="shared" si="26"/>
        <v>3424.6575342465749</v>
      </c>
      <c r="AY125" s="112">
        <v>0</v>
      </c>
      <c r="AZ125" s="112">
        <v>0</v>
      </c>
      <c r="BA125" s="112">
        <v>0</v>
      </c>
      <c r="BB125" s="112">
        <v>0</v>
      </c>
      <c r="BC125" s="112">
        <v>0</v>
      </c>
      <c r="BD125" s="108">
        <f t="shared" si="24"/>
        <v>23906.688784246573</v>
      </c>
      <c r="BE125" s="108">
        <f t="shared" si="27"/>
        <v>23.906688784246573</v>
      </c>
      <c r="BG125" t="s">
        <v>203</v>
      </c>
      <c r="BH125">
        <v>33.073355450913247</v>
      </c>
      <c r="BI125" t="s">
        <v>213</v>
      </c>
    </row>
    <row r="126" spans="9:61" x14ac:dyDescent="0.3">
      <c r="I126" s="139" t="s">
        <v>175</v>
      </c>
      <c r="J126" s="128">
        <v>10.477110980308218</v>
      </c>
      <c r="K126" s="128">
        <f t="shared" si="22"/>
        <v>11.522889019691782</v>
      </c>
      <c r="L126" s="128">
        <v>11.52</v>
      </c>
      <c r="M126" s="128"/>
      <c r="N126" s="128"/>
      <c r="O126" s="129"/>
      <c r="Y126" s="139" t="s">
        <v>172</v>
      </c>
      <c r="Z126" s="128">
        <v>8.3816887842465757</v>
      </c>
      <c r="AA126" s="128">
        <f t="shared" si="23"/>
        <v>6.6183112157534243</v>
      </c>
      <c r="AB126" s="128">
        <v>6.6</v>
      </c>
      <c r="AC126" s="128"/>
      <c r="AD126" s="128"/>
      <c r="AE126" s="128"/>
      <c r="AF126" s="128"/>
      <c r="AG126" s="129"/>
      <c r="AM126" s="114">
        <v>12</v>
      </c>
      <c r="AN126" s="112">
        <f t="shared" si="25"/>
        <v>4941.40625</v>
      </c>
      <c r="AO126" s="112">
        <v>0</v>
      </c>
      <c r="AP126" s="112">
        <v>0</v>
      </c>
      <c r="AQ126" s="112">
        <v>0</v>
      </c>
      <c r="AR126" s="112">
        <v>15.625</v>
      </c>
      <c r="AS126" s="112">
        <v>0</v>
      </c>
      <c r="AT126" s="112">
        <v>0</v>
      </c>
      <c r="AU126" s="112">
        <v>0</v>
      </c>
      <c r="AV126" s="112">
        <v>1150</v>
      </c>
      <c r="AW126" s="112">
        <v>0</v>
      </c>
      <c r="AX126" s="112">
        <f t="shared" si="26"/>
        <v>3424.6575342465749</v>
      </c>
      <c r="AY126" s="112">
        <v>0</v>
      </c>
      <c r="AZ126" s="112">
        <v>0</v>
      </c>
      <c r="BA126" s="112">
        <v>0</v>
      </c>
      <c r="BB126" s="112">
        <v>0</v>
      </c>
      <c r="BC126" s="112">
        <f>(AX$17/3)</f>
        <v>23541.666666666668</v>
      </c>
      <c r="BD126" s="108">
        <f t="shared" si="24"/>
        <v>33073.355450913245</v>
      </c>
      <c r="BE126" s="119">
        <f>(BD126/1000)</f>
        <v>33.073355450913247</v>
      </c>
      <c r="BG126" t="s">
        <v>204</v>
      </c>
      <c r="BH126">
        <v>33.073355450913247</v>
      </c>
      <c r="BI126" t="s">
        <v>213</v>
      </c>
    </row>
    <row r="127" spans="9:61" x14ac:dyDescent="0.3">
      <c r="I127" s="139">
        <v>1</v>
      </c>
      <c r="J127" s="128">
        <v>35.629194313641548</v>
      </c>
      <c r="K127" s="128">
        <f t="shared" si="22"/>
        <v>-13.629194313641548</v>
      </c>
      <c r="L127" s="127">
        <f>SUM(L122:L126)</f>
        <v>48.22</v>
      </c>
      <c r="M127" s="127" cm="1">
        <f t="array" ref="M127">SUM(K127:L127+M121)</f>
        <v>52.322206765125586</v>
      </c>
      <c r="N127" s="128"/>
      <c r="O127" s="129"/>
      <c r="Y127" s="139" t="s">
        <v>173</v>
      </c>
      <c r="Z127" s="128">
        <v>9.8350221175799089</v>
      </c>
      <c r="AA127" s="128">
        <f t="shared" si="23"/>
        <v>5.1649778824200911</v>
      </c>
      <c r="AB127" s="128">
        <v>5.0999999999999996</v>
      </c>
      <c r="AC127" s="128"/>
      <c r="AD127" s="128"/>
      <c r="AE127" s="128"/>
      <c r="AF127" s="128"/>
      <c r="AG127" s="129"/>
      <c r="AM127" s="114" t="s">
        <v>164</v>
      </c>
      <c r="AN127" s="112">
        <f t="shared" si="25"/>
        <v>4941.40625</v>
      </c>
      <c r="AO127" s="112">
        <v>0</v>
      </c>
      <c r="AP127" s="112">
        <v>0</v>
      </c>
      <c r="AQ127" s="112">
        <v>0</v>
      </c>
      <c r="AR127" s="112">
        <v>15.625</v>
      </c>
      <c r="AS127" s="112">
        <v>0</v>
      </c>
      <c r="AT127" s="112">
        <v>0</v>
      </c>
      <c r="AU127" s="112">
        <f>4637.56*0.8</f>
        <v>3710.0480000000007</v>
      </c>
      <c r="AV127" s="112">
        <v>0</v>
      </c>
      <c r="AW127" s="112">
        <v>0</v>
      </c>
      <c r="AX127" s="112">
        <f t="shared" si="26"/>
        <v>3424.6575342465749</v>
      </c>
      <c r="AY127" s="112">
        <v>0</v>
      </c>
      <c r="AZ127" s="112">
        <v>0</v>
      </c>
      <c r="BA127" s="112">
        <v>0</v>
      </c>
      <c r="BB127" s="112">
        <v>0</v>
      </c>
      <c r="BC127" s="112">
        <f>(AX$17/3)</f>
        <v>23541.666666666668</v>
      </c>
      <c r="BD127" s="108">
        <f t="shared" si="24"/>
        <v>35633.403450913247</v>
      </c>
      <c r="BE127" s="33">
        <f t="shared" si="27"/>
        <v>35.633403450913249</v>
      </c>
      <c r="BG127" t="s">
        <v>31</v>
      </c>
      <c r="BH127">
        <v>35.633403450913249</v>
      </c>
      <c r="BI127" t="s">
        <v>212</v>
      </c>
    </row>
    <row r="128" spans="9:61" x14ac:dyDescent="0.3">
      <c r="I128" s="139">
        <v>2</v>
      </c>
      <c r="J128" s="128">
        <v>14.220860980308219</v>
      </c>
      <c r="K128" s="128">
        <f t="shared" si="22"/>
        <v>7.7791390196917813</v>
      </c>
      <c r="L128" s="128">
        <v>7.7</v>
      </c>
      <c r="M128" s="128"/>
      <c r="N128" s="128"/>
      <c r="O128" s="129"/>
      <c r="Y128" s="139" t="s">
        <v>174</v>
      </c>
      <c r="Z128" s="128">
        <v>8.9666887842465748</v>
      </c>
      <c r="AA128" s="128">
        <f t="shared" si="23"/>
        <v>6.0333112157534252</v>
      </c>
      <c r="AB128" s="128">
        <v>6</v>
      </c>
      <c r="AC128" s="128"/>
      <c r="AD128" s="128"/>
      <c r="AE128" s="128"/>
      <c r="AF128" s="128"/>
      <c r="AG128" s="129"/>
      <c r="AM128" s="114" t="s">
        <v>165</v>
      </c>
      <c r="AN128" s="112">
        <f t="shared" si="25"/>
        <v>4941.40625</v>
      </c>
      <c r="AO128" s="112">
        <v>0</v>
      </c>
      <c r="AP128" s="112">
        <v>0</v>
      </c>
      <c r="AQ128" s="112">
        <v>0</v>
      </c>
      <c r="AR128" s="112">
        <v>15.625</v>
      </c>
      <c r="AS128" s="112">
        <v>0</v>
      </c>
      <c r="AT128" s="112">
        <v>0</v>
      </c>
      <c r="AU128" s="112">
        <v>4637.5600000000004</v>
      </c>
      <c r="AV128" s="112">
        <v>0</v>
      </c>
      <c r="AW128" s="112">
        <v>0</v>
      </c>
      <c r="AX128" s="112">
        <f t="shared" si="26"/>
        <v>3424.6575342465749</v>
      </c>
      <c r="AY128" s="112">
        <v>0</v>
      </c>
      <c r="AZ128" s="112">
        <v>0</v>
      </c>
      <c r="BA128" s="112">
        <v>0</v>
      </c>
      <c r="BB128" s="112">
        <v>0</v>
      </c>
      <c r="BC128" s="112">
        <v>0</v>
      </c>
      <c r="BD128" s="108">
        <f t="shared" ref="BD128:BD143" si="28">SUM(AN128:BC128)</f>
        <v>13019.248784246576</v>
      </c>
      <c r="BE128" s="108">
        <f t="shared" si="27"/>
        <v>13.019248784246576</v>
      </c>
      <c r="BG128" t="s">
        <v>205</v>
      </c>
      <c r="BH128">
        <v>37.710915450913241</v>
      </c>
      <c r="BI128" t="s">
        <v>211</v>
      </c>
    </row>
    <row r="129" spans="9:66" x14ac:dyDescent="0.3">
      <c r="I129" s="139">
        <v>3</v>
      </c>
      <c r="J129" s="128">
        <v>39.904194313641547</v>
      </c>
      <c r="K129" s="128">
        <f t="shared" si="22"/>
        <v>-17.904194313641547</v>
      </c>
      <c r="L129" s="128"/>
      <c r="M129" s="127">
        <f>(M127+L128+K129)</f>
        <v>42.118012451484041</v>
      </c>
      <c r="N129" s="128"/>
      <c r="O129" s="129"/>
      <c r="Y129" s="139" t="s">
        <v>175</v>
      </c>
      <c r="Z129" s="128">
        <v>8.8766887842465749</v>
      </c>
      <c r="AA129" s="128">
        <f t="shared" si="23"/>
        <v>6.1233112157534251</v>
      </c>
      <c r="AB129" s="128">
        <v>6.1</v>
      </c>
      <c r="AC129" s="128"/>
      <c r="AD129" s="128"/>
      <c r="AE129" s="128"/>
      <c r="AF129" s="128"/>
      <c r="AG129" s="129"/>
      <c r="AM129" s="114" t="s">
        <v>166</v>
      </c>
      <c r="AN129" s="112">
        <f t="shared" si="25"/>
        <v>4941.40625</v>
      </c>
      <c r="AO129" s="112">
        <v>0</v>
      </c>
      <c r="AP129" s="112">
        <v>0</v>
      </c>
      <c r="AQ129" s="112">
        <v>0</v>
      </c>
      <c r="AR129" s="112">
        <v>15.625</v>
      </c>
      <c r="AS129" s="112">
        <v>0</v>
      </c>
      <c r="AT129" s="112">
        <v>0</v>
      </c>
      <c r="AU129" s="112">
        <v>4637.5600000000004</v>
      </c>
      <c r="AV129" s="112">
        <v>0</v>
      </c>
      <c r="AW129" s="112">
        <v>0</v>
      </c>
      <c r="AX129" s="112">
        <f t="shared" si="26"/>
        <v>3424.6575342465749</v>
      </c>
      <c r="AY129" s="112">
        <v>0</v>
      </c>
      <c r="AZ129" s="112">
        <v>0</v>
      </c>
      <c r="BA129" s="112">
        <v>0</v>
      </c>
      <c r="BB129" s="112">
        <v>0</v>
      </c>
      <c r="BC129" s="112">
        <v>0</v>
      </c>
      <c r="BD129" s="108">
        <f t="shared" si="28"/>
        <v>13019.248784246576</v>
      </c>
      <c r="BE129" s="108">
        <f t="shared" si="27"/>
        <v>13.019248784246576</v>
      </c>
      <c r="BG129" t="s">
        <v>206</v>
      </c>
      <c r="BH129">
        <v>36.560915450913242</v>
      </c>
      <c r="BI129" t="s">
        <v>211</v>
      </c>
    </row>
    <row r="130" spans="9:66" x14ac:dyDescent="0.3">
      <c r="I130" s="139">
        <v>4</v>
      </c>
      <c r="J130" s="128">
        <v>11.495760980308217</v>
      </c>
      <c r="K130" s="128">
        <f t="shared" si="22"/>
        <v>10.504239019691783</v>
      </c>
      <c r="L130" s="128">
        <v>10.5</v>
      </c>
      <c r="M130" s="128"/>
      <c r="N130" s="128"/>
      <c r="O130" s="129"/>
      <c r="Y130" s="139">
        <v>1</v>
      </c>
      <c r="Z130" s="128">
        <v>8.3816887842465757</v>
      </c>
      <c r="AA130" s="128">
        <f t="shared" si="23"/>
        <v>6.6183112157534243</v>
      </c>
      <c r="AB130" s="128">
        <v>6.6</v>
      </c>
      <c r="AC130" s="128"/>
      <c r="AD130" s="128"/>
      <c r="AE130" s="128"/>
      <c r="AF130" s="128"/>
      <c r="AG130" s="129"/>
      <c r="AM130" s="114" t="s">
        <v>167</v>
      </c>
      <c r="AN130" s="112">
        <f t="shared" si="25"/>
        <v>4941.40625</v>
      </c>
      <c r="AO130" s="112">
        <v>0</v>
      </c>
      <c r="AP130" s="112">
        <v>0</v>
      </c>
      <c r="AQ130" s="112">
        <v>0</v>
      </c>
      <c r="AR130" s="112">
        <v>15.625</v>
      </c>
      <c r="AS130" s="112">
        <v>0</v>
      </c>
      <c r="AT130" s="112">
        <v>0</v>
      </c>
      <c r="AU130" s="112">
        <v>4637.5600000000004</v>
      </c>
      <c r="AV130" s="112">
        <v>0</v>
      </c>
      <c r="AW130" s="112">
        <v>0</v>
      </c>
      <c r="AX130" s="112">
        <f t="shared" si="26"/>
        <v>3424.6575342465749</v>
      </c>
      <c r="AY130" s="112">
        <v>0</v>
      </c>
      <c r="AZ130" s="112">
        <v>0</v>
      </c>
      <c r="BA130" s="112">
        <v>0</v>
      </c>
      <c r="BB130" s="112">
        <v>0</v>
      </c>
      <c r="BC130" s="112">
        <v>0</v>
      </c>
      <c r="BD130" s="108">
        <f t="shared" si="28"/>
        <v>13019.248784246576</v>
      </c>
      <c r="BE130" s="108">
        <f t="shared" si="27"/>
        <v>13.019248784246576</v>
      </c>
      <c r="BG130" t="s">
        <v>207</v>
      </c>
      <c r="BH130">
        <v>36.560915450913242</v>
      </c>
      <c r="BI130" t="s">
        <v>211</v>
      </c>
    </row>
    <row r="131" spans="9:66" x14ac:dyDescent="0.3">
      <c r="I131" s="139">
        <v>5</v>
      </c>
      <c r="J131" s="128">
        <v>32.325027646974888</v>
      </c>
      <c r="K131" s="128">
        <f t="shared" si="22"/>
        <v>-10.325027646974888</v>
      </c>
      <c r="L131" s="128"/>
      <c r="M131" s="127">
        <f>(M129+L130+K131)</f>
        <v>42.292984804509153</v>
      </c>
      <c r="N131" s="128"/>
      <c r="O131" s="129"/>
      <c r="Y131" s="139">
        <v>2</v>
      </c>
      <c r="Z131" s="128">
        <v>28.50335545091324</v>
      </c>
      <c r="AA131" s="127">
        <f t="shared" si="23"/>
        <v>-13.50335545091324</v>
      </c>
      <c r="AB131" s="127">
        <f>SUM(AB126:AB130)</f>
        <v>30.4</v>
      </c>
      <c r="AC131" s="127">
        <f>(AC125+AB131+AA131)</f>
        <v>32.619516980593609</v>
      </c>
      <c r="AD131" s="128"/>
      <c r="AE131" s="128"/>
      <c r="AF131" s="128"/>
      <c r="AG131" s="129"/>
      <c r="AM131" s="114" t="s">
        <v>168</v>
      </c>
      <c r="AN131" s="112">
        <f t="shared" si="25"/>
        <v>4941.40625</v>
      </c>
      <c r="AO131" s="112">
        <v>0</v>
      </c>
      <c r="AP131" s="112">
        <v>0</v>
      </c>
      <c r="AQ131" s="112">
        <v>0</v>
      </c>
      <c r="AR131" s="112">
        <v>15.625</v>
      </c>
      <c r="AS131" s="112">
        <v>0</v>
      </c>
      <c r="AT131" s="112">
        <v>0</v>
      </c>
      <c r="AU131" s="112">
        <v>0</v>
      </c>
      <c r="AV131" s="112">
        <v>0</v>
      </c>
      <c r="AW131" s="112">
        <v>0</v>
      </c>
      <c r="AX131" s="112">
        <f t="shared" si="26"/>
        <v>3424.6575342465749</v>
      </c>
      <c r="AY131" s="112">
        <v>0</v>
      </c>
      <c r="AZ131" s="112">
        <f>(15000*0.033)</f>
        <v>495</v>
      </c>
      <c r="BA131" s="112">
        <v>0</v>
      </c>
      <c r="BB131" s="112">
        <v>0</v>
      </c>
      <c r="BC131" s="112">
        <v>0</v>
      </c>
      <c r="BD131" s="108">
        <f t="shared" si="28"/>
        <v>8876.6887842465749</v>
      </c>
      <c r="BE131" s="108">
        <f t="shared" si="27"/>
        <v>8.8766887842465749</v>
      </c>
      <c r="BG131" t="s">
        <v>208</v>
      </c>
      <c r="BH131">
        <v>36.560915450913242</v>
      </c>
      <c r="BI131" t="s">
        <v>211</v>
      </c>
    </row>
    <row r="132" spans="9:66" x14ac:dyDescent="0.3">
      <c r="I132" s="126"/>
      <c r="J132" s="128">
        <v>564.54119252739724</v>
      </c>
      <c r="K132" s="128"/>
      <c r="L132" s="128"/>
      <c r="M132" s="128"/>
      <c r="N132" s="128"/>
      <c r="O132" s="129"/>
      <c r="Y132" s="139">
        <v>3</v>
      </c>
      <c r="Z132" s="128">
        <v>11.376688784246575</v>
      </c>
      <c r="AA132" s="128">
        <f t="shared" si="23"/>
        <v>3.6233112157534251</v>
      </c>
      <c r="AB132" s="128">
        <v>3.6</v>
      </c>
      <c r="AC132" s="128"/>
      <c r="AD132" s="128"/>
      <c r="AE132" s="128"/>
      <c r="AF132" s="128"/>
      <c r="AG132" s="129"/>
      <c r="AM132" s="114" t="s">
        <v>169</v>
      </c>
      <c r="AN132" s="112">
        <f t="shared" si="25"/>
        <v>4941.40625</v>
      </c>
      <c r="AO132" s="112">
        <v>7187.5</v>
      </c>
      <c r="AP132" s="112">
        <v>0</v>
      </c>
      <c r="AQ132" s="112">
        <v>0</v>
      </c>
      <c r="AR132" s="112">
        <v>15.625</v>
      </c>
      <c r="AS132" s="112">
        <v>0</v>
      </c>
      <c r="AT132" s="112">
        <v>0</v>
      </c>
      <c r="AU132" s="112">
        <v>0</v>
      </c>
      <c r="AV132" s="112">
        <v>0</v>
      </c>
      <c r="AW132" s="112">
        <v>0</v>
      </c>
      <c r="AX132" s="112">
        <f t="shared" si="26"/>
        <v>3424.6575342465749</v>
      </c>
      <c r="AY132" s="112">
        <v>0</v>
      </c>
      <c r="AZ132" s="112">
        <v>0</v>
      </c>
      <c r="BA132" s="112">
        <v>0</v>
      </c>
      <c r="BB132" s="112">
        <v>250</v>
      </c>
      <c r="BC132" s="112">
        <v>0</v>
      </c>
      <c r="BD132" s="108">
        <f t="shared" si="28"/>
        <v>15819.188784246575</v>
      </c>
      <c r="BE132" s="108">
        <f t="shared" si="27"/>
        <v>15.819188784246576</v>
      </c>
    </row>
    <row r="133" spans="9:66" x14ac:dyDescent="0.3">
      <c r="I133" s="126"/>
      <c r="J133" s="128"/>
      <c r="K133" s="128"/>
      <c r="L133" s="128"/>
      <c r="M133" s="128"/>
      <c r="N133" s="128"/>
      <c r="O133" s="129"/>
      <c r="Y133" s="139">
        <v>4</v>
      </c>
      <c r="Z133" s="128">
        <v>31.923355450913245</v>
      </c>
      <c r="AA133" s="128">
        <f t="shared" si="23"/>
        <v>-16.923355450913245</v>
      </c>
      <c r="AB133" s="128"/>
      <c r="AC133" s="127">
        <f>(AC131+AB132+AA133)</f>
        <v>19.296161529680365</v>
      </c>
      <c r="AD133" s="128"/>
      <c r="AE133" s="128"/>
      <c r="AF133" s="128"/>
      <c r="AG133" s="129"/>
      <c r="AM133" s="114" t="s">
        <v>170</v>
      </c>
      <c r="AN133" s="112">
        <f t="shared" si="25"/>
        <v>4941.40625</v>
      </c>
      <c r="AO133" s="112">
        <v>0</v>
      </c>
      <c r="AP133" s="112">
        <f>(AP$7/2)</f>
        <v>10781.25</v>
      </c>
      <c r="AQ133" s="112">
        <v>0</v>
      </c>
      <c r="AR133" s="112">
        <v>15.625</v>
      </c>
      <c r="AS133" s="112">
        <v>0</v>
      </c>
      <c r="AT133" s="112">
        <v>0</v>
      </c>
      <c r="AU133" s="112">
        <v>0</v>
      </c>
      <c r="AV133" s="112">
        <v>0</v>
      </c>
      <c r="AW133" s="112">
        <v>0</v>
      </c>
      <c r="AX133" s="112">
        <f t="shared" si="26"/>
        <v>3424.6575342465749</v>
      </c>
      <c r="AY133" s="112">
        <v>0</v>
      </c>
      <c r="AZ133" s="112">
        <f>(15000*0.033)</f>
        <v>495</v>
      </c>
      <c r="BA133" s="112">
        <v>0</v>
      </c>
      <c r="BB133" s="112">
        <v>0</v>
      </c>
      <c r="BC133" s="112">
        <v>0</v>
      </c>
      <c r="BD133" s="108">
        <f t="shared" si="28"/>
        <v>19657.938784246573</v>
      </c>
      <c r="BE133" s="108">
        <f t="shared" si="27"/>
        <v>19.657938784246571</v>
      </c>
    </row>
    <row r="134" spans="9:66" x14ac:dyDescent="0.3">
      <c r="I134" s="145" t="s">
        <v>225</v>
      </c>
      <c r="J134" s="146"/>
      <c r="K134" s="146"/>
      <c r="L134" s="146"/>
      <c r="M134" s="128"/>
      <c r="N134" s="128"/>
      <c r="O134" s="129"/>
      <c r="Y134" s="139">
        <v>5</v>
      </c>
      <c r="Z134" s="128">
        <v>8.9666887842465748</v>
      </c>
      <c r="AA134" s="128">
        <f t="shared" si="23"/>
        <v>6.0333112157534252</v>
      </c>
      <c r="AB134" s="128">
        <v>6</v>
      </c>
      <c r="AC134" s="128"/>
      <c r="AD134" s="128"/>
      <c r="AE134" s="128"/>
      <c r="AF134" s="128"/>
      <c r="AG134" s="129"/>
      <c r="AM134" s="114" t="s">
        <v>171</v>
      </c>
      <c r="AN134" s="112">
        <f t="shared" si="25"/>
        <v>4941.40625</v>
      </c>
      <c r="AO134" s="112">
        <v>0</v>
      </c>
      <c r="AP134" s="112">
        <v>0</v>
      </c>
      <c r="AQ134" s="112">
        <v>0</v>
      </c>
      <c r="AR134" s="112">
        <v>15.625</v>
      </c>
      <c r="AS134" s="112">
        <v>0</v>
      </c>
      <c r="AT134" s="112">
        <v>0</v>
      </c>
      <c r="AU134" s="112">
        <v>0</v>
      </c>
      <c r="AV134" s="112">
        <v>0</v>
      </c>
      <c r="AW134" s="112">
        <v>0</v>
      </c>
      <c r="AX134" s="112">
        <f t="shared" si="26"/>
        <v>3424.6575342465749</v>
      </c>
      <c r="AY134" s="112">
        <v>0</v>
      </c>
      <c r="AZ134" s="112">
        <v>0</v>
      </c>
      <c r="BA134" s="112">
        <v>0</v>
      </c>
      <c r="BB134" s="112">
        <v>0</v>
      </c>
      <c r="BC134" s="112">
        <v>0</v>
      </c>
      <c r="BD134" s="108">
        <f t="shared" si="28"/>
        <v>8381.6887842465749</v>
      </c>
      <c r="BE134" s="108">
        <f t="shared" si="27"/>
        <v>8.3816887842465757</v>
      </c>
    </row>
    <row r="135" spans="9:66" x14ac:dyDescent="0.3">
      <c r="I135" s="139">
        <v>6</v>
      </c>
      <c r="J135" s="128">
        <v>13.8896109803082</v>
      </c>
      <c r="K135" s="128">
        <f>(26-J135)</f>
        <v>12.1103890196918</v>
      </c>
      <c r="L135" s="128">
        <v>8.1</v>
      </c>
      <c r="M135" s="128"/>
      <c r="N135" s="128"/>
      <c r="O135" s="129"/>
      <c r="Y135" s="139">
        <v>6</v>
      </c>
      <c r="Z135" s="128">
        <v>24.710022117579907</v>
      </c>
      <c r="AA135" s="128">
        <f t="shared" ref="AA135" si="29">(15-Z135)</f>
        <v>-9.7100221175799071</v>
      </c>
      <c r="AB135" s="128"/>
      <c r="AC135" s="127">
        <f>(AC133+AB134+AA135)</f>
        <v>15.586139412100458</v>
      </c>
      <c r="AD135" s="128"/>
      <c r="AE135" s="128"/>
      <c r="AF135" s="128"/>
      <c r="AG135" s="129"/>
      <c r="AM135" s="114" t="s">
        <v>172</v>
      </c>
      <c r="AN135" s="112">
        <f t="shared" si="25"/>
        <v>4941.40625</v>
      </c>
      <c r="AO135" s="112">
        <v>0</v>
      </c>
      <c r="AP135" s="112">
        <v>0</v>
      </c>
      <c r="AQ135" s="112">
        <v>0</v>
      </c>
      <c r="AR135" s="112">
        <v>15.625</v>
      </c>
      <c r="AS135" s="112">
        <v>0</v>
      </c>
      <c r="AT135" s="112">
        <v>0</v>
      </c>
      <c r="AU135" s="112">
        <v>0</v>
      </c>
      <c r="AV135" s="112">
        <v>0</v>
      </c>
      <c r="AW135" s="112">
        <v>0</v>
      </c>
      <c r="AX135" s="112">
        <f t="shared" si="26"/>
        <v>3424.6575342465749</v>
      </c>
      <c r="AY135" s="112">
        <v>0</v>
      </c>
      <c r="AZ135" s="112">
        <f>(15000*0.033)</f>
        <v>495</v>
      </c>
      <c r="BA135" s="112">
        <f>(2875/3)</f>
        <v>958.33333333333337</v>
      </c>
      <c r="BB135" s="112">
        <v>0</v>
      </c>
      <c r="BC135" s="112">
        <v>0</v>
      </c>
      <c r="BD135" s="108">
        <f t="shared" si="28"/>
        <v>9835.0221175799088</v>
      </c>
      <c r="BE135" s="108">
        <f t="shared" si="27"/>
        <v>9.8350221175799089</v>
      </c>
    </row>
    <row r="136" spans="9:66" x14ac:dyDescent="0.3">
      <c r="I136" s="139">
        <v>7</v>
      </c>
      <c r="J136" s="128">
        <v>33.529194313641547</v>
      </c>
      <c r="K136" s="128">
        <f t="shared" ref="K136:K158" si="30">(26-J136)</f>
        <v>-7.5291943136415469</v>
      </c>
      <c r="L136" s="128"/>
      <c r="M136" s="128"/>
      <c r="N136" s="127">
        <f>(M158+L135+K136)</f>
        <v>70.863790490867615</v>
      </c>
      <c r="O136" s="129"/>
      <c r="Y136" s="139">
        <v>7</v>
      </c>
      <c r="Z136" s="128">
        <v>9.961688784246574</v>
      </c>
      <c r="AA136" s="128">
        <f t="shared" ref="AA136" si="31">(15-Z136)</f>
        <v>5.038311215753426</v>
      </c>
      <c r="AB136" s="128">
        <v>5</v>
      </c>
      <c r="AC136" s="128"/>
      <c r="AD136" s="128"/>
      <c r="AE136" s="128"/>
      <c r="AF136" s="128"/>
      <c r="AG136" s="129"/>
      <c r="AM136" s="114" t="s">
        <v>173</v>
      </c>
      <c r="AN136" s="112">
        <f t="shared" si="25"/>
        <v>4941.40625</v>
      </c>
      <c r="AO136" s="112">
        <v>0</v>
      </c>
      <c r="AP136" s="112">
        <v>0</v>
      </c>
      <c r="AQ136" s="112">
        <v>0</v>
      </c>
      <c r="AR136" s="112">
        <v>15.625</v>
      </c>
      <c r="AS136" s="112">
        <v>0</v>
      </c>
      <c r="AT136" s="112">
        <v>335</v>
      </c>
      <c r="AU136" s="112">
        <v>0</v>
      </c>
      <c r="AV136" s="112">
        <v>0</v>
      </c>
      <c r="AW136" s="112">
        <v>0</v>
      </c>
      <c r="AX136" s="112">
        <f t="shared" si="26"/>
        <v>3424.6575342465749</v>
      </c>
      <c r="AY136" s="112">
        <v>0</v>
      </c>
      <c r="AZ136" s="112">
        <v>0</v>
      </c>
      <c r="BA136" s="112">
        <v>0</v>
      </c>
      <c r="BB136" s="112">
        <v>250</v>
      </c>
      <c r="BC136" s="112">
        <v>0</v>
      </c>
      <c r="BD136" s="108">
        <f t="shared" si="28"/>
        <v>8966.6887842465749</v>
      </c>
      <c r="BE136" s="108">
        <f t="shared" si="27"/>
        <v>8.9666887842465748</v>
      </c>
    </row>
    <row r="137" spans="9:66" x14ac:dyDescent="0.3">
      <c r="I137" s="139">
        <v>8</v>
      </c>
      <c r="J137" s="128">
        <v>17.48914998030822</v>
      </c>
      <c r="K137" s="128">
        <f t="shared" si="30"/>
        <v>8.5108500196917802</v>
      </c>
      <c r="L137" s="128">
        <v>4.5</v>
      </c>
      <c r="M137" s="128"/>
      <c r="N137" s="128"/>
      <c r="O137" s="129"/>
      <c r="Y137" s="139">
        <v>8</v>
      </c>
      <c r="Z137" s="128">
        <v>25.673355450913242</v>
      </c>
      <c r="AA137" s="128">
        <f t="shared" ref="AA137" si="32">(15-Z137)</f>
        <v>-10.673355450913242</v>
      </c>
      <c r="AB137" s="128"/>
      <c r="AC137" s="127">
        <f>(AC135+AB136+AA137)</f>
        <v>9.9127839611872162</v>
      </c>
      <c r="AD137" s="128"/>
      <c r="AE137" s="128"/>
      <c r="AF137" s="128"/>
      <c r="AG137" s="129"/>
      <c r="AM137" s="114" t="s">
        <v>174</v>
      </c>
      <c r="AN137" s="112">
        <f t="shared" si="25"/>
        <v>4941.40625</v>
      </c>
      <c r="AO137" s="112">
        <v>0</v>
      </c>
      <c r="AP137" s="112">
        <v>0</v>
      </c>
      <c r="AQ137" s="112">
        <v>0</v>
      </c>
      <c r="AR137" s="112">
        <v>15.625</v>
      </c>
      <c r="AS137" s="112">
        <v>0</v>
      </c>
      <c r="AT137" s="112">
        <v>0</v>
      </c>
      <c r="AU137" s="112">
        <v>0</v>
      </c>
      <c r="AV137" s="112">
        <v>0</v>
      </c>
      <c r="AW137" s="112">
        <v>0</v>
      </c>
      <c r="AX137" s="112">
        <f t="shared" si="26"/>
        <v>3424.6575342465749</v>
      </c>
      <c r="AY137" s="112">
        <v>0</v>
      </c>
      <c r="AZ137" s="112">
        <f>(15000*0.033)</f>
        <v>495</v>
      </c>
      <c r="BA137" s="112">
        <v>0</v>
      </c>
      <c r="BB137" s="112">
        <v>0</v>
      </c>
      <c r="BC137" s="112">
        <v>0</v>
      </c>
      <c r="BD137" s="108">
        <f t="shared" si="28"/>
        <v>8876.6887842465749</v>
      </c>
      <c r="BE137" s="108">
        <f t="shared" si="27"/>
        <v>8.8766887842465749</v>
      </c>
    </row>
    <row r="138" spans="9:66" x14ac:dyDescent="0.3">
      <c r="I138" s="139">
        <v>9</v>
      </c>
      <c r="J138" s="128">
        <v>22.424805980308218</v>
      </c>
      <c r="K138" s="128">
        <f t="shared" si="30"/>
        <v>3.5751940196917822</v>
      </c>
      <c r="L138" s="128"/>
      <c r="M138" s="128"/>
      <c r="N138" s="127">
        <f>(N136+L137+K138)</f>
        <v>78.938984510559393</v>
      </c>
      <c r="O138" s="129"/>
      <c r="Y138" s="139">
        <v>9</v>
      </c>
      <c r="Z138" s="128">
        <v>11.876688784246575</v>
      </c>
      <c r="AA138" s="128">
        <f t="shared" ref="AA138" si="33">(15-Z138)</f>
        <v>3.1233112157534251</v>
      </c>
      <c r="AB138" s="128">
        <v>3.1</v>
      </c>
      <c r="AC138" s="128"/>
      <c r="AD138" s="128"/>
      <c r="AE138" s="128"/>
      <c r="AF138" s="128"/>
      <c r="AG138" s="129"/>
      <c r="AM138" s="114" t="s">
        <v>175</v>
      </c>
      <c r="AN138" s="112">
        <f t="shared" si="25"/>
        <v>4941.40625</v>
      </c>
      <c r="AO138" s="112">
        <v>0</v>
      </c>
      <c r="AP138" s="112">
        <v>0</v>
      </c>
      <c r="AQ138" s="112">
        <v>0</v>
      </c>
      <c r="AR138" s="112">
        <v>15.625</v>
      </c>
      <c r="AS138" s="112">
        <v>0</v>
      </c>
      <c r="AT138" s="112">
        <v>0</v>
      </c>
      <c r="AU138" s="112">
        <v>0</v>
      </c>
      <c r="AV138" s="112">
        <v>0</v>
      </c>
      <c r="AW138" s="112">
        <v>0</v>
      </c>
      <c r="AX138" s="112">
        <f t="shared" si="26"/>
        <v>3424.6575342465749</v>
      </c>
      <c r="AY138" s="112">
        <v>0</v>
      </c>
      <c r="AZ138" s="112">
        <v>0</v>
      </c>
      <c r="BA138" s="112">
        <v>0</v>
      </c>
      <c r="BB138" s="112">
        <v>0</v>
      </c>
      <c r="BC138" s="112">
        <v>0</v>
      </c>
      <c r="BD138" s="108">
        <f t="shared" si="28"/>
        <v>8381.6887842465749</v>
      </c>
      <c r="BE138" s="108">
        <f t="shared" si="27"/>
        <v>8.3816887842465757</v>
      </c>
    </row>
    <row r="139" spans="9:66" x14ac:dyDescent="0.3">
      <c r="I139" s="139">
        <v>10</v>
      </c>
      <c r="J139" s="128">
        <v>32.663868480308217</v>
      </c>
      <c r="K139" s="128">
        <f t="shared" si="30"/>
        <v>-6.6638684803082171</v>
      </c>
      <c r="L139" s="128"/>
      <c r="M139" s="128"/>
      <c r="N139" s="127">
        <f>(N138+K139)</f>
        <v>72.275116030251183</v>
      </c>
      <c r="O139" s="129"/>
      <c r="Y139" s="139">
        <v>10</v>
      </c>
      <c r="Z139" s="128">
        <v>11.966688784246575</v>
      </c>
      <c r="AA139" s="128">
        <f t="shared" ref="AA139" si="34">(15-Z139)</f>
        <v>3.0333112157534252</v>
      </c>
      <c r="AB139" s="128">
        <v>3</v>
      </c>
      <c r="AC139" s="128"/>
      <c r="AD139" s="128"/>
      <c r="AE139" s="128"/>
      <c r="AF139" s="128"/>
      <c r="AG139" s="129"/>
      <c r="AM139" s="114">
        <v>1</v>
      </c>
      <c r="AN139" s="112">
        <f t="shared" si="25"/>
        <v>4941.40625</v>
      </c>
      <c r="AO139" s="112">
        <v>0</v>
      </c>
      <c r="AP139" s="112">
        <v>0</v>
      </c>
      <c r="AQ139" s="112">
        <v>0</v>
      </c>
      <c r="AR139" s="112">
        <v>15.625</v>
      </c>
      <c r="AS139" s="112">
        <v>0</v>
      </c>
      <c r="AT139" s="112">
        <v>335</v>
      </c>
      <c r="AU139" s="112">
        <v>0</v>
      </c>
      <c r="AV139" s="112">
        <v>0</v>
      </c>
      <c r="AW139" s="112">
        <f>(10000/4)</f>
        <v>2500</v>
      </c>
      <c r="AX139" s="112">
        <f t="shared" si="26"/>
        <v>3424.6575342465749</v>
      </c>
      <c r="AY139" s="112">
        <f>(47500/3)</f>
        <v>15833.333333333334</v>
      </c>
      <c r="AZ139" s="112">
        <f>(15000*0.033)</f>
        <v>495</v>
      </c>
      <c r="BA139" s="112">
        <f>(2875/3)</f>
        <v>958.33333333333337</v>
      </c>
      <c r="BB139" s="112">
        <v>0</v>
      </c>
      <c r="BC139" s="112"/>
      <c r="BD139" s="108">
        <f t="shared" si="28"/>
        <v>28503.355450913241</v>
      </c>
      <c r="BE139" s="108">
        <f t="shared" si="27"/>
        <v>28.50335545091324</v>
      </c>
    </row>
    <row r="140" spans="9:66" x14ac:dyDescent="0.3">
      <c r="I140" s="139">
        <v>11</v>
      </c>
      <c r="J140" s="128">
        <v>34.474805980308211</v>
      </c>
      <c r="K140" s="128">
        <f t="shared" si="30"/>
        <v>-8.4748059803082114</v>
      </c>
      <c r="L140" s="128"/>
      <c r="M140" s="128"/>
      <c r="N140" s="127">
        <f>(N139+K140)</f>
        <v>63.800310049942972</v>
      </c>
      <c r="O140" s="129"/>
      <c r="Y140" s="139">
        <v>11</v>
      </c>
      <c r="Z140" s="128">
        <v>21.307938784246574</v>
      </c>
      <c r="AA140" s="128">
        <f t="shared" ref="AA140" si="35">(15-Z140)</f>
        <v>-6.3079387842465735</v>
      </c>
      <c r="AB140" s="128"/>
      <c r="AC140" s="127">
        <f>(AB138+AC137+AB139+AA140)</f>
        <v>9.7048451769406441</v>
      </c>
      <c r="AD140" s="128"/>
      <c r="AE140" s="128"/>
      <c r="AF140" s="128"/>
      <c r="AG140" s="129"/>
      <c r="AM140" s="114">
        <v>2</v>
      </c>
      <c r="AN140" s="112">
        <f t="shared" si="25"/>
        <v>4941.40625</v>
      </c>
      <c r="AO140" s="112">
        <v>0</v>
      </c>
      <c r="AP140" s="112">
        <v>0</v>
      </c>
      <c r="AQ140" s="112">
        <v>0</v>
      </c>
      <c r="AR140" s="112">
        <v>15.625</v>
      </c>
      <c r="AS140" s="112">
        <v>0</v>
      </c>
      <c r="AT140" s="112">
        <v>0</v>
      </c>
      <c r="AU140" s="112">
        <v>0</v>
      </c>
      <c r="AV140" s="112">
        <v>0</v>
      </c>
      <c r="AW140" s="112">
        <f>(10000/4)</f>
        <v>2500</v>
      </c>
      <c r="AX140" s="112">
        <f t="shared" si="26"/>
        <v>3424.6575342465749</v>
      </c>
      <c r="AY140" s="112">
        <v>0</v>
      </c>
      <c r="AZ140" s="112">
        <f>(15000*0.033)</f>
        <v>495</v>
      </c>
      <c r="BA140" s="112">
        <v>0</v>
      </c>
      <c r="BB140" s="112">
        <v>0</v>
      </c>
      <c r="BC140" s="112">
        <v>0</v>
      </c>
      <c r="BD140" s="108">
        <f t="shared" si="28"/>
        <v>11376.688784246575</v>
      </c>
      <c r="BE140" s="108">
        <f t="shared" si="27"/>
        <v>11.376688784246575</v>
      </c>
    </row>
    <row r="141" spans="9:66" x14ac:dyDescent="0.3">
      <c r="I141" s="139">
        <v>12</v>
      </c>
      <c r="J141" s="128">
        <v>45.933139313641554</v>
      </c>
      <c r="K141" s="128">
        <f t="shared" si="30"/>
        <v>-19.933139313641554</v>
      </c>
      <c r="L141" s="128"/>
      <c r="M141" s="128"/>
      <c r="N141" s="127">
        <f>(N140+K141)</f>
        <v>43.867170736301418</v>
      </c>
      <c r="O141" s="129"/>
      <c r="Y141" s="139">
        <v>12</v>
      </c>
      <c r="Z141" s="128">
        <v>23.906688784246573</v>
      </c>
      <c r="AA141" s="128">
        <f>(22-Z141)</f>
        <v>-1.9066887842465725</v>
      </c>
      <c r="AB141" s="128"/>
      <c r="AC141" s="128">
        <f>(AC140+AA141)</f>
        <v>7.7981563926940716</v>
      </c>
      <c r="AD141" s="128"/>
      <c r="AE141" s="128"/>
      <c r="AF141" s="128"/>
      <c r="AG141" s="129"/>
      <c r="AM141" s="114">
        <v>3</v>
      </c>
      <c r="AN141" s="112">
        <f t="shared" si="25"/>
        <v>4941.40625</v>
      </c>
      <c r="AO141" s="112">
        <v>0</v>
      </c>
      <c r="AP141" s="112">
        <v>0</v>
      </c>
      <c r="AQ141" s="112">
        <v>0</v>
      </c>
      <c r="AR141" s="112">
        <v>15.625</v>
      </c>
      <c r="AS141" s="112">
        <v>0</v>
      </c>
      <c r="AT141" s="112">
        <v>0</v>
      </c>
      <c r="AU141" s="112">
        <v>0</v>
      </c>
      <c r="AV141" s="112">
        <v>0</v>
      </c>
      <c r="AW141" s="112">
        <v>0</v>
      </c>
      <c r="AX141" s="112">
        <f t="shared" si="26"/>
        <v>3424.6575342465749</v>
      </c>
      <c r="AY141" s="112">
        <v>0</v>
      </c>
      <c r="AZ141" s="112">
        <v>0</v>
      </c>
      <c r="BA141" s="112">
        <v>0</v>
      </c>
      <c r="BB141" s="112">
        <v>0</v>
      </c>
      <c r="BC141" s="112">
        <f>(AX$17/3)</f>
        <v>23541.666666666668</v>
      </c>
      <c r="BD141" s="108">
        <f t="shared" si="28"/>
        <v>31923.355450913245</v>
      </c>
      <c r="BE141" s="108">
        <f t="shared" si="27"/>
        <v>31.923355450913245</v>
      </c>
    </row>
    <row r="142" spans="9:66" x14ac:dyDescent="0.3">
      <c r="I142" s="139" t="s">
        <v>164</v>
      </c>
      <c r="J142" s="128">
        <v>45.933139313641554</v>
      </c>
      <c r="K142" s="128">
        <f t="shared" si="30"/>
        <v>-19.933139313641554</v>
      </c>
      <c r="L142" s="128"/>
      <c r="M142" s="128"/>
      <c r="N142" s="127">
        <f>(N141+K142)</f>
        <v>23.934031422659864</v>
      </c>
      <c r="O142" s="129"/>
      <c r="Y142" s="139" t="s">
        <v>164</v>
      </c>
      <c r="Z142" s="128">
        <v>33.073355450913247</v>
      </c>
      <c r="AA142" s="128">
        <f t="shared" ref="AA142:AA158" si="36">(22-Z142)</f>
        <v>-11.073355450913247</v>
      </c>
      <c r="AB142" s="128"/>
      <c r="AC142" s="128">
        <f>(AC141+AA142)</f>
        <v>-3.2751990582191759</v>
      </c>
      <c r="AD142" s="134">
        <v>3.2751990582191799</v>
      </c>
      <c r="AE142" s="128"/>
      <c r="AF142" s="128"/>
      <c r="AG142" s="129"/>
      <c r="AM142" s="114">
        <v>4</v>
      </c>
      <c r="AN142" s="112">
        <f t="shared" si="25"/>
        <v>4941.40625</v>
      </c>
      <c r="AO142" s="112">
        <v>0</v>
      </c>
      <c r="AP142" s="112">
        <v>0</v>
      </c>
      <c r="AQ142" s="112">
        <v>0</v>
      </c>
      <c r="AR142" s="112">
        <v>15.625</v>
      </c>
      <c r="AS142" s="112">
        <v>0</v>
      </c>
      <c r="AT142" s="112">
        <v>335</v>
      </c>
      <c r="AU142" s="112">
        <v>0</v>
      </c>
      <c r="AV142" s="112">
        <v>0</v>
      </c>
      <c r="AW142" s="112">
        <v>0</v>
      </c>
      <c r="AX142" s="112">
        <f t="shared" si="26"/>
        <v>3424.6575342465749</v>
      </c>
      <c r="AY142" s="112">
        <v>0</v>
      </c>
      <c r="AZ142" s="112">
        <v>0</v>
      </c>
      <c r="BA142" s="112">
        <v>0</v>
      </c>
      <c r="BB142" s="112">
        <v>250</v>
      </c>
      <c r="BC142" s="112">
        <v>0</v>
      </c>
      <c r="BD142" s="108">
        <f t="shared" si="28"/>
        <v>8966.6887842465749</v>
      </c>
      <c r="BE142" s="108">
        <f t="shared" si="27"/>
        <v>8.9666887842465748</v>
      </c>
    </row>
    <row r="143" spans="9:66" x14ac:dyDescent="0.3">
      <c r="I143" s="139" t="s">
        <v>165</v>
      </c>
      <c r="J143" s="128">
        <v>16.506055980308219</v>
      </c>
      <c r="K143" s="128">
        <f t="shared" si="30"/>
        <v>9.4939440196917815</v>
      </c>
      <c r="L143" s="128">
        <v>5.49</v>
      </c>
      <c r="M143" s="128"/>
      <c r="N143" s="128"/>
      <c r="O143" s="129"/>
      <c r="Y143" s="139" t="s">
        <v>165</v>
      </c>
      <c r="Z143" s="128">
        <v>31.923355450913245</v>
      </c>
      <c r="AA143" s="128">
        <f t="shared" si="36"/>
        <v>-9.9233554509132453</v>
      </c>
      <c r="AB143" s="128"/>
      <c r="AC143" s="128">
        <f>(AC142+AA143)</f>
        <v>-13.198554509132421</v>
      </c>
      <c r="AD143" s="134">
        <v>13.1985545091324</v>
      </c>
      <c r="AE143" s="128"/>
      <c r="AF143" s="128"/>
      <c r="AG143" s="129"/>
      <c r="AM143" s="114">
        <v>5</v>
      </c>
      <c r="AN143" s="112">
        <f t="shared" si="25"/>
        <v>4941.40625</v>
      </c>
      <c r="AO143" s="112">
        <v>0</v>
      </c>
      <c r="AP143" s="112">
        <v>0</v>
      </c>
      <c r="AQ143" s="112">
        <v>0</v>
      </c>
      <c r="AR143" s="112">
        <v>15.625</v>
      </c>
      <c r="AS143" s="112">
        <v>0</v>
      </c>
      <c r="AT143" s="112">
        <v>0</v>
      </c>
      <c r="AU143" s="112">
        <v>0</v>
      </c>
      <c r="AV143" s="112">
        <v>0</v>
      </c>
      <c r="AW143" s="112">
        <v>0</v>
      </c>
      <c r="AX143" s="112">
        <f t="shared" si="26"/>
        <v>3424.6575342465749</v>
      </c>
      <c r="AY143" s="112">
        <f>(47500/3)</f>
        <v>15833.333333333334</v>
      </c>
      <c r="AZ143" s="112">
        <f>(15000*0.033)</f>
        <v>495</v>
      </c>
      <c r="BA143" s="112">
        <v>0</v>
      </c>
      <c r="BB143" s="112">
        <v>0</v>
      </c>
      <c r="BC143" s="112">
        <v>0</v>
      </c>
      <c r="BD143" s="108">
        <f t="shared" si="28"/>
        <v>24710.022117579909</v>
      </c>
      <c r="BE143" s="108">
        <f t="shared" si="27"/>
        <v>24.710022117579907</v>
      </c>
      <c r="BN143" s="109"/>
    </row>
    <row r="144" spans="9:66" x14ac:dyDescent="0.3">
      <c r="I144" s="139" t="s">
        <v>166</v>
      </c>
      <c r="J144" s="128">
        <v>16.506055980308219</v>
      </c>
      <c r="K144" s="128">
        <f t="shared" si="30"/>
        <v>9.4939440196917815</v>
      </c>
      <c r="L144" s="128">
        <v>5.49</v>
      </c>
      <c r="M144" s="128"/>
      <c r="N144" s="128"/>
      <c r="O144" s="129"/>
      <c r="Y144" s="139" t="s">
        <v>166</v>
      </c>
      <c r="Z144" s="128">
        <v>8.3816887842465757</v>
      </c>
      <c r="AA144" s="128">
        <f t="shared" si="36"/>
        <v>13.618311215753424</v>
      </c>
      <c r="AB144" s="128">
        <v>13.6</v>
      </c>
      <c r="AC144" s="128"/>
      <c r="AD144" s="128"/>
      <c r="AE144" s="128"/>
      <c r="AF144" s="128"/>
      <c r="AG144" s="129"/>
      <c r="AP144" s="106"/>
      <c r="BC144" s="108" t="s">
        <v>111</v>
      </c>
      <c r="BD144" s="108">
        <f>SUM(BD120:BD143)</f>
        <v>407653.2588219177</v>
      </c>
      <c r="BE144" s="109">
        <f t="shared" si="27"/>
        <v>407.65325882191769</v>
      </c>
    </row>
    <row r="145" spans="9:57" x14ac:dyDescent="0.3">
      <c r="I145" s="139" t="s">
        <v>167</v>
      </c>
      <c r="J145" s="128">
        <v>16.506055980308219</v>
      </c>
      <c r="K145" s="128">
        <f t="shared" si="30"/>
        <v>9.4939440196917815</v>
      </c>
      <c r="L145" s="128">
        <v>5.49</v>
      </c>
      <c r="M145" s="128"/>
      <c r="N145" s="128"/>
      <c r="O145" s="129"/>
      <c r="Y145" s="139" t="s">
        <v>167</v>
      </c>
      <c r="Z145" s="128">
        <v>8.3816887842465757</v>
      </c>
      <c r="AA145" s="128">
        <f t="shared" si="36"/>
        <v>13.618311215753424</v>
      </c>
      <c r="AB145" s="128">
        <v>13.6</v>
      </c>
      <c r="AC145" s="128"/>
      <c r="AD145" s="128"/>
      <c r="AE145" s="128"/>
      <c r="AF145" s="128"/>
      <c r="AG145" s="129"/>
    </row>
    <row r="146" spans="9:57" x14ac:dyDescent="0.3">
      <c r="I146" s="139" t="s">
        <v>168</v>
      </c>
      <c r="J146" s="128">
        <v>17.124805980308217</v>
      </c>
      <c r="K146" s="128">
        <f t="shared" si="30"/>
        <v>8.8751940196917829</v>
      </c>
      <c r="L146" s="128">
        <v>4.8</v>
      </c>
      <c r="M146" s="128"/>
      <c r="N146" s="128"/>
      <c r="O146" s="129"/>
      <c r="Y146" s="139" t="s">
        <v>168</v>
      </c>
      <c r="Z146" s="128">
        <v>13.019248784246576</v>
      </c>
      <c r="AA146" s="128">
        <f t="shared" si="36"/>
        <v>8.9807512157534237</v>
      </c>
      <c r="AB146" s="128">
        <v>8.9</v>
      </c>
      <c r="AC146" s="128"/>
      <c r="AD146" s="128"/>
      <c r="AE146" s="128"/>
      <c r="AF146" s="128"/>
      <c r="AG146" s="129"/>
    </row>
    <row r="147" spans="9:57" ht="21" x14ac:dyDescent="0.4">
      <c r="I147" s="139" t="s">
        <v>169</v>
      </c>
      <c r="J147" s="128">
        <v>25.802930980308219</v>
      </c>
      <c r="K147" s="128">
        <f t="shared" si="30"/>
        <v>0.19706901969178148</v>
      </c>
      <c r="L147" s="127">
        <f>SUM(L143:L146)</f>
        <v>21.27</v>
      </c>
      <c r="M147" s="127">
        <f>SUM(K147:L147)</f>
        <v>21.467069019691781</v>
      </c>
      <c r="N147" s="128"/>
      <c r="O147" s="129"/>
      <c r="Y147" s="139" t="s">
        <v>169</v>
      </c>
      <c r="Z147" s="128">
        <v>8.8766887842465749</v>
      </c>
      <c r="AA147" s="128">
        <f t="shared" si="36"/>
        <v>13.123311215753425</v>
      </c>
      <c r="AB147" s="128">
        <v>13.23</v>
      </c>
      <c r="AC147" s="128"/>
      <c r="AD147" s="128"/>
      <c r="AE147" s="128"/>
      <c r="AF147" s="128">
        <v>13</v>
      </c>
      <c r="AG147" s="129"/>
      <c r="AM147" s="113" t="s">
        <v>194</v>
      </c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</row>
    <row r="148" spans="9:57" x14ac:dyDescent="0.3">
      <c r="I148" s="139" t="s">
        <v>170</v>
      </c>
      <c r="J148" s="128">
        <v>30.601368480308217</v>
      </c>
      <c r="K148" s="128">
        <f t="shared" si="30"/>
        <v>-4.6013684803082171</v>
      </c>
      <c r="L148" s="128"/>
      <c r="M148" s="127">
        <f>(M147+K148)</f>
        <v>16.865700539383564</v>
      </c>
      <c r="N148" s="128"/>
      <c r="O148" s="129"/>
      <c r="Y148" s="139" t="s">
        <v>170</v>
      </c>
      <c r="Z148" s="128">
        <v>15.819188784246576</v>
      </c>
      <c r="AA148" s="128">
        <f t="shared" si="36"/>
        <v>6.1808112157534243</v>
      </c>
      <c r="AB148" s="128">
        <v>6.18</v>
      </c>
      <c r="AC148" s="128"/>
      <c r="AD148" s="128"/>
      <c r="AE148" s="128"/>
      <c r="AF148" s="128"/>
      <c r="AG148" s="129"/>
      <c r="AM148" s="33" t="s">
        <v>146</v>
      </c>
      <c r="AN148" s="41" t="s">
        <v>147</v>
      </c>
      <c r="AO148" s="41" t="s">
        <v>148</v>
      </c>
      <c r="AP148" s="41" t="s">
        <v>149</v>
      </c>
      <c r="AQ148" s="41" t="s">
        <v>150</v>
      </c>
      <c r="AR148" s="41" t="s">
        <v>151</v>
      </c>
      <c r="AS148" s="41" t="s">
        <v>152</v>
      </c>
      <c r="AT148" s="41" t="s">
        <v>153</v>
      </c>
      <c r="AU148" s="41" t="s">
        <v>154</v>
      </c>
      <c r="AV148" s="41" t="s">
        <v>155</v>
      </c>
      <c r="AW148" s="41" t="s">
        <v>157</v>
      </c>
      <c r="AX148" s="41" t="s">
        <v>156</v>
      </c>
      <c r="AY148" s="41" t="s">
        <v>158</v>
      </c>
      <c r="AZ148" s="41" t="s">
        <v>159</v>
      </c>
      <c r="BA148" s="41" t="s">
        <v>160</v>
      </c>
      <c r="BB148" s="41" t="s">
        <v>161</v>
      </c>
      <c r="BC148" s="41" t="s">
        <v>163</v>
      </c>
      <c r="BD148" s="108" t="s">
        <v>176</v>
      </c>
      <c r="BE148" s="108" t="s">
        <v>179</v>
      </c>
    </row>
    <row r="149" spans="9:57" x14ac:dyDescent="0.3">
      <c r="I149" s="139" t="s">
        <v>171</v>
      </c>
      <c r="J149" s="128">
        <v>16.506055980308219</v>
      </c>
      <c r="K149" s="128">
        <f t="shared" si="30"/>
        <v>9.4939440196917815</v>
      </c>
      <c r="L149" s="128">
        <v>5.4</v>
      </c>
      <c r="M149" s="128"/>
      <c r="N149" s="128"/>
      <c r="O149" s="129"/>
      <c r="Y149" s="139" t="s">
        <v>171</v>
      </c>
      <c r="Z149" s="128">
        <v>19.657938784246571</v>
      </c>
      <c r="AA149" s="128">
        <f t="shared" si="36"/>
        <v>2.3420612157534286</v>
      </c>
      <c r="AB149" s="128">
        <v>2.34</v>
      </c>
      <c r="AC149" s="128"/>
      <c r="AD149" s="128"/>
      <c r="AE149" s="128"/>
      <c r="AF149" s="128"/>
      <c r="AG149" s="129"/>
      <c r="AM149" s="33" t="s">
        <v>145</v>
      </c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108"/>
      <c r="BE149" s="108"/>
    </row>
    <row r="150" spans="9:57" x14ac:dyDescent="0.3">
      <c r="I150" s="139" t="s">
        <v>172</v>
      </c>
      <c r="J150" s="128">
        <v>12.293777646974885</v>
      </c>
      <c r="K150" s="128">
        <f t="shared" si="30"/>
        <v>13.706222353025115</v>
      </c>
      <c r="L150" s="128">
        <v>9.6999999999999993</v>
      </c>
      <c r="M150" s="128"/>
      <c r="N150" s="128"/>
      <c r="O150" s="129"/>
      <c r="Y150" s="139" t="s">
        <v>172</v>
      </c>
      <c r="Z150" s="128">
        <v>8.3816887842465757</v>
      </c>
      <c r="AA150" s="128">
        <f t="shared" si="36"/>
        <v>13.618311215753424</v>
      </c>
      <c r="AB150" s="128">
        <v>13.6</v>
      </c>
      <c r="AC150" s="128"/>
      <c r="AD150" s="128"/>
      <c r="AE150" s="128"/>
      <c r="AF150" s="128"/>
      <c r="AG150" s="129"/>
      <c r="AM150" s="114">
        <v>6</v>
      </c>
      <c r="AN150" s="112">
        <f>(AP$5/24)</f>
        <v>4941.40625</v>
      </c>
      <c r="AO150" s="112">
        <v>0</v>
      </c>
      <c r="AP150" s="112">
        <v>0</v>
      </c>
      <c r="AQ150" s="112">
        <v>0</v>
      </c>
      <c r="AR150" s="112">
        <v>15.625</v>
      </c>
      <c r="AS150" s="112">
        <v>500</v>
      </c>
      <c r="AT150" s="112">
        <v>335</v>
      </c>
      <c r="AU150" s="112">
        <v>0</v>
      </c>
      <c r="AV150" s="112">
        <v>1150</v>
      </c>
      <c r="AW150" s="112">
        <v>0</v>
      </c>
      <c r="AX150" s="112">
        <f>(AP$21/24)</f>
        <v>3424.6575342465749</v>
      </c>
      <c r="AY150" s="112">
        <v>0</v>
      </c>
      <c r="AZ150" s="112">
        <f>(15000*0.033)</f>
        <v>495</v>
      </c>
      <c r="BA150" s="112">
        <v>0</v>
      </c>
      <c r="BB150" s="112">
        <f>(1250/5)</f>
        <v>250</v>
      </c>
      <c r="BC150" s="112">
        <v>0</v>
      </c>
      <c r="BD150" s="108">
        <f t="shared" ref="BD150:BD157" si="37">SUM(AN150:BC150)</f>
        <v>11111.688784246575</v>
      </c>
      <c r="BE150" s="108">
        <f>(BD150/1000)</f>
        <v>11.111688784246574</v>
      </c>
    </row>
    <row r="151" spans="9:57" x14ac:dyDescent="0.3">
      <c r="I151" s="139" t="s">
        <v>173</v>
      </c>
      <c r="J151" s="128">
        <v>11.208360980308218</v>
      </c>
      <c r="K151" s="128">
        <f t="shared" si="30"/>
        <v>14.791639019691782</v>
      </c>
      <c r="L151" s="128">
        <v>10.7</v>
      </c>
      <c r="M151" s="128"/>
      <c r="N151" s="128"/>
      <c r="O151" s="129"/>
      <c r="Y151" s="139" t="s">
        <v>173</v>
      </c>
      <c r="Z151" s="128">
        <v>9.8350221175799089</v>
      </c>
      <c r="AA151" s="128">
        <f t="shared" si="36"/>
        <v>12.164977882420091</v>
      </c>
      <c r="AB151" s="128">
        <v>12</v>
      </c>
      <c r="AC151" s="128"/>
      <c r="AD151" s="128"/>
      <c r="AE151" s="128"/>
      <c r="AF151" s="128"/>
      <c r="AG151" s="129"/>
      <c r="AM151" s="114">
        <v>7</v>
      </c>
      <c r="AN151" s="112">
        <f t="shared" ref="AN151:AN173" si="38">(AP$5/24)</f>
        <v>4941.40625</v>
      </c>
      <c r="AO151" s="112">
        <v>0</v>
      </c>
      <c r="AP151" s="112">
        <v>0</v>
      </c>
      <c r="AQ151" s="112">
        <v>0</v>
      </c>
      <c r="AR151" s="112">
        <v>15.625</v>
      </c>
      <c r="AS151" s="112">
        <v>500</v>
      </c>
      <c r="AT151" s="112">
        <v>0</v>
      </c>
      <c r="AU151" s="112">
        <v>0</v>
      </c>
      <c r="AV151" s="112">
        <v>1150</v>
      </c>
      <c r="AW151" s="112">
        <v>0</v>
      </c>
      <c r="AX151" s="112">
        <f t="shared" ref="AX151:AX173" si="39">(AP$21/24)</f>
        <v>3424.6575342465749</v>
      </c>
      <c r="AY151" s="112">
        <f>(47500/3)</f>
        <v>15833.333333333334</v>
      </c>
      <c r="AZ151" s="112">
        <v>0</v>
      </c>
      <c r="BA151" s="112">
        <f>(2875/3)</f>
        <v>958.33333333333337</v>
      </c>
      <c r="BB151" s="112">
        <v>0</v>
      </c>
      <c r="BC151" s="112">
        <v>0</v>
      </c>
      <c r="BD151" s="108">
        <f t="shared" si="37"/>
        <v>26823.355450913241</v>
      </c>
      <c r="BE151" s="108">
        <f t="shared" ref="BE151:BE155" si="40">(BD151/1000)</f>
        <v>26.82335545091324</v>
      </c>
    </row>
    <row r="152" spans="9:57" x14ac:dyDescent="0.3">
      <c r="I152" s="139" t="s">
        <v>174</v>
      </c>
      <c r="J152" s="128">
        <v>11.095860980308219</v>
      </c>
      <c r="K152" s="128">
        <f t="shared" si="30"/>
        <v>14.904139019691781</v>
      </c>
      <c r="L152" s="128">
        <v>10.9</v>
      </c>
      <c r="M152" s="128"/>
      <c r="N152" s="128"/>
      <c r="O152" s="129"/>
      <c r="Y152" s="139" t="s">
        <v>174</v>
      </c>
      <c r="Z152" s="128">
        <v>8.9666887842465748</v>
      </c>
      <c r="AA152" s="128">
        <f t="shared" si="36"/>
        <v>13.033311215753425</v>
      </c>
      <c r="AB152" s="128">
        <v>13</v>
      </c>
      <c r="AC152" s="128"/>
      <c r="AD152" s="128"/>
      <c r="AE152" s="128"/>
      <c r="AF152" s="128"/>
      <c r="AG152" s="129"/>
      <c r="AM152" s="114">
        <v>8</v>
      </c>
      <c r="AN152" s="112">
        <f t="shared" si="38"/>
        <v>4941.40625</v>
      </c>
      <c r="AO152" s="112">
        <v>0</v>
      </c>
      <c r="AP152" s="112">
        <v>0</v>
      </c>
      <c r="AQ152" s="112">
        <v>0</v>
      </c>
      <c r="AR152" s="112">
        <v>15.625</v>
      </c>
      <c r="AS152" s="112">
        <v>500</v>
      </c>
      <c r="AT152" s="112">
        <v>0</v>
      </c>
      <c r="AU152" s="112">
        <v>0</v>
      </c>
      <c r="AV152" s="112">
        <v>1150</v>
      </c>
      <c r="AW152" s="112">
        <f>(10000/4)</f>
        <v>2500</v>
      </c>
      <c r="AX152" s="112">
        <f t="shared" si="39"/>
        <v>3424.6575342465749</v>
      </c>
      <c r="AY152" s="112">
        <v>0</v>
      </c>
      <c r="AZ152" s="112">
        <f>(15000*0.033)</f>
        <v>495</v>
      </c>
      <c r="BA152" s="112">
        <v>0</v>
      </c>
      <c r="BB152" s="112">
        <v>0</v>
      </c>
      <c r="BC152" s="112">
        <v>0</v>
      </c>
      <c r="BD152" s="108">
        <f t="shared" si="37"/>
        <v>13026.688784246575</v>
      </c>
      <c r="BE152" s="108">
        <f t="shared" si="40"/>
        <v>13.026688784246575</v>
      </c>
    </row>
    <row r="153" spans="9:57" x14ac:dyDescent="0.3">
      <c r="I153" s="139" t="s">
        <v>175</v>
      </c>
      <c r="J153" s="128">
        <v>10.477110980308218</v>
      </c>
      <c r="K153" s="128">
        <f t="shared" si="30"/>
        <v>15.522889019691782</v>
      </c>
      <c r="L153" s="128">
        <v>11.52</v>
      </c>
      <c r="M153" s="128"/>
      <c r="N153" s="128"/>
      <c r="O153" s="129"/>
      <c r="Y153" s="139" t="s">
        <v>175</v>
      </c>
      <c r="Z153" s="128">
        <v>8.8766887842465749</v>
      </c>
      <c r="AA153" s="128">
        <f t="shared" si="36"/>
        <v>13.123311215753425</v>
      </c>
      <c r="AB153" s="136">
        <v>13</v>
      </c>
      <c r="AC153" s="128"/>
      <c r="AD153" s="128"/>
      <c r="AE153" s="128"/>
      <c r="AF153" s="128"/>
      <c r="AG153" s="129"/>
      <c r="AM153" s="114">
        <v>9</v>
      </c>
      <c r="AN153" s="112">
        <f t="shared" si="38"/>
        <v>4941.40625</v>
      </c>
      <c r="AO153" s="112">
        <v>0</v>
      </c>
      <c r="AP153" s="112">
        <v>0</v>
      </c>
      <c r="AQ153" s="112">
        <v>0</v>
      </c>
      <c r="AR153" s="112">
        <v>15.625</v>
      </c>
      <c r="AS153" s="112">
        <v>500</v>
      </c>
      <c r="AT153" s="112">
        <v>335</v>
      </c>
      <c r="AU153" s="112">
        <v>0</v>
      </c>
      <c r="AV153" s="112">
        <v>1150</v>
      </c>
      <c r="AW153" s="112">
        <f>(10000/4)</f>
        <v>2500</v>
      </c>
      <c r="AX153" s="112">
        <f t="shared" si="39"/>
        <v>3424.6575342465749</v>
      </c>
      <c r="AY153" s="112">
        <v>0</v>
      </c>
      <c r="AZ153" s="112">
        <v>0</v>
      </c>
      <c r="BA153" s="112">
        <v>0</v>
      </c>
      <c r="BB153" s="112">
        <v>250</v>
      </c>
      <c r="BC153" s="112">
        <v>0</v>
      </c>
      <c r="BD153" s="108">
        <f t="shared" si="37"/>
        <v>13116.688784246575</v>
      </c>
      <c r="BE153" s="108">
        <f t="shared" si="40"/>
        <v>13.116688784246575</v>
      </c>
    </row>
    <row r="154" spans="9:57" x14ac:dyDescent="0.3">
      <c r="I154" s="139">
        <v>1</v>
      </c>
      <c r="J154" s="128">
        <v>35.629194313641548</v>
      </c>
      <c r="K154" s="128">
        <f t="shared" si="30"/>
        <v>-9.6291943136415483</v>
      </c>
      <c r="L154" s="127">
        <f>SUM(L149:L153)</f>
        <v>48.22</v>
      </c>
      <c r="M154" s="127" cm="1">
        <f t="array" ref="M154">SUM(K154:L154+M148)</f>
        <v>72.322206765125586</v>
      </c>
      <c r="N154" s="128"/>
      <c r="O154" s="129"/>
      <c r="Y154" s="139">
        <v>1</v>
      </c>
      <c r="Z154" s="128">
        <v>8.3816887842465757</v>
      </c>
      <c r="AA154" s="128">
        <f t="shared" si="36"/>
        <v>13.618311215753424</v>
      </c>
      <c r="AB154" s="136">
        <v>13.6</v>
      </c>
      <c r="AC154" s="128"/>
      <c r="AD154" s="128"/>
      <c r="AE154" s="128"/>
      <c r="AF154" s="128"/>
      <c r="AG154" s="129"/>
      <c r="AM154" s="114">
        <v>10</v>
      </c>
      <c r="AN154" s="112">
        <f t="shared" si="38"/>
        <v>4941.40625</v>
      </c>
      <c r="AO154" s="112">
        <v>7187.5</v>
      </c>
      <c r="AP154" s="112">
        <v>0</v>
      </c>
      <c r="AQ154" s="112">
        <f>(7187.5/2)</f>
        <v>3593.75</v>
      </c>
      <c r="AR154" s="112">
        <v>15.625</v>
      </c>
      <c r="AS154" s="112">
        <v>500</v>
      </c>
      <c r="AT154" s="112">
        <v>0</v>
      </c>
      <c r="AU154" s="112">
        <v>0</v>
      </c>
      <c r="AV154" s="112">
        <v>1150</v>
      </c>
      <c r="AW154" s="112">
        <v>0</v>
      </c>
      <c r="AX154" s="112">
        <f t="shared" si="39"/>
        <v>3424.6575342465749</v>
      </c>
      <c r="AY154" s="112">
        <v>0</v>
      </c>
      <c r="AZ154" s="112">
        <v>495</v>
      </c>
      <c r="BA154" s="112">
        <v>0</v>
      </c>
      <c r="BB154" s="112">
        <v>0</v>
      </c>
      <c r="BC154" s="112">
        <v>0</v>
      </c>
      <c r="BD154" s="108">
        <f t="shared" si="37"/>
        <v>21307.938784246573</v>
      </c>
      <c r="BE154" s="108">
        <f t="shared" si="40"/>
        <v>21.307938784246574</v>
      </c>
    </row>
    <row r="155" spans="9:57" x14ac:dyDescent="0.3">
      <c r="I155" s="139">
        <v>2</v>
      </c>
      <c r="J155" s="128">
        <v>14.220860980308219</v>
      </c>
      <c r="K155" s="128">
        <f t="shared" si="30"/>
        <v>11.779139019691781</v>
      </c>
      <c r="L155" s="128">
        <v>7.7</v>
      </c>
      <c r="M155" s="128"/>
      <c r="N155" s="128"/>
      <c r="O155" s="129"/>
      <c r="Y155" s="139">
        <v>2</v>
      </c>
      <c r="Z155" s="128">
        <v>28.50335545091324</v>
      </c>
      <c r="AA155" s="127">
        <f t="shared" si="36"/>
        <v>-6.5033554509132401</v>
      </c>
      <c r="AB155" s="127">
        <f>SUM(AB144:AB154)</f>
        <v>123.04999999999998</v>
      </c>
      <c r="AC155" s="127">
        <f>SUM(AA155:AB155)</f>
        <v>116.54664454908675</v>
      </c>
      <c r="AD155" s="128"/>
      <c r="AE155" s="128"/>
      <c r="AF155" s="128"/>
      <c r="AG155" s="129"/>
      <c r="AM155" s="114">
        <v>11</v>
      </c>
      <c r="AN155" s="112">
        <f t="shared" si="38"/>
        <v>4941.40625</v>
      </c>
      <c r="AO155" s="112">
        <v>0</v>
      </c>
      <c r="AP155" s="112">
        <f>(AP$7/2)</f>
        <v>10781.25</v>
      </c>
      <c r="AQ155" s="112">
        <f>(7187.5/2)</f>
        <v>3593.75</v>
      </c>
      <c r="AR155" s="112">
        <v>15.625</v>
      </c>
      <c r="AS155" s="112">
        <v>0</v>
      </c>
      <c r="AT155" s="112">
        <v>0</v>
      </c>
      <c r="AU155" s="112">
        <f>4637.56*0.6</f>
        <v>2782.5360000000001</v>
      </c>
      <c r="AV155" s="112">
        <v>1150</v>
      </c>
      <c r="AW155" s="112">
        <v>0</v>
      </c>
      <c r="AX155" s="112">
        <f t="shared" si="39"/>
        <v>3424.6575342465749</v>
      </c>
      <c r="AY155" s="112">
        <v>0</v>
      </c>
      <c r="AZ155" s="112">
        <v>0</v>
      </c>
      <c r="BA155" s="112">
        <v>0</v>
      </c>
      <c r="BB155" s="112">
        <v>0</v>
      </c>
      <c r="BC155" s="112">
        <v>0</v>
      </c>
      <c r="BD155" s="108">
        <f t="shared" si="37"/>
        <v>26689.224784246573</v>
      </c>
      <c r="BE155" s="108">
        <f t="shared" si="40"/>
        <v>26.689224784246573</v>
      </c>
    </row>
    <row r="156" spans="9:57" x14ac:dyDescent="0.3">
      <c r="I156" s="139">
        <v>3</v>
      </c>
      <c r="J156" s="128">
        <v>39.904194313641547</v>
      </c>
      <c r="K156" s="128">
        <f t="shared" si="30"/>
        <v>-13.904194313641547</v>
      </c>
      <c r="L156" s="128"/>
      <c r="M156" s="127">
        <f>(M154+L155+K156)</f>
        <v>66.118012451484049</v>
      </c>
      <c r="N156" s="128"/>
      <c r="O156" s="129"/>
      <c r="Y156" s="139">
        <v>3</v>
      </c>
      <c r="Z156" s="128">
        <v>11.376688784246575</v>
      </c>
      <c r="AA156" s="128">
        <f t="shared" si="36"/>
        <v>10.623311215753425</v>
      </c>
      <c r="AB156" s="136">
        <v>10</v>
      </c>
      <c r="AC156" s="128"/>
      <c r="AD156" s="128"/>
      <c r="AE156" s="128"/>
      <c r="AF156" s="128"/>
      <c r="AG156" s="129"/>
      <c r="AM156" s="114">
        <v>12</v>
      </c>
      <c r="AN156" s="112">
        <f t="shared" si="38"/>
        <v>4941.40625</v>
      </c>
      <c r="AO156" s="112">
        <v>0</v>
      </c>
      <c r="AP156" s="112">
        <v>0</v>
      </c>
      <c r="AQ156" s="112">
        <v>0</v>
      </c>
      <c r="AR156" s="112">
        <v>15.625</v>
      </c>
      <c r="AS156" s="112">
        <v>0</v>
      </c>
      <c r="AT156" s="112">
        <v>0</v>
      </c>
      <c r="AU156" s="112">
        <v>4637.5600000000004</v>
      </c>
      <c r="AV156" s="112">
        <v>1150</v>
      </c>
      <c r="AW156" s="112">
        <v>0</v>
      </c>
      <c r="AX156" s="112">
        <f t="shared" si="39"/>
        <v>3424.6575342465749</v>
      </c>
      <c r="AY156" s="112">
        <v>0</v>
      </c>
      <c r="AZ156" s="112">
        <v>0</v>
      </c>
      <c r="BA156" s="112">
        <v>0</v>
      </c>
      <c r="BB156" s="112">
        <v>0</v>
      </c>
      <c r="BC156" s="112">
        <f>(AX$17/3)</f>
        <v>23541.666666666668</v>
      </c>
      <c r="BD156" s="108">
        <f t="shared" si="37"/>
        <v>37710.915450913242</v>
      </c>
      <c r="BE156" s="118">
        <f>(BD156/1000)</f>
        <v>37.710915450913241</v>
      </c>
    </row>
    <row r="157" spans="9:57" x14ac:dyDescent="0.3">
      <c r="I157" s="139">
        <v>4</v>
      </c>
      <c r="J157" s="128">
        <v>11.495760980308217</v>
      </c>
      <c r="K157" s="128">
        <f t="shared" si="30"/>
        <v>14.504239019691783</v>
      </c>
      <c r="L157" s="128">
        <v>10.5</v>
      </c>
      <c r="M157" s="128"/>
      <c r="N157" s="128"/>
      <c r="O157" s="129"/>
      <c r="Y157" s="139">
        <v>4</v>
      </c>
      <c r="Z157" s="128">
        <v>31.923355450913245</v>
      </c>
      <c r="AA157" s="128">
        <f t="shared" si="36"/>
        <v>-9.9233554509132453</v>
      </c>
      <c r="AB157" s="136"/>
      <c r="AC157" s="127">
        <f>(AC155+AB156+AA157)</f>
        <v>116.6232890981735</v>
      </c>
      <c r="AD157" s="128"/>
      <c r="AE157" s="128"/>
      <c r="AF157" s="128"/>
      <c r="AG157" s="129"/>
      <c r="AM157" s="114" t="s">
        <v>164</v>
      </c>
      <c r="AN157" s="112">
        <f t="shared" si="38"/>
        <v>4941.40625</v>
      </c>
      <c r="AO157" s="112">
        <v>0</v>
      </c>
      <c r="AP157" s="112">
        <v>0</v>
      </c>
      <c r="AQ157" s="112">
        <v>0</v>
      </c>
      <c r="AR157" s="112">
        <v>15.625</v>
      </c>
      <c r="AS157" s="112">
        <v>0</v>
      </c>
      <c r="AT157" s="112">
        <v>0</v>
      </c>
      <c r="AU157" s="112">
        <v>4637.5600000000004</v>
      </c>
      <c r="AV157" s="112">
        <v>0</v>
      </c>
      <c r="AW157" s="112">
        <v>0</v>
      </c>
      <c r="AX157" s="112">
        <f t="shared" si="39"/>
        <v>3424.6575342465749</v>
      </c>
      <c r="AY157" s="112">
        <v>0</v>
      </c>
      <c r="AZ157" s="112">
        <v>0</v>
      </c>
      <c r="BA157" s="112">
        <v>0</v>
      </c>
      <c r="BB157" s="112">
        <v>0</v>
      </c>
      <c r="BC157" s="112">
        <f>(AX$17/3)</f>
        <v>23541.666666666668</v>
      </c>
      <c r="BD157" s="108">
        <f t="shared" si="37"/>
        <v>36560.915450913242</v>
      </c>
      <c r="BE157" s="108">
        <f t="shared" ref="BE157:BE174" si="41">(BD157/1000)</f>
        <v>36.560915450913242</v>
      </c>
    </row>
    <row r="158" spans="9:57" ht="16.2" thickBot="1" x14ac:dyDescent="0.35">
      <c r="I158" s="139">
        <v>5</v>
      </c>
      <c r="J158" s="128">
        <v>32.325027646974888</v>
      </c>
      <c r="K158" s="128">
        <f t="shared" si="30"/>
        <v>-6.3250276469748883</v>
      </c>
      <c r="L158" s="128"/>
      <c r="M158" s="127">
        <f>(M156+L157+K158)</f>
        <v>70.29298480450916</v>
      </c>
      <c r="N158" s="128"/>
      <c r="O158" s="129"/>
      <c r="Y158" s="144">
        <v>5</v>
      </c>
      <c r="Z158" s="131">
        <v>8.9666887842465748</v>
      </c>
      <c r="AA158" s="131">
        <f t="shared" si="36"/>
        <v>13.033311215753425</v>
      </c>
      <c r="AB158" s="131">
        <v>13</v>
      </c>
      <c r="AC158" s="137">
        <f>(AC157+AB158)</f>
        <v>129.6232890981735</v>
      </c>
      <c r="AD158" s="131"/>
      <c r="AE158" s="131"/>
      <c r="AF158" s="131"/>
      <c r="AG158" s="132"/>
      <c r="AM158" s="114" t="s">
        <v>165</v>
      </c>
      <c r="AN158" s="112">
        <f t="shared" si="38"/>
        <v>4941.40625</v>
      </c>
      <c r="AO158" s="112">
        <v>0</v>
      </c>
      <c r="AP158" s="112">
        <v>0</v>
      </c>
      <c r="AQ158" s="112">
        <v>0</v>
      </c>
      <c r="AR158" s="112">
        <v>15.625</v>
      </c>
      <c r="AS158" s="112">
        <v>0</v>
      </c>
      <c r="AT158" s="112">
        <v>0</v>
      </c>
      <c r="AU158" s="112">
        <v>4637.5600000000004</v>
      </c>
      <c r="AV158" s="112">
        <v>0</v>
      </c>
      <c r="AW158" s="112">
        <v>0</v>
      </c>
      <c r="AX158" s="112">
        <f t="shared" si="39"/>
        <v>3424.6575342465749</v>
      </c>
      <c r="AY158" s="112">
        <v>0</v>
      </c>
      <c r="AZ158" s="112">
        <v>0</v>
      </c>
      <c r="BA158" s="112">
        <v>0</v>
      </c>
      <c r="BB158" s="112">
        <v>0</v>
      </c>
      <c r="BC158" s="112">
        <v>0</v>
      </c>
      <c r="BD158" s="108">
        <f t="shared" ref="BD158:BD173" si="42">SUM(AN158:BC158)</f>
        <v>13019.248784246576</v>
      </c>
      <c r="BE158" s="108">
        <f t="shared" si="41"/>
        <v>13.019248784246576</v>
      </c>
    </row>
    <row r="159" spans="9:57" ht="16.2" thickBot="1" x14ac:dyDescent="0.35">
      <c r="I159" s="130"/>
      <c r="J159" s="131"/>
      <c r="K159" s="131"/>
      <c r="L159" s="131"/>
      <c r="M159" s="131"/>
      <c r="N159" s="131"/>
      <c r="O159" s="132"/>
      <c r="AM159" s="114" t="s">
        <v>166</v>
      </c>
      <c r="AN159" s="112">
        <f t="shared" si="38"/>
        <v>4941.40625</v>
      </c>
      <c r="AO159" s="112">
        <v>0</v>
      </c>
      <c r="AP159" s="112">
        <v>0</v>
      </c>
      <c r="AQ159" s="112">
        <v>0</v>
      </c>
      <c r="AR159" s="112">
        <v>15.625</v>
      </c>
      <c r="AS159" s="112">
        <v>0</v>
      </c>
      <c r="AT159" s="112">
        <v>0</v>
      </c>
      <c r="AU159" s="112">
        <v>4637.5600000000004</v>
      </c>
      <c r="AV159" s="112">
        <v>0</v>
      </c>
      <c r="AW159" s="112">
        <v>0</v>
      </c>
      <c r="AX159" s="112">
        <f t="shared" si="39"/>
        <v>3424.6575342465749</v>
      </c>
      <c r="AY159" s="112">
        <v>0</v>
      </c>
      <c r="AZ159" s="112">
        <v>0</v>
      </c>
      <c r="BA159" s="112">
        <v>0</v>
      </c>
      <c r="BB159" s="112">
        <v>0</v>
      </c>
      <c r="BC159" s="112">
        <v>0</v>
      </c>
      <c r="BD159" s="108">
        <f t="shared" si="42"/>
        <v>13019.248784246576</v>
      </c>
      <c r="BE159" s="108">
        <f t="shared" si="41"/>
        <v>13.019248784246576</v>
      </c>
    </row>
    <row r="160" spans="9:57" x14ac:dyDescent="0.3">
      <c r="AM160" s="114" t="s">
        <v>167</v>
      </c>
      <c r="AN160" s="112">
        <f t="shared" si="38"/>
        <v>4941.40625</v>
      </c>
      <c r="AO160" s="112">
        <v>0</v>
      </c>
      <c r="AP160" s="112">
        <v>0</v>
      </c>
      <c r="AQ160" s="112">
        <v>0</v>
      </c>
      <c r="AR160" s="112">
        <v>15.625</v>
      </c>
      <c r="AS160" s="112">
        <v>0</v>
      </c>
      <c r="AT160" s="112">
        <v>0</v>
      </c>
      <c r="AU160" s="112">
        <v>4637.5600000000004</v>
      </c>
      <c r="AV160" s="112">
        <v>0</v>
      </c>
      <c r="AW160" s="112">
        <v>0</v>
      </c>
      <c r="AX160" s="112">
        <f t="shared" si="39"/>
        <v>3424.6575342465749</v>
      </c>
      <c r="AY160" s="112">
        <v>0</v>
      </c>
      <c r="AZ160" s="112">
        <v>0</v>
      </c>
      <c r="BA160" s="112">
        <v>0</v>
      </c>
      <c r="BB160" s="112">
        <v>0</v>
      </c>
      <c r="BC160" s="112">
        <v>0</v>
      </c>
      <c r="BD160" s="108">
        <f t="shared" si="42"/>
        <v>13019.248784246576</v>
      </c>
      <c r="BE160" s="108">
        <f t="shared" si="41"/>
        <v>13.019248784246576</v>
      </c>
    </row>
    <row r="161" spans="39:57" x14ac:dyDescent="0.3">
      <c r="AM161" s="114" t="s">
        <v>168</v>
      </c>
      <c r="AN161" s="112">
        <f t="shared" si="38"/>
        <v>4941.40625</v>
      </c>
      <c r="AO161" s="112">
        <v>0</v>
      </c>
      <c r="AP161" s="112">
        <v>0</v>
      </c>
      <c r="AQ161" s="112">
        <v>0</v>
      </c>
      <c r="AR161" s="112">
        <v>15.625</v>
      </c>
      <c r="AS161" s="112">
        <v>0</v>
      </c>
      <c r="AT161" s="112">
        <v>0</v>
      </c>
      <c r="AU161" s="112">
        <v>0</v>
      </c>
      <c r="AV161" s="112">
        <v>0</v>
      </c>
      <c r="AW161" s="112">
        <v>0</v>
      </c>
      <c r="AX161" s="112">
        <f t="shared" si="39"/>
        <v>3424.6575342465749</v>
      </c>
      <c r="AY161" s="112">
        <v>0</v>
      </c>
      <c r="AZ161" s="112">
        <f>(15000*0.033)</f>
        <v>495</v>
      </c>
      <c r="BA161" s="112">
        <v>0</v>
      </c>
      <c r="BB161" s="112">
        <v>0</v>
      </c>
      <c r="BC161" s="112">
        <v>0</v>
      </c>
      <c r="BD161" s="108">
        <f t="shared" si="42"/>
        <v>8876.6887842465749</v>
      </c>
      <c r="BE161" s="108">
        <f t="shared" si="41"/>
        <v>8.8766887842465749</v>
      </c>
    </row>
    <row r="162" spans="39:57" x14ac:dyDescent="0.3">
      <c r="AM162" s="114" t="s">
        <v>169</v>
      </c>
      <c r="AN162" s="112">
        <f t="shared" si="38"/>
        <v>4941.40625</v>
      </c>
      <c r="AO162" s="112">
        <v>7187.5</v>
      </c>
      <c r="AP162" s="112">
        <v>0</v>
      </c>
      <c r="AQ162" s="112">
        <v>0</v>
      </c>
      <c r="AR162" s="112">
        <v>15.625</v>
      </c>
      <c r="AS162" s="112">
        <v>0</v>
      </c>
      <c r="AT162" s="112">
        <v>0</v>
      </c>
      <c r="AU162" s="112">
        <v>0</v>
      </c>
      <c r="AV162" s="112">
        <v>0</v>
      </c>
      <c r="AW162" s="112">
        <v>0</v>
      </c>
      <c r="AX162" s="112">
        <f t="shared" si="39"/>
        <v>3424.6575342465749</v>
      </c>
      <c r="AY162" s="112">
        <v>0</v>
      </c>
      <c r="AZ162" s="112">
        <v>0</v>
      </c>
      <c r="BA162" s="112">
        <v>0</v>
      </c>
      <c r="BB162" s="112">
        <v>250</v>
      </c>
      <c r="BC162" s="112">
        <v>0</v>
      </c>
      <c r="BD162" s="108">
        <f t="shared" si="42"/>
        <v>15819.188784246575</v>
      </c>
      <c r="BE162" s="108">
        <f t="shared" si="41"/>
        <v>15.819188784246576</v>
      </c>
    </row>
    <row r="163" spans="39:57" x14ac:dyDescent="0.3">
      <c r="AM163" s="114" t="s">
        <v>170</v>
      </c>
      <c r="AN163" s="112">
        <f t="shared" si="38"/>
        <v>4941.40625</v>
      </c>
      <c r="AO163" s="112">
        <v>0</v>
      </c>
      <c r="AP163" s="112">
        <f>(AP$7/2)</f>
        <v>10781.25</v>
      </c>
      <c r="AQ163" s="112">
        <v>0</v>
      </c>
      <c r="AR163" s="112">
        <v>15.625</v>
      </c>
      <c r="AS163" s="112">
        <v>0</v>
      </c>
      <c r="AT163" s="112">
        <v>0</v>
      </c>
      <c r="AU163" s="112">
        <v>0</v>
      </c>
      <c r="AV163" s="112">
        <v>0</v>
      </c>
      <c r="AW163" s="112">
        <v>0</v>
      </c>
      <c r="AX163" s="112">
        <f t="shared" si="39"/>
        <v>3424.6575342465749</v>
      </c>
      <c r="AY163" s="112">
        <v>0</v>
      </c>
      <c r="AZ163" s="112">
        <f>(15000*0.033)</f>
        <v>495</v>
      </c>
      <c r="BA163" s="112">
        <v>0</v>
      </c>
      <c r="BB163" s="112">
        <v>0</v>
      </c>
      <c r="BC163" s="112">
        <v>0</v>
      </c>
      <c r="BD163" s="108">
        <f t="shared" si="42"/>
        <v>19657.938784246573</v>
      </c>
      <c r="BE163" s="108">
        <f t="shared" si="41"/>
        <v>19.657938784246571</v>
      </c>
    </row>
    <row r="164" spans="39:57" x14ac:dyDescent="0.3">
      <c r="AM164" s="114" t="s">
        <v>171</v>
      </c>
      <c r="AN164" s="112">
        <f t="shared" si="38"/>
        <v>4941.40625</v>
      </c>
      <c r="AO164" s="112">
        <v>0</v>
      </c>
      <c r="AP164" s="112">
        <v>0</v>
      </c>
      <c r="AQ164" s="112">
        <v>0</v>
      </c>
      <c r="AR164" s="112">
        <v>15.625</v>
      </c>
      <c r="AS164" s="112">
        <v>0</v>
      </c>
      <c r="AT164" s="112">
        <v>0</v>
      </c>
      <c r="AU164" s="112">
        <v>0</v>
      </c>
      <c r="AV164" s="112">
        <v>0</v>
      </c>
      <c r="AW164" s="112">
        <v>0</v>
      </c>
      <c r="AX164" s="112">
        <f t="shared" si="39"/>
        <v>3424.6575342465749</v>
      </c>
      <c r="AY164" s="112">
        <v>0</v>
      </c>
      <c r="AZ164" s="112">
        <v>0</v>
      </c>
      <c r="BA164" s="112">
        <v>0</v>
      </c>
      <c r="BB164" s="112">
        <v>0</v>
      </c>
      <c r="BC164" s="112">
        <v>0</v>
      </c>
      <c r="BD164" s="108">
        <f t="shared" si="42"/>
        <v>8381.6887842465749</v>
      </c>
      <c r="BE164" s="108">
        <f t="shared" si="41"/>
        <v>8.3816887842465757</v>
      </c>
    </row>
    <row r="165" spans="39:57" x14ac:dyDescent="0.3">
      <c r="AM165" s="114" t="s">
        <v>172</v>
      </c>
      <c r="AN165" s="112">
        <f t="shared" si="38"/>
        <v>4941.40625</v>
      </c>
      <c r="AO165" s="112">
        <v>0</v>
      </c>
      <c r="AP165" s="112">
        <v>0</v>
      </c>
      <c r="AQ165" s="112">
        <v>0</v>
      </c>
      <c r="AR165" s="112">
        <v>15.625</v>
      </c>
      <c r="AS165" s="112">
        <v>0</v>
      </c>
      <c r="AT165" s="112">
        <v>0</v>
      </c>
      <c r="AU165" s="112">
        <v>0</v>
      </c>
      <c r="AV165" s="112">
        <v>0</v>
      </c>
      <c r="AW165" s="112">
        <v>0</v>
      </c>
      <c r="AX165" s="112">
        <f t="shared" si="39"/>
        <v>3424.6575342465749</v>
      </c>
      <c r="AY165" s="112">
        <v>0</v>
      </c>
      <c r="AZ165" s="112">
        <f>(15000*0.033)</f>
        <v>495</v>
      </c>
      <c r="BA165" s="112">
        <f>(2875/3)</f>
        <v>958.33333333333337</v>
      </c>
      <c r="BB165" s="112">
        <v>0</v>
      </c>
      <c r="BC165" s="112">
        <v>0</v>
      </c>
      <c r="BD165" s="108">
        <f t="shared" si="42"/>
        <v>9835.0221175799088</v>
      </c>
      <c r="BE165" s="108">
        <f t="shared" si="41"/>
        <v>9.8350221175799089</v>
      </c>
    </row>
    <row r="166" spans="39:57" x14ac:dyDescent="0.3">
      <c r="AM166" s="114" t="s">
        <v>173</v>
      </c>
      <c r="AN166" s="112">
        <f t="shared" si="38"/>
        <v>4941.40625</v>
      </c>
      <c r="AO166" s="112">
        <v>0</v>
      </c>
      <c r="AP166" s="112">
        <v>0</v>
      </c>
      <c r="AQ166" s="112">
        <v>0</v>
      </c>
      <c r="AR166" s="112">
        <v>15.625</v>
      </c>
      <c r="AS166" s="112">
        <v>0</v>
      </c>
      <c r="AT166" s="112">
        <v>335</v>
      </c>
      <c r="AU166" s="112">
        <v>0</v>
      </c>
      <c r="AV166" s="112">
        <v>0</v>
      </c>
      <c r="AW166" s="112">
        <v>0</v>
      </c>
      <c r="AX166" s="112">
        <f t="shared" si="39"/>
        <v>3424.6575342465749</v>
      </c>
      <c r="AY166" s="112">
        <v>0</v>
      </c>
      <c r="AZ166" s="112">
        <v>0</v>
      </c>
      <c r="BA166" s="112">
        <v>0</v>
      </c>
      <c r="BB166" s="112">
        <v>250</v>
      </c>
      <c r="BC166" s="112">
        <v>0</v>
      </c>
      <c r="BD166" s="108">
        <f t="shared" si="42"/>
        <v>8966.6887842465749</v>
      </c>
      <c r="BE166" s="108">
        <f t="shared" si="41"/>
        <v>8.9666887842465748</v>
      </c>
    </row>
    <row r="167" spans="39:57" x14ac:dyDescent="0.3">
      <c r="AM167" s="114" t="s">
        <v>174</v>
      </c>
      <c r="AN167" s="112">
        <f t="shared" si="38"/>
        <v>4941.40625</v>
      </c>
      <c r="AO167" s="112">
        <v>0</v>
      </c>
      <c r="AP167" s="112">
        <v>0</v>
      </c>
      <c r="AQ167" s="112">
        <v>0</v>
      </c>
      <c r="AR167" s="112">
        <v>15.625</v>
      </c>
      <c r="AS167" s="112">
        <v>0</v>
      </c>
      <c r="AT167" s="112">
        <v>0</v>
      </c>
      <c r="AU167" s="112">
        <v>0</v>
      </c>
      <c r="AV167" s="112">
        <v>0</v>
      </c>
      <c r="AW167" s="112">
        <v>0</v>
      </c>
      <c r="AX167" s="112">
        <f t="shared" si="39"/>
        <v>3424.6575342465749</v>
      </c>
      <c r="AY167" s="112">
        <v>0</v>
      </c>
      <c r="AZ167" s="112">
        <f>(15000*0.033)</f>
        <v>495</v>
      </c>
      <c r="BA167" s="112">
        <v>0</v>
      </c>
      <c r="BB167" s="112">
        <v>0</v>
      </c>
      <c r="BC167" s="112">
        <v>0</v>
      </c>
      <c r="BD167" s="108">
        <f t="shared" si="42"/>
        <v>8876.6887842465749</v>
      </c>
      <c r="BE167" s="108">
        <f t="shared" si="41"/>
        <v>8.8766887842465749</v>
      </c>
    </row>
    <row r="168" spans="39:57" x14ac:dyDescent="0.3">
      <c r="AM168" s="114" t="s">
        <v>175</v>
      </c>
      <c r="AN168" s="112">
        <f t="shared" si="38"/>
        <v>4941.40625</v>
      </c>
      <c r="AO168" s="112">
        <v>0</v>
      </c>
      <c r="AP168" s="112">
        <v>0</v>
      </c>
      <c r="AQ168" s="112">
        <v>0</v>
      </c>
      <c r="AR168" s="112">
        <v>15.625</v>
      </c>
      <c r="AS168" s="112">
        <v>0</v>
      </c>
      <c r="AT168" s="112">
        <v>0</v>
      </c>
      <c r="AU168" s="112">
        <v>0</v>
      </c>
      <c r="AV168" s="112">
        <v>0</v>
      </c>
      <c r="AW168" s="112">
        <v>0</v>
      </c>
      <c r="AX168" s="112">
        <f t="shared" si="39"/>
        <v>3424.6575342465749</v>
      </c>
      <c r="AY168" s="112">
        <v>0</v>
      </c>
      <c r="AZ168" s="112">
        <v>0</v>
      </c>
      <c r="BA168" s="112">
        <v>0</v>
      </c>
      <c r="BB168" s="112">
        <v>0</v>
      </c>
      <c r="BC168" s="112">
        <v>0</v>
      </c>
      <c r="BD168" s="108">
        <f t="shared" si="42"/>
        <v>8381.6887842465749</v>
      </c>
      <c r="BE168" s="108">
        <f t="shared" si="41"/>
        <v>8.3816887842465757</v>
      </c>
    </row>
    <row r="169" spans="39:57" x14ac:dyDescent="0.3">
      <c r="AM169" s="114">
        <v>1</v>
      </c>
      <c r="AN169" s="112">
        <f t="shared" si="38"/>
        <v>4941.40625</v>
      </c>
      <c r="AO169" s="112">
        <v>0</v>
      </c>
      <c r="AP169" s="112">
        <v>0</v>
      </c>
      <c r="AQ169" s="112">
        <v>0</v>
      </c>
      <c r="AR169" s="112">
        <v>15.625</v>
      </c>
      <c r="AS169" s="112">
        <v>0</v>
      </c>
      <c r="AT169" s="112">
        <v>335</v>
      </c>
      <c r="AU169" s="112">
        <v>0</v>
      </c>
      <c r="AV169" s="112">
        <v>0</v>
      </c>
      <c r="AW169" s="112">
        <f>(10000/4)</f>
        <v>2500</v>
      </c>
      <c r="AX169" s="112">
        <f t="shared" si="39"/>
        <v>3424.6575342465749</v>
      </c>
      <c r="AY169" s="112">
        <f>(47500/3)</f>
        <v>15833.333333333334</v>
      </c>
      <c r="AZ169" s="112">
        <f>(15000*0.033)</f>
        <v>495</v>
      </c>
      <c r="BA169" s="112">
        <f>(2875/3)</f>
        <v>958.33333333333337</v>
      </c>
      <c r="BB169" s="112">
        <v>0</v>
      </c>
      <c r="BC169" s="112"/>
      <c r="BD169" s="108">
        <f t="shared" si="42"/>
        <v>28503.355450913241</v>
      </c>
      <c r="BE169" s="108">
        <f t="shared" si="41"/>
        <v>28.50335545091324</v>
      </c>
    </row>
    <row r="170" spans="39:57" x14ac:dyDescent="0.3">
      <c r="AM170" s="114">
        <v>2</v>
      </c>
      <c r="AN170" s="112">
        <f t="shared" si="38"/>
        <v>4941.40625</v>
      </c>
      <c r="AO170" s="112">
        <v>0</v>
      </c>
      <c r="AP170" s="112">
        <v>0</v>
      </c>
      <c r="AQ170" s="112">
        <v>0</v>
      </c>
      <c r="AR170" s="112">
        <v>15.625</v>
      </c>
      <c r="AS170" s="112">
        <v>0</v>
      </c>
      <c r="AT170" s="112">
        <v>0</v>
      </c>
      <c r="AU170" s="112">
        <v>0</v>
      </c>
      <c r="AV170" s="112">
        <v>0</v>
      </c>
      <c r="AW170" s="112">
        <f>(10000/4)</f>
        <v>2500</v>
      </c>
      <c r="AX170" s="112">
        <f t="shared" si="39"/>
        <v>3424.6575342465749</v>
      </c>
      <c r="AY170" s="112">
        <v>0</v>
      </c>
      <c r="AZ170" s="112">
        <f>(15000*0.033)</f>
        <v>495</v>
      </c>
      <c r="BA170" s="112">
        <v>0</v>
      </c>
      <c r="BB170" s="112">
        <v>0</v>
      </c>
      <c r="BC170" s="112">
        <v>0</v>
      </c>
      <c r="BD170" s="108">
        <f t="shared" si="42"/>
        <v>11376.688784246575</v>
      </c>
      <c r="BE170" s="108">
        <f t="shared" si="41"/>
        <v>11.376688784246575</v>
      </c>
    </row>
    <row r="171" spans="39:57" x14ac:dyDescent="0.3">
      <c r="AM171" s="114">
        <v>3</v>
      </c>
      <c r="AN171" s="112">
        <f t="shared" si="38"/>
        <v>4941.40625</v>
      </c>
      <c r="AO171" s="112">
        <v>0</v>
      </c>
      <c r="AP171" s="112">
        <v>0</v>
      </c>
      <c r="AQ171" s="112">
        <v>0</v>
      </c>
      <c r="AR171" s="112">
        <v>15.625</v>
      </c>
      <c r="AS171" s="112">
        <v>0</v>
      </c>
      <c r="AT171" s="112">
        <v>0</v>
      </c>
      <c r="AU171" s="112">
        <v>0</v>
      </c>
      <c r="AV171" s="112">
        <v>0</v>
      </c>
      <c r="AW171" s="112">
        <v>0</v>
      </c>
      <c r="AX171" s="112">
        <f t="shared" si="39"/>
        <v>3424.6575342465749</v>
      </c>
      <c r="AY171" s="112">
        <v>0</v>
      </c>
      <c r="AZ171" s="112">
        <v>0</v>
      </c>
      <c r="BA171" s="112">
        <v>0</v>
      </c>
      <c r="BB171" s="112">
        <v>0</v>
      </c>
      <c r="BC171" s="112">
        <f>(AX$17/3)</f>
        <v>23541.666666666668</v>
      </c>
      <c r="BD171" s="108">
        <f t="shared" si="42"/>
        <v>31923.355450913245</v>
      </c>
      <c r="BE171" s="108">
        <f t="shared" si="41"/>
        <v>31.923355450913245</v>
      </c>
    </row>
    <row r="172" spans="39:57" x14ac:dyDescent="0.3">
      <c r="AM172" s="114">
        <v>4</v>
      </c>
      <c r="AN172" s="112">
        <f t="shared" si="38"/>
        <v>4941.40625</v>
      </c>
      <c r="AO172" s="112">
        <v>0</v>
      </c>
      <c r="AP172" s="112">
        <v>0</v>
      </c>
      <c r="AQ172" s="112">
        <v>0</v>
      </c>
      <c r="AR172" s="112">
        <v>15.625</v>
      </c>
      <c r="AS172" s="112">
        <v>0</v>
      </c>
      <c r="AT172" s="112">
        <v>335</v>
      </c>
      <c r="AU172" s="112">
        <v>0</v>
      </c>
      <c r="AV172" s="112">
        <v>0</v>
      </c>
      <c r="AW172" s="112">
        <v>0</v>
      </c>
      <c r="AX172" s="112">
        <f t="shared" si="39"/>
        <v>3424.6575342465749</v>
      </c>
      <c r="AY172" s="112">
        <v>0</v>
      </c>
      <c r="AZ172" s="112">
        <v>0</v>
      </c>
      <c r="BA172" s="112">
        <v>0</v>
      </c>
      <c r="BB172" s="112">
        <v>250</v>
      </c>
      <c r="BC172" s="112">
        <v>0</v>
      </c>
      <c r="BD172" s="108">
        <f t="shared" si="42"/>
        <v>8966.6887842465749</v>
      </c>
      <c r="BE172" s="108">
        <f t="shared" si="41"/>
        <v>8.9666887842465748</v>
      </c>
    </row>
    <row r="173" spans="39:57" x14ac:dyDescent="0.3">
      <c r="AM173" s="114">
        <v>5</v>
      </c>
      <c r="AN173" s="112">
        <f t="shared" si="38"/>
        <v>4941.40625</v>
      </c>
      <c r="AO173" s="112">
        <v>0</v>
      </c>
      <c r="AP173" s="112">
        <v>0</v>
      </c>
      <c r="AQ173" s="112">
        <v>0</v>
      </c>
      <c r="AR173" s="112">
        <v>15.625</v>
      </c>
      <c r="AS173" s="112">
        <v>0</v>
      </c>
      <c r="AT173" s="112">
        <v>0</v>
      </c>
      <c r="AU173" s="112">
        <v>0</v>
      </c>
      <c r="AV173" s="112">
        <v>1150</v>
      </c>
      <c r="AW173" s="112">
        <v>0</v>
      </c>
      <c r="AX173" s="112">
        <f t="shared" si="39"/>
        <v>3424.6575342465749</v>
      </c>
      <c r="AY173" s="112">
        <f>(47500/3)</f>
        <v>15833.333333333334</v>
      </c>
      <c r="AZ173" s="112">
        <f>(15000*0.033)</f>
        <v>495</v>
      </c>
      <c r="BA173" s="112">
        <v>0</v>
      </c>
      <c r="BB173" s="112">
        <v>0</v>
      </c>
      <c r="BC173" s="112">
        <v>0</v>
      </c>
      <c r="BD173" s="108">
        <f t="shared" si="42"/>
        <v>25860.022117579909</v>
      </c>
      <c r="BE173" s="108">
        <f t="shared" si="41"/>
        <v>25.860022117579909</v>
      </c>
    </row>
    <row r="174" spans="39:57" x14ac:dyDescent="0.3">
      <c r="AP174" s="106"/>
      <c r="BC174" s="108" t="s">
        <v>111</v>
      </c>
      <c r="BD174" s="108">
        <f>SUM(BD150:BD173)</f>
        <v>420830.86682191771</v>
      </c>
      <c r="BE174" s="109">
        <f t="shared" si="41"/>
        <v>420.83086682191771</v>
      </c>
    </row>
    <row r="177" spans="39:57" ht="21" x14ac:dyDescent="0.4">
      <c r="AM177" s="113" t="s">
        <v>195</v>
      </c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</row>
    <row r="178" spans="39:57" x14ac:dyDescent="0.3">
      <c r="AM178" s="33" t="s">
        <v>146</v>
      </c>
      <c r="AN178" s="41" t="s">
        <v>147</v>
      </c>
      <c r="AO178" s="41" t="s">
        <v>148</v>
      </c>
      <c r="AP178" s="41" t="s">
        <v>149</v>
      </c>
      <c r="AQ178" s="41" t="s">
        <v>150</v>
      </c>
      <c r="AR178" s="41" t="s">
        <v>151</v>
      </c>
      <c r="AS178" s="41" t="s">
        <v>152</v>
      </c>
      <c r="AT178" s="41" t="s">
        <v>153</v>
      </c>
      <c r="AU178" s="41" t="s">
        <v>154</v>
      </c>
      <c r="AV178" s="41" t="s">
        <v>155</v>
      </c>
      <c r="AW178" s="41" t="s">
        <v>157</v>
      </c>
      <c r="AX178" s="41" t="s">
        <v>156</v>
      </c>
      <c r="AY178" s="41" t="s">
        <v>158</v>
      </c>
      <c r="AZ178" s="41" t="s">
        <v>159</v>
      </c>
      <c r="BA178" s="41" t="s">
        <v>160</v>
      </c>
      <c r="BB178" s="41" t="s">
        <v>161</v>
      </c>
      <c r="BC178" s="41" t="s">
        <v>163</v>
      </c>
      <c r="BD178" s="108" t="s">
        <v>176</v>
      </c>
      <c r="BE178" s="108" t="s">
        <v>179</v>
      </c>
    </row>
    <row r="179" spans="39:57" x14ac:dyDescent="0.3">
      <c r="AM179" s="33" t="s">
        <v>145</v>
      </c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108"/>
      <c r="BE179" s="108"/>
    </row>
    <row r="180" spans="39:57" x14ac:dyDescent="0.3">
      <c r="AM180" s="114">
        <v>6</v>
      </c>
      <c r="AN180" s="112">
        <f>(AP$5/24)</f>
        <v>4941.40625</v>
      </c>
      <c r="AO180" s="112">
        <v>0</v>
      </c>
      <c r="AP180" s="112">
        <v>0</v>
      </c>
      <c r="AQ180" s="112">
        <v>0</v>
      </c>
      <c r="AR180" s="112">
        <v>15.625</v>
      </c>
      <c r="AS180" s="112">
        <v>500</v>
      </c>
      <c r="AT180" s="112">
        <v>335</v>
      </c>
      <c r="AU180" s="112">
        <v>0</v>
      </c>
      <c r="AV180" s="112">
        <v>0</v>
      </c>
      <c r="AW180" s="112">
        <v>0</v>
      </c>
      <c r="AX180" s="112">
        <f>(AP$21/24)</f>
        <v>3424.6575342465749</v>
      </c>
      <c r="AY180" s="112">
        <v>0</v>
      </c>
      <c r="AZ180" s="112">
        <f>(15000*0.033)</f>
        <v>495</v>
      </c>
      <c r="BA180" s="112">
        <v>0</v>
      </c>
      <c r="BB180" s="112">
        <f>(1250/5)</f>
        <v>250</v>
      </c>
      <c r="BC180" s="112">
        <v>0</v>
      </c>
      <c r="BD180" s="108">
        <f t="shared" ref="BD180:BD187" si="43">SUM(AN180:BC180)</f>
        <v>9961.6887842465749</v>
      </c>
      <c r="BE180" s="108">
        <f>(BD180/1000)</f>
        <v>9.961688784246574</v>
      </c>
    </row>
    <row r="181" spans="39:57" x14ac:dyDescent="0.3">
      <c r="AM181" s="114">
        <v>7</v>
      </c>
      <c r="AN181" s="112">
        <f t="shared" ref="AN181:AN203" si="44">(AP$5/24)</f>
        <v>4941.40625</v>
      </c>
      <c r="AO181" s="112">
        <v>0</v>
      </c>
      <c r="AP181" s="112">
        <v>0</v>
      </c>
      <c r="AQ181" s="112">
        <v>0</v>
      </c>
      <c r="AR181" s="112">
        <v>15.625</v>
      </c>
      <c r="AS181" s="112">
        <v>500</v>
      </c>
      <c r="AT181" s="112">
        <v>0</v>
      </c>
      <c r="AU181" s="112">
        <v>0</v>
      </c>
      <c r="AV181" s="112">
        <f>1150*0.4</f>
        <v>460</v>
      </c>
      <c r="AW181" s="112">
        <v>0</v>
      </c>
      <c r="AX181" s="112">
        <f t="shared" ref="AX181:AX203" si="45">(AP$21/24)</f>
        <v>3424.6575342465749</v>
      </c>
      <c r="AY181" s="112">
        <f>(47500/3)</f>
        <v>15833.333333333334</v>
      </c>
      <c r="AZ181" s="112">
        <v>0</v>
      </c>
      <c r="BA181" s="112">
        <f>(2875/3)</f>
        <v>958.33333333333337</v>
      </c>
      <c r="BB181" s="112">
        <v>0</v>
      </c>
      <c r="BC181" s="112">
        <v>0</v>
      </c>
      <c r="BD181" s="108">
        <f t="shared" si="43"/>
        <v>26133.355450913241</v>
      </c>
      <c r="BE181" s="108">
        <f t="shared" ref="BE181:BE204" si="46">(BD181/1000)</f>
        <v>26.133355450913243</v>
      </c>
    </row>
    <row r="182" spans="39:57" x14ac:dyDescent="0.3">
      <c r="AM182" s="114">
        <v>8</v>
      </c>
      <c r="AN182" s="112">
        <f t="shared" si="44"/>
        <v>4941.40625</v>
      </c>
      <c r="AO182" s="112">
        <v>0</v>
      </c>
      <c r="AP182" s="112">
        <v>0</v>
      </c>
      <c r="AQ182" s="112">
        <v>0</v>
      </c>
      <c r="AR182" s="112">
        <v>15.625</v>
      </c>
      <c r="AS182" s="112">
        <v>500</v>
      </c>
      <c r="AT182" s="112">
        <v>0</v>
      </c>
      <c r="AU182" s="112">
        <v>0</v>
      </c>
      <c r="AV182" s="112">
        <v>1150</v>
      </c>
      <c r="AW182" s="112">
        <f>(10000/4)</f>
        <v>2500</v>
      </c>
      <c r="AX182" s="112">
        <f t="shared" si="45"/>
        <v>3424.6575342465749</v>
      </c>
      <c r="AY182" s="112">
        <v>0</v>
      </c>
      <c r="AZ182" s="112">
        <f>(15000*0.033)</f>
        <v>495</v>
      </c>
      <c r="BA182" s="112">
        <v>0</v>
      </c>
      <c r="BB182" s="112">
        <v>0</v>
      </c>
      <c r="BC182" s="112">
        <v>0</v>
      </c>
      <c r="BD182" s="108">
        <f t="shared" si="43"/>
        <v>13026.688784246575</v>
      </c>
      <c r="BE182" s="108">
        <f t="shared" si="46"/>
        <v>13.026688784246575</v>
      </c>
    </row>
    <row r="183" spans="39:57" x14ac:dyDescent="0.3">
      <c r="AM183" s="114">
        <v>9</v>
      </c>
      <c r="AN183" s="112">
        <f t="shared" si="44"/>
        <v>4941.40625</v>
      </c>
      <c r="AO183" s="112">
        <v>0</v>
      </c>
      <c r="AP183" s="112">
        <v>0</v>
      </c>
      <c r="AQ183" s="112">
        <v>0</v>
      </c>
      <c r="AR183" s="112">
        <v>15.625</v>
      </c>
      <c r="AS183" s="112">
        <v>500</v>
      </c>
      <c r="AT183" s="112">
        <v>335</v>
      </c>
      <c r="AU183" s="112">
        <v>0</v>
      </c>
      <c r="AV183" s="112">
        <v>1150</v>
      </c>
      <c r="AW183" s="112">
        <f>(10000/4)</f>
        <v>2500</v>
      </c>
      <c r="AX183" s="112">
        <f t="shared" si="45"/>
        <v>3424.6575342465749</v>
      </c>
      <c r="AY183" s="112">
        <v>0</v>
      </c>
      <c r="AZ183" s="112">
        <v>0</v>
      </c>
      <c r="BA183" s="112">
        <v>0</v>
      </c>
      <c r="BB183" s="112">
        <v>250</v>
      </c>
      <c r="BC183" s="112">
        <v>0</v>
      </c>
      <c r="BD183" s="108">
        <f t="shared" si="43"/>
        <v>13116.688784246575</v>
      </c>
      <c r="BE183" s="108">
        <f t="shared" si="46"/>
        <v>13.116688784246575</v>
      </c>
    </row>
    <row r="184" spans="39:57" x14ac:dyDescent="0.3">
      <c r="AM184" s="114">
        <v>10</v>
      </c>
      <c r="AN184" s="112">
        <f t="shared" si="44"/>
        <v>4941.40625</v>
      </c>
      <c r="AO184" s="112">
        <v>7187.5</v>
      </c>
      <c r="AP184" s="112">
        <v>0</v>
      </c>
      <c r="AQ184" s="112">
        <f>(7187.5/2)</f>
        <v>3593.75</v>
      </c>
      <c r="AR184" s="112">
        <v>15.625</v>
      </c>
      <c r="AS184" s="112">
        <v>500</v>
      </c>
      <c r="AT184" s="112">
        <v>0</v>
      </c>
      <c r="AU184" s="112">
        <v>4637.5600000000004</v>
      </c>
      <c r="AV184" s="112">
        <v>1150</v>
      </c>
      <c r="AW184" s="112">
        <v>0</v>
      </c>
      <c r="AX184" s="112">
        <f t="shared" si="45"/>
        <v>3424.6575342465749</v>
      </c>
      <c r="AY184" s="112">
        <v>0</v>
      </c>
      <c r="AZ184" s="112">
        <v>495</v>
      </c>
      <c r="BA184" s="112">
        <v>0</v>
      </c>
      <c r="BB184" s="112">
        <v>0</v>
      </c>
      <c r="BC184" s="112">
        <v>0</v>
      </c>
      <c r="BD184" s="108">
        <f t="shared" si="43"/>
        <v>25945.498784246578</v>
      </c>
      <c r="BE184" s="108">
        <f t="shared" si="46"/>
        <v>25.945498784246578</v>
      </c>
    </row>
    <row r="185" spans="39:57" x14ac:dyDescent="0.3">
      <c r="AM185" s="114">
        <v>11</v>
      </c>
      <c r="AN185" s="112">
        <f t="shared" si="44"/>
        <v>4941.40625</v>
      </c>
      <c r="AO185" s="112">
        <v>0</v>
      </c>
      <c r="AP185" s="112">
        <f>(AP$7/2)</f>
        <v>10781.25</v>
      </c>
      <c r="AQ185" s="112">
        <f>(7187.5/2)</f>
        <v>3593.75</v>
      </c>
      <c r="AR185" s="112">
        <v>15.625</v>
      </c>
      <c r="AS185" s="112">
        <v>0</v>
      </c>
      <c r="AT185" s="112">
        <v>0</v>
      </c>
      <c r="AU185" s="112">
        <v>4637.5600000000004</v>
      </c>
      <c r="AV185" s="112">
        <v>1150</v>
      </c>
      <c r="AW185" s="112">
        <v>0</v>
      </c>
      <c r="AX185" s="112">
        <f t="shared" si="45"/>
        <v>3424.6575342465749</v>
      </c>
      <c r="AY185" s="112">
        <v>0</v>
      </c>
      <c r="AZ185" s="112">
        <v>0</v>
      </c>
      <c r="BA185" s="112">
        <v>0</v>
      </c>
      <c r="BB185" s="112">
        <v>0</v>
      </c>
      <c r="BC185" s="112">
        <v>0</v>
      </c>
      <c r="BD185" s="108">
        <f t="shared" si="43"/>
        <v>28544.248784246578</v>
      </c>
      <c r="BE185" s="108">
        <f t="shared" si="46"/>
        <v>28.544248784246577</v>
      </c>
    </row>
    <row r="186" spans="39:57" x14ac:dyDescent="0.3">
      <c r="AM186" s="114">
        <v>12</v>
      </c>
      <c r="AN186" s="112">
        <f t="shared" si="44"/>
        <v>4941.40625</v>
      </c>
      <c r="AO186" s="112">
        <v>0</v>
      </c>
      <c r="AP186" s="112">
        <v>0</v>
      </c>
      <c r="AQ186" s="112">
        <v>0</v>
      </c>
      <c r="AR186" s="112">
        <v>15.625</v>
      </c>
      <c r="AS186" s="112">
        <v>0</v>
      </c>
      <c r="AT186" s="112">
        <v>0</v>
      </c>
      <c r="AU186" s="112">
        <v>4637.5600000000004</v>
      </c>
      <c r="AV186" s="112">
        <v>0</v>
      </c>
      <c r="AW186" s="112">
        <v>0</v>
      </c>
      <c r="AX186" s="112">
        <f t="shared" si="45"/>
        <v>3424.6575342465749</v>
      </c>
      <c r="AY186" s="112">
        <v>0</v>
      </c>
      <c r="AZ186" s="112">
        <v>0</v>
      </c>
      <c r="BA186" s="112">
        <v>0</v>
      </c>
      <c r="BB186" s="112">
        <v>0</v>
      </c>
      <c r="BC186" s="112">
        <f>(AX$17/3)</f>
        <v>23541.666666666668</v>
      </c>
      <c r="BD186" s="108">
        <f t="shared" si="43"/>
        <v>36560.915450913242</v>
      </c>
      <c r="BE186" s="118">
        <f>(BD186/1000)</f>
        <v>36.560915450913242</v>
      </c>
    </row>
    <row r="187" spans="39:57" x14ac:dyDescent="0.3">
      <c r="AM187" s="114" t="s">
        <v>164</v>
      </c>
      <c r="AN187" s="112">
        <f t="shared" si="44"/>
        <v>4941.40625</v>
      </c>
      <c r="AO187" s="112">
        <v>0</v>
      </c>
      <c r="AP187" s="112">
        <v>0</v>
      </c>
      <c r="AQ187" s="112">
        <v>0</v>
      </c>
      <c r="AR187" s="112">
        <v>15.625</v>
      </c>
      <c r="AS187" s="112">
        <v>0</v>
      </c>
      <c r="AT187" s="112">
        <v>0</v>
      </c>
      <c r="AU187" s="112">
        <v>4637.5600000000004</v>
      </c>
      <c r="AV187" s="112">
        <v>0</v>
      </c>
      <c r="AW187" s="112">
        <v>0</v>
      </c>
      <c r="AX187" s="112">
        <f t="shared" si="45"/>
        <v>3424.6575342465749</v>
      </c>
      <c r="AY187" s="112">
        <v>0</v>
      </c>
      <c r="AZ187" s="112">
        <v>0</v>
      </c>
      <c r="BA187" s="112">
        <v>0</v>
      </c>
      <c r="BB187" s="112">
        <v>0</v>
      </c>
      <c r="BC187" s="112">
        <f>(AX$17/3)</f>
        <v>23541.666666666668</v>
      </c>
      <c r="BD187" s="108">
        <f t="shared" si="43"/>
        <v>36560.915450913242</v>
      </c>
      <c r="BE187" s="108">
        <f t="shared" ref="BE187:BE204" si="47">(BD187/1000)</f>
        <v>36.560915450913242</v>
      </c>
    </row>
    <row r="188" spans="39:57" x14ac:dyDescent="0.3">
      <c r="AM188" s="114" t="s">
        <v>165</v>
      </c>
      <c r="AN188" s="112">
        <f t="shared" si="44"/>
        <v>4941.40625</v>
      </c>
      <c r="AO188" s="112">
        <v>0</v>
      </c>
      <c r="AP188" s="112">
        <v>0</v>
      </c>
      <c r="AQ188" s="112">
        <v>0</v>
      </c>
      <c r="AR188" s="112">
        <v>15.625</v>
      </c>
      <c r="AS188" s="112">
        <v>0</v>
      </c>
      <c r="AT188" s="112">
        <v>0</v>
      </c>
      <c r="AU188" s="112">
        <v>4637.5600000000004</v>
      </c>
      <c r="AV188" s="112">
        <v>0</v>
      </c>
      <c r="AW188" s="112">
        <v>0</v>
      </c>
      <c r="AX188" s="112">
        <f t="shared" si="45"/>
        <v>3424.6575342465749</v>
      </c>
      <c r="AY188" s="112">
        <v>0</v>
      </c>
      <c r="AZ188" s="112">
        <v>0</v>
      </c>
      <c r="BA188" s="112">
        <v>0</v>
      </c>
      <c r="BB188" s="112">
        <v>0</v>
      </c>
      <c r="BC188" s="112">
        <v>0</v>
      </c>
      <c r="BD188" s="108">
        <f t="shared" ref="BD188:BD203" si="48">SUM(AN188:BC188)</f>
        <v>13019.248784246576</v>
      </c>
      <c r="BE188" s="108">
        <f t="shared" si="47"/>
        <v>13.019248784246576</v>
      </c>
    </row>
    <row r="189" spans="39:57" x14ac:dyDescent="0.3">
      <c r="AM189" s="114" t="s">
        <v>166</v>
      </c>
      <c r="AN189" s="112">
        <f t="shared" si="44"/>
        <v>4941.40625</v>
      </c>
      <c r="AO189" s="112">
        <v>0</v>
      </c>
      <c r="AP189" s="112">
        <v>0</v>
      </c>
      <c r="AQ189" s="112">
        <v>0</v>
      </c>
      <c r="AR189" s="112">
        <v>15.625</v>
      </c>
      <c r="AS189" s="112">
        <v>0</v>
      </c>
      <c r="AT189" s="112">
        <v>0</v>
      </c>
      <c r="AU189" s="112">
        <v>4637.5600000000004</v>
      </c>
      <c r="AV189" s="112">
        <v>0</v>
      </c>
      <c r="AW189" s="112">
        <v>0</v>
      </c>
      <c r="AX189" s="112">
        <f t="shared" si="45"/>
        <v>3424.6575342465749</v>
      </c>
      <c r="AY189" s="112">
        <v>0</v>
      </c>
      <c r="AZ189" s="112">
        <v>0</v>
      </c>
      <c r="BA189" s="112">
        <v>0</v>
      </c>
      <c r="BB189" s="112">
        <v>0</v>
      </c>
      <c r="BC189" s="112">
        <v>0</v>
      </c>
      <c r="BD189" s="108">
        <f t="shared" si="48"/>
        <v>13019.248784246576</v>
      </c>
      <c r="BE189" s="108">
        <f t="shared" si="47"/>
        <v>13.019248784246576</v>
      </c>
    </row>
    <row r="190" spans="39:57" x14ac:dyDescent="0.3">
      <c r="AM190" s="114" t="s">
        <v>167</v>
      </c>
      <c r="AN190" s="112">
        <f t="shared" si="44"/>
        <v>4941.40625</v>
      </c>
      <c r="AO190" s="112">
        <v>0</v>
      </c>
      <c r="AP190" s="112">
        <v>0</v>
      </c>
      <c r="AQ190" s="112">
        <v>0</v>
      </c>
      <c r="AR190" s="112">
        <v>15.625</v>
      </c>
      <c r="AS190" s="112">
        <v>0</v>
      </c>
      <c r="AT190" s="112">
        <v>0</v>
      </c>
      <c r="AU190" s="112">
        <v>4637.5600000000004</v>
      </c>
      <c r="AV190" s="112">
        <v>0</v>
      </c>
      <c r="AW190" s="112">
        <v>0</v>
      </c>
      <c r="AX190" s="112">
        <f t="shared" si="45"/>
        <v>3424.6575342465749</v>
      </c>
      <c r="AY190" s="112">
        <v>0</v>
      </c>
      <c r="AZ190" s="112">
        <v>0</v>
      </c>
      <c r="BA190" s="112">
        <v>0</v>
      </c>
      <c r="BB190" s="112">
        <v>0</v>
      </c>
      <c r="BC190" s="112">
        <v>0</v>
      </c>
      <c r="BD190" s="108">
        <f t="shared" si="48"/>
        <v>13019.248784246576</v>
      </c>
      <c r="BE190" s="108">
        <f t="shared" si="47"/>
        <v>13.019248784246576</v>
      </c>
    </row>
    <row r="191" spans="39:57" x14ac:dyDescent="0.3">
      <c r="AM191" s="114" t="s">
        <v>168</v>
      </c>
      <c r="AN191" s="112">
        <f t="shared" si="44"/>
        <v>4941.40625</v>
      </c>
      <c r="AO191" s="112">
        <v>0</v>
      </c>
      <c r="AP191" s="112">
        <v>0</v>
      </c>
      <c r="AQ191" s="112">
        <v>0</v>
      </c>
      <c r="AR191" s="112">
        <v>15.625</v>
      </c>
      <c r="AS191" s="112">
        <v>0</v>
      </c>
      <c r="AT191" s="112">
        <v>0</v>
      </c>
      <c r="AU191" s="112">
        <v>4637.5600000000004</v>
      </c>
      <c r="AV191" s="112">
        <v>0</v>
      </c>
      <c r="AW191" s="112">
        <v>0</v>
      </c>
      <c r="AX191" s="112">
        <f t="shared" si="45"/>
        <v>3424.6575342465749</v>
      </c>
      <c r="AY191" s="112">
        <v>0</v>
      </c>
      <c r="AZ191" s="112">
        <f>(15000*0.033)</f>
        <v>495</v>
      </c>
      <c r="BA191" s="112">
        <v>0</v>
      </c>
      <c r="BB191" s="112">
        <v>0</v>
      </c>
      <c r="BC191" s="112">
        <v>0</v>
      </c>
      <c r="BD191" s="108">
        <f t="shared" si="48"/>
        <v>13514.248784246576</v>
      </c>
      <c r="BE191" s="108">
        <f t="shared" si="47"/>
        <v>13.514248784246575</v>
      </c>
    </row>
    <row r="192" spans="39:57" x14ac:dyDescent="0.3">
      <c r="AM192" s="114" t="s">
        <v>169</v>
      </c>
      <c r="AN192" s="112">
        <f t="shared" si="44"/>
        <v>4941.40625</v>
      </c>
      <c r="AO192" s="112">
        <v>7187.5</v>
      </c>
      <c r="AP192" s="112">
        <v>0</v>
      </c>
      <c r="AQ192" s="112">
        <v>0</v>
      </c>
      <c r="AR192" s="112">
        <v>15.625</v>
      </c>
      <c r="AS192" s="112">
        <v>0</v>
      </c>
      <c r="AT192" s="112">
        <v>0</v>
      </c>
      <c r="AU192" s="112">
        <v>0</v>
      </c>
      <c r="AV192" s="112">
        <v>0</v>
      </c>
      <c r="AW192" s="112">
        <v>0</v>
      </c>
      <c r="AX192" s="112">
        <f t="shared" si="45"/>
        <v>3424.6575342465749</v>
      </c>
      <c r="AY192" s="112">
        <v>0</v>
      </c>
      <c r="AZ192" s="112">
        <v>0</v>
      </c>
      <c r="BA192" s="112">
        <v>0</v>
      </c>
      <c r="BB192" s="112">
        <v>250</v>
      </c>
      <c r="BC192" s="112">
        <v>0</v>
      </c>
      <c r="BD192" s="108">
        <f t="shared" si="48"/>
        <v>15819.188784246575</v>
      </c>
      <c r="BE192" s="108">
        <f t="shared" si="47"/>
        <v>15.819188784246576</v>
      </c>
    </row>
    <row r="193" spans="39:59" x14ac:dyDescent="0.3">
      <c r="AM193" s="114" t="s">
        <v>170</v>
      </c>
      <c r="AN193" s="112">
        <f t="shared" si="44"/>
        <v>4941.40625</v>
      </c>
      <c r="AO193" s="112">
        <v>0</v>
      </c>
      <c r="AP193" s="112">
        <f>(AP$7/2)</f>
        <v>10781.25</v>
      </c>
      <c r="AQ193" s="112">
        <v>0</v>
      </c>
      <c r="AR193" s="112">
        <v>15.625</v>
      </c>
      <c r="AS193" s="112">
        <v>0</v>
      </c>
      <c r="AT193" s="112">
        <v>0</v>
      </c>
      <c r="AU193" s="112">
        <v>0</v>
      </c>
      <c r="AV193" s="112">
        <v>0</v>
      </c>
      <c r="AW193" s="112">
        <v>0</v>
      </c>
      <c r="AX193" s="112">
        <f t="shared" si="45"/>
        <v>3424.6575342465749</v>
      </c>
      <c r="AY193" s="112">
        <v>0</v>
      </c>
      <c r="AZ193" s="112">
        <f>(15000*0.033)</f>
        <v>495</v>
      </c>
      <c r="BA193" s="112">
        <v>0</v>
      </c>
      <c r="BB193" s="112">
        <v>0</v>
      </c>
      <c r="BC193" s="112">
        <v>0</v>
      </c>
      <c r="BD193" s="108">
        <f t="shared" si="48"/>
        <v>19657.938784246573</v>
      </c>
      <c r="BE193" s="108">
        <f t="shared" si="47"/>
        <v>19.657938784246571</v>
      </c>
    </row>
    <row r="194" spans="39:59" x14ac:dyDescent="0.3">
      <c r="AM194" s="114" t="s">
        <v>171</v>
      </c>
      <c r="AN194" s="112">
        <f t="shared" si="44"/>
        <v>4941.40625</v>
      </c>
      <c r="AO194" s="112">
        <v>0</v>
      </c>
      <c r="AP194" s="112">
        <v>0</v>
      </c>
      <c r="AQ194" s="112">
        <v>0</v>
      </c>
      <c r="AR194" s="112">
        <v>15.625</v>
      </c>
      <c r="AS194" s="112">
        <v>0</v>
      </c>
      <c r="AT194" s="112">
        <v>0</v>
      </c>
      <c r="AU194" s="112">
        <v>0</v>
      </c>
      <c r="AV194" s="112">
        <v>0</v>
      </c>
      <c r="AW194" s="112">
        <v>0</v>
      </c>
      <c r="AX194" s="112">
        <f t="shared" si="45"/>
        <v>3424.6575342465749</v>
      </c>
      <c r="AY194" s="112">
        <v>0</v>
      </c>
      <c r="AZ194" s="112">
        <v>0</v>
      </c>
      <c r="BA194" s="112">
        <v>0</v>
      </c>
      <c r="BB194" s="112">
        <v>0</v>
      </c>
      <c r="BC194" s="112">
        <v>0</v>
      </c>
      <c r="BD194" s="108">
        <f t="shared" si="48"/>
        <v>8381.6887842465749</v>
      </c>
      <c r="BE194" s="108">
        <f t="shared" si="47"/>
        <v>8.3816887842465757</v>
      </c>
    </row>
    <row r="195" spans="39:59" x14ac:dyDescent="0.3">
      <c r="AM195" s="114" t="s">
        <v>172</v>
      </c>
      <c r="AN195" s="112">
        <f t="shared" si="44"/>
        <v>4941.40625</v>
      </c>
      <c r="AO195" s="112">
        <v>0</v>
      </c>
      <c r="AP195" s="112">
        <v>0</v>
      </c>
      <c r="AQ195" s="112">
        <v>0</v>
      </c>
      <c r="AR195" s="112">
        <v>15.625</v>
      </c>
      <c r="AS195" s="112">
        <v>0</v>
      </c>
      <c r="AT195" s="112">
        <v>0</v>
      </c>
      <c r="AU195" s="112">
        <v>0</v>
      </c>
      <c r="AV195" s="112">
        <v>0</v>
      </c>
      <c r="AW195" s="112">
        <v>0</v>
      </c>
      <c r="AX195" s="112">
        <f t="shared" si="45"/>
        <v>3424.6575342465749</v>
      </c>
      <c r="AY195" s="112">
        <v>0</v>
      </c>
      <c r="AZ195" s="112">
        <f>(15000*0.033)</f>
        <v>495</v>
      </c>
      <c r="BA195" s="112">
        <f>(2875/3)</f>
        <v>958.33333333333337</v>
      </c>
      <c r="BB195" s="112">
        <v>0</v>
      </c>
      <c r="BC195" s="112">
        <v>0</v>
      </c>
      <c r="BD195" s="108">
        <f t="shared" si="48"/>
        <v>9835.0221175799088</v>
      </c>
      <c r="BE195" s="108">
        <f t="shared" si="47"/>
        <v>9.8350221175799089</v>
      </c>
    </row>
    <row r="196" spans="39:59" x14ac:dyDescent="0.3">
      <c r="AM196" s="114" t="s">
        <v>173</v>
      </c>
      <c r="AN196" s="112">
        <f t="shared" si="44"/>
        <v>4941.40625</v>
      </c>
      <c r="AO196" s="112">
        <v>0</v>
      </c>
      <c r="AP196" s="112">
        <v>0</v>
      </c>
      <c r="AQ196" s="112">
        <v>0</v>
      </c>
      <c r="AR196" s="112">
        <v>15.625</v>
      </c>
      <c r="AS196" s="112">
        <v>0</v>
      </c>
      <c r="AT196" s="112">
        <v>335</v>
      </c>
      <c r="AU196" s="112">
        <v>0</v>
      </c>
      <c r="AV196" s="112">
        <v>0</v>
      </c>
      <c r="AW196" s="112">
        <v>0</v>
      </c>
      <c r="AX196" s="112">
        <f t="shared" si="45"/>
        <v>3424.6575342465749</v>
      </c>
      <c r="AY196" s="112">
        <v>0</v>
      </c>
      <c r="AZ196" s="112">
        <v>0</v>
      </c>
      <c r="BA196" s="112">
        <v>0</v>
      </c>
      <c r="BB196" s="112">
        <v>250</v>
      </c>
      <c r="BC196" s="112">
        <v>0</v>
      </c>
      <c r="BD196" s="108">
        <f t="shared" si="48"/>
        <v>8966.6887842465749</v>
      </c>
      <c r="BE196" s="108">
        <f t="shared" si="47"/>
        <v>8.9666887842465748</v>
      </c>
    </row>
    <row r="197" spans="39:59" x14ac:dyDescent="0.3">
      <c r="AM197" s="114" t="s">
        <v>174</v>
      </c>
      <c r="AN197" s="112">
        <f t="shared" si="44"/>
        <v>4941.40625</v>
      </c>
      <c r="AO197" s="112">
        <v>0</v>
      </c>
      <c r="AP197" s="112">
        <v>0</v>
      </c>
      <c r="AQ197" s="112">
        <v>0</v>
      </c>
      <c r="AR197" s="112">
        <v>15.625</v>
      </c>
      <c r="AS197" s="112">
        <v>0</v>
      </c>
      <c r="AT197" s="112">
        <v>0</v>
      </c>
      <c r="AU197" s="112">
        <v>0</v>
      </c>
      <c r="AV197" s="112">
        <v>0</v>
      </c>
      <c r="AW197" s="112">
        <v>0</v>
      </c>
      <c r="AX197" s="112">
        <f t="shared" si="45"/>
        <v>3424.6575342465749</v>
      </c>
      <c r="AY197" s="112">
        <v>0</v>
      </c>
      <c r="AZ197" s="112">
        <f>(15000*0.033)</f>
        <v>495</v>
      </c>
      <c r="BA197" s="112">
        <v>0</v>
      </c>
      <c r="BB197" s="112">
        <v>0</v>
      </c>
      <c r="BC197" s="112">
        <v>0</v>
      </c>
      <c r="BD197" s="108">
        <f t="shared" si="48"/>
        <v>8876.6887842465749</v>
      </c>
      <c r="BE197" s="108">
        <f t="shared" si="47"/>
        <v>8.8766887842465749</v>
      </c>
    </row>
    <row r="198" spans="39:59" x14ac:dyDescent="0.3">
      <c r="AM198" s="114" t="s">
        <v>175</v>
      </c>
      <c r="AN198" s="112">
        <f t="shared" si="44"/>
        <v>4941.40625</v>
      </c>
      <c r="AO198" s="112">
        <v>0</v>
      </c>
      <c r="AP198" s="112">
        <v>0</v>
      </c>
      <c r="AQ198" s="112">
        <v>0</v>
      </c>
      <c r="AR198" s="112">
        <v>15.625</v>
      </c>
      <c r="AS198" s="112">
        <v>0</v>
      </c>
      <c r="AT198" s="112">
        <v>0</v>
      </c>
      <c r="AU198" s="112">
        <v>0</v>
      </c>
      <c r="AV198" s="112">
        <v>0</v>
      </c>
      <c r="AW198" s="112">
        <v>0</v>
      </c>
      <c r="AX198" s="112">
        <f t="shared" si="45"/>
        <v>3424.6575342465749</v>
      </c>
      <c r="AY198" s="112">
        <v>0</v>
      </c>
      <c r="AZ198" s="112">
        <v>0</v>
      </c>
      <c r="BA198" s="112">
        <v>0</v>
      </c>
      <c r="BB198" s="112">
        <v>0</v>
      </c>
      <c r="BC198" s="112">
        <v>0</v>
      </c>
      <c r="BD198" s="108">
        <f t="shared" si="48"/>
        <v>8381.6887842465749</v>
      </c>
      <c r="BE198" s="108">
        <f t="shared" si="47"/>
        <v>8.3816887842465757</v>
      </c>
    </row>
    <row r="199" spans="39:59" x14ac:dyDescent="0.3">
      <c r="AM199" s="114">
        <v>1</v>
      </c>
      <c r="AN199" s="112">
        <f t="shared" si="44"/>
        <v>4941.40625</v>
      </c>
      <c r="AO199" s="112">
        <v>0</v>
      </c>
      <c r="AP199" s="112">
        <v>0</v>
      </c>
      <c r="AQ199" s="112">
        <v>0</v>
      </c>
      <c r="AR199" s="112">
        <v>15.625</v>
      </c>
      <c r="AS199" s="112">
        <v>0</v>
      </c>
      <c r="AT199" s="112">
        <v>335</v>
      </c>
      <c r="AU199" s="112">
        <v>0</v>
      </c>
      <c r="AV199" s="112">
        <v>0</v>
      </c>
      <c r="AW199" s="112">
        <f>(10000/4)</f>
        <v>2500</v>
      </c>
      <c r="AX199" s="112">
        <f t="shared" si="45"/>
        <v>3424.6575342465749</v>
      </c>
      <c r="AY199" s="112">
        <f>(47500/3)</f>
        <v>15833.333333333334</v>
      </c>
      <c r="AZ199" s="112">
        <f>(15000*0.033)</f>
        <v>495</v>
      </c>
      <c r="BA199" s="112">
        <f>(2875/3)</f>
        <v>958.33333333333337</v>
      </c>
      <c r="BB199" s="112">
        <v>0</v>
      </c>
      <c r="BC199" s="112"/>
      <c r="BD199" s="108">
        <f t="shared" si="48"/>
        <v>28503.355450913241</v>
      </c>
      <c r="BE199" s="108">
        <f t="shared" si="47"/>
        <v>28.50335545091324</v>
      </c>
    </row>
    <row r="200" spans="39:59" x14ac:dyDescent="0.3">
      <c r="AM200" s="114">
        <v>2</v>
      </c>
      <c r="AN200" s="112">
        <f t="shared" si="44"/>
        <v>4941.40625</v>
      </c>
      <c r="AO200" s="112">
        <v>0</v>
      </c>
      <c r="AP200" s="112">
        <v>0</v>
      </c>
      <c r="AQ200" s="112">
        <v>0</v>
      </c>
      <c r="AR200" s="112">
        <v>15.625</v>
      </c>
      <c r="AS200" s="112">
        <v>0</v>
      </c>
      <c r="AT200" s="112">
        <v>0</v>
      </c>
      <c r="AU200" s="112">
        <v>0</v>
      </c>
      <c r="AV200" s="112">
        <v>0</v>
      </c>
      <c r="AW200" s="112">
        <f>(10000/4)</f>
        <v>2500</v>
      </c>
      <c r="AX200" s="112">
        <f t="shared" si="45"/>
        <v>3424.6575342465749</v>
      </c>
      <c r="AY200" s="112">
        <v>0</v>
      </c>
      <c r="AZ200" s="112">
        <f>(15000*0.033)</f>
        <v>495</v>
      </c>
      <c r="BA200" s="112">
        <v>0</v>
      </c>
      <c r="BB200" s="112">
        <v>0</v>
      </c>
      <c r="BC200" s="112">
        <v>0</v>
      </c>
      <c r="BD200" s="108">
        <f t="shared" si="48"/>
        <v>11376.688784246575</v>
      </c>
      <c r="BE200" s="108">
        <f t="shared" si="47"/>
        <v>11.376688784246575</v>
      </c>
    </row>
    <row r="201" spans="39:59" x14ac:dyDescent="0.3">
      <c r="AM201" s="114">
        <v>3</v>
      </c>
      <c r="AN201" s="112">
        <f t="shared" si="44"/>
        <v>4941.40625</v>
      </c>
      <c r="AO201" s="112">
        <v>0</v>
      </c>
      <c r="AP201" s="112">
        <v>0</v>
      </c>
      <c r="AQ201" s="112">
        <v>0</v>
      </c>
      <c r="AR201" s="112">
        <v>15.625</v>
      </c>
      <c r="AS201" s="112">
        <v>0</v>
      </c>
      <c r="AT201" s="112">
        <v>0</v>
      </c>
      <c r="AU201" s="112">
        <v>0</v>
      </c>
      <c r="AV201" s="112">
        <v>0</v>
      </c>
      <c r="AW201" s="112">
        <v>0</v>
      </c>
      <c r="AX201" s="112">
        <f t="shared" si="45"/>
        <v>3424.6575342465749</v>
      </c>
      <c r="AY201" s="112">
        <v>0</v>
      </c>
      <c r="AZ201" s="112">
        <v>0</v>
      </c>
      <c r="BA201" s="112">
        <v>0</v>
      </c>
      <c r="BB201" s="112">
        <v>0</v>
      </c>
      <c r="BC201" s="112">
        <f>(AX$17/3)</f>
        <v>23541.666666666668</v>
      </c>
      <c r="BD201" s="108">
        <f t="shared" si="48"/>
        <v>31923.355450913245</v>
      </c>
      <c r="BE201" s="108">
        <f t="shared" si="47"/>
        <v>31.923355450913245</v>
      </c>
    </row>
    <row r="202" spans="39:59" x14ac:dyDescent="0.3">
      <c r="AM202" s="114">
        <v>4</v>
      </c>
      <c r="AN202" s="112">
        <f t="shared" si="44"/>
        <v>4941.40625</v>
      </c>
      <c r="AO202" s="112">
        <v>0</v>
      </c>
      <c r="AP202" s="112">
        <v>0</v>
      </c>
      <c r="AQ202" s="112">
        <v>0</v>
      </c>
      <c r="AR202" s="112">
        <v>15.625</v>
      </c>
      <c r="AS202" s="112">
        <v>0</v>
      </c>
      <c r="AT202" s="112">
        <v>335</v>
      </c>
      <c r="AU202" s="112">
        <v>0</v>
      </c>
      <c r="AV202" s="112">
        <v>0</v>
      </c>
      <c r="AW202" s="112">
        <v>0</v>
      </c>
      <c r="AX202" s="112">
        <f t="shared" si="45"/>
        <v>3424.6575342465749</v>
      </c>
      <c r="AY202" s="112">
        <v>0</v>
      </c>
      <c r="AZ202" s="112">
        <v>0</v>
      </c>
      <c r="BA202" s="112">
        <v>0</v>
      </c>
      <c r="BB202" s="112">
        <v>250</v>
      </c>
      <c r="BC202" s="112">
        <v>0</v>
      </c>
      <c r="BD202" s="108">
        <f t="shared" si="48"/>
        <v>8966.6887842465749</v>
      </c>
      <c r="BE202" s="108">
        <f t="shared" si="47"/>
        <v>8.9666887842465748</v>
      </c>
    </row>
    <row r="203" spans="39:59" x14ac:dyDescent="0.3">
      <c r="AM203" s="114">
        <v>5</v>
      </c>
      <c r="AN203" s="112">
        <f t="shared" si="44"/>
        <v>4941.40625</v>
      </c>
      <c r="AO203" s="112">
        <v>0</v>
      </c>
      <c r="AP203" s="112">
        <v>0</v>
      </c>
      <c r="AQ203" s="112">
        <v>0</v>
      </c>
      <c r="AR203" s="112">
        <v>15.625</v>
      </c>
      <c r="AS203" s="112">
        <v>0</v>
      </c>
      <c r="AT203" s="112">
        <v>0</v>
      </c>
      <c r="AU203" s="112">
        <v>0</v>
      </c>
      <c r="AV203" s="112">
        <v>0</v>
      </c>
      <c r="AW203" s="112">
        <v>0</v>
      </c>
      <c r="AX203" s="112">
        <f t="shared" si="45"/>
        <v>3424.6575342465749</v>
      </c>
      <c r="AY203" s="112">
        <f>(47500/3)</f>
        <v>15833.333333333334</v>
      </c>
      <c r="AZ203" s="112">
        <f>(15000*0.033)</f>
        <v>495</v>
      </c>
      <c r="BA203" s="112">
        <v>0</v>
      </c>
      <c r="BB203" s="112">
        <v>0</v>
      </c>
      <c r="BC203" s="112">
        <v>0</v>
      </c>
      <c r="BD203" s="108">
        <f t="shared" si="48"/>
        <v>24710.022117579909</v>
      </c>
      <c r="BE203" s="108">
        <f t="shared" si="47"/>
        <v>24.710022117579907</v>
      </c>
    </row>
    <row r="204" spans="39:59" x14ac:dyDescent="0.3">
      <c r="AP204" s="106"/>
      <c r="BC204" s="108" t="s">
        <v>111</v>
      </c>
      <c r="BD204" s="108">
        <f>SUM(BD180:BD203)</f>
        <v>427821.01082191779</v>
      </c>
      <c r="BE204" s="109">
        <f t="shared" si="47"/>
        <v>427.82101082191781</v>
      </c>
    </row>
    <row r="205" spans="39:59" ht="21" x14ac:dyDescent="0.4">
      <c r="AM205" s="113" t="s">
        <v>196</v>
      </c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</row>
    <row r="206" spans="39:59" x14ac:dyDescent="0.3">
      <c r="AM206" s="33" t="s">
        <v>146</v>
      </c>
      <c r="AN206" s="41" t="s">
        <v>147</v>
      </c>
      <c r="AO206" s="41" t="s">
        <v>148</v>
      </c>
      <c r="AP206" s="41" t="s">
        <v>149</v>
      </c>
      <c r="AQ206" s="41" t="s">
        <v>150</v>
      </c>
      <c r="AR206" s="41" t="s">
        <v>151</v>
      </c>
      <c r="AS206" s="41" t="s">
        <v>152</v>
      </c>
      <c r="AT206" s="41" t="s">
        <v>153</v>
      </c>
      <c r="AU206" s="41" t="s">
        <v>154</v>
      </c>
      <c r="AV206" s="41" t="s">
        <v>155</v>
      </c>
      <c r="AW206" s="41" t="s">
        <v>157</v>
      </c>
      <c r="AX206" s="41" t="s">
        <v>156</v>
      </c>
      <c r="AY206" s="41" t="s">
        <v>158</v>
      </c>
      <c r="AZ206" s="41" t="s">
        <v>159</v>
      </c>
      <c r="BA206" s="41" t="s">
        <v>160</v>
      </c>
      <c r="BB206" s="41" t="s">
        <v>161</v>
      </c>
      <c r="BC206" s="41" t="s">
        <v>163</v>
      </c>
      <c r="BD206" s="108" t="s">
        <v>176</v>
      </c>
      <c r="BE206" s="108" t="s">
        <v>179</v>
      </c>
    </row>
    <row r="207" spans="39:59" x14ac:dyDescent="0.3">
      <c r="AM207" s="33" t="s">
        <v>145</v>
      </c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108"/>
      <c r="BE207" s="108"/>
      <c r="BG207" cm="1">
        <f t="array" aca="1" ref="BG207" ca="1">BG207:BQ265</f>
        <v>0</v>
      </c>
    </row>
    <row r="208" spans="39:59" x14ac:dyDescent="0.3">
      <c r="AM208" s="114">
        <v>6</v>
      </c>
      <c r="AN208" s="112">
        <f>(AP$5/24)</f>
        <v>4941.40625</v>
      </c>
      <c r="AO208" s="112">
        <v>0</v>
      </c>
      <c r="AP208" s="112">
        <v>0</v>
      </c>
      <c r="AQ208" s="112">
        <v>0</v>
      </c>
      <c r="AR208" s="112">
        <v>15.625</v>
      </c>
      <c r="AS208" s="112">
        <v>500</v>
      </c>
      <c r="AT208" s="112">
        <v>335</v>
      </c>
      <c r="AU208" s="112">
        <v>4637.5600000000004</v>
      </c>
      <c r="AV208" s="112">
        <v>1150</v>
      </c>
      <c r="AW208" s="112">
        <v>0</v>
      </c>
      <c r="AX208" s="112">
        <f>(AP$21/24)</f>
        <v>3424.6575342465749</v>
      </c>
      <c r="AY208" s="112">
        <v>0</v>
      </c>
      <c r="AZ208" s="112">
        <f>(15000*0.033)</f>
        <v>495</v>
      </c>
      <c r="BA208" s="112">
        <v>0</v>
      </c>
      <c r="BB208" s="112">
        <f>(1250/5)</f>
        <v>250</v>
      </c>
      <c r="BC208" s="112">
        <v>0</v>
      </c>
      <c r="BD208" s="108">
        <f t="shared" ref="BD208:BD215" si="49">SUM(AN208:BC208)</f>
        <v>15749.248784246576</v>
      </c>
      <c r="BE208" s="108">
        <f>(BD208/1000)</f>
        <v>15.749248784246577</v>
      </c>
    </row>
    <row r="209" spans="39:57" x14ac:dyDescent="0.3">
      <c r="AM209" s="114">
        <v>7</v>
      </c>
      <c r="AN209" s="112">
        <f t="shared" ref="AN209:AN231" si="50">(AP$5/24)</f>
        <v>4941.40625</v>
      </c>
      <c r="AO209" s="112">
        <v>0</v>
      </c>
      <c r="AP209" s="112">
        <v>0</v>
      </c>
      <c r="AQ209" s="112">
        <v>0</v>
      </c>
      <c r="AR209" s="112">
        <v>15.625</v>
      </c>
      <c r="AS209" s="112">
        <v>500</v>
      </c>
      <c r="AT209" s="112">
        <v>0</v>
      </c>
      <c r="AU209" s="112">
        <v>4637.5600000000004</v>
      </c>
      <c r="AV209" s="112">
        <v>1150</v>
      </c>
      <c r="AW209" s="112">
        <v>0</v>
      </c>
      <c r="AX209" s="112">
        <f t="shared" ref="AX209:AX231" si="51">(AP$21/24)</f>
        <v>3424.6575342465749</v>
      </c>
      <c r="AY209" s="112">
        <f>(47500/3)</f>
        <v>15833.333333333334</v>
      </c>
      <c r="AZ209" s="112">
        <v>0</v>
      </c>
      <c r="BA209" s="112">
        <f>(2875/3)</f>
        <v>958.33333333333337</v>
      </c>
      <c r="BB209" s="112">
        <v>0</v>
      </c>
      <c r="BC209" s="112">
        <v>0</v>
      </c>
      <c r="BD209" s="108">
        <f t="shared" si="49"/>
        <v>31460.915450913242</v>
      </c>
      <c r="BE209" s="108">
        <f t="shared" ref="BE209:BE232" si="52">(BD209/1000)</f>
        <v>31.460915450913241</v>
      </c>
    </row>
    <row r="210" spans="39:57" x14ac:dyDescent="0.3">
      <c r="AM210" s="114">
        <v>8</v>
      </c>
      <c r="AN210" s="112">
        <f t="shared" si="50"/>
        <v>4941.40625</v>
      </c>
      <c r="AO210" s="112">
        <v>0</v>
      </c>
      <c r="AP210" s="112">
        <v>0</v>
      </c>
      <c r="AQ210" s="112">
        <v>0</v>
      </c>
      <c r="AR210" s="112">
        <v>15.625</v>
      </c>
      <c r="AS210" s="112">
        <v>500</v>
      </c>
      <c r="AT210" s="112">
        <v>0</v>
      </c>
      <c r="AU210" s="112">
        <v>4637.5600000000004</v>
      </c>
      <c r="AV210" s="112">
        <v>1150</v>
      </c>
      <c r="AW210" s="112">
        <f>(10000/4)</f>
        <v>2500</v>
      </c>
      <c r="AX210" s="112">
        <f t="shared" si="51"/>
        <v>3424.6575342465749</v>
      </c>
      <c r="AY210" s="112">
        <v>0</v>
      </c>
      <c r="AZ210" s="112">
        <f>(15000*0.033)</f>
        <v>495</v>
      </c>
      <c r="BA210" s="112">
        <v>0</v>
      </c>
      <c r="BB210" s="112">
        <v>0</v>
      </c>
      <c r="BC210" s="112">
        <v>0</v>
      </c>
      <c r="BD210" s="108">
        <f t="shared" si="49"/>
        <v>17664.248784246578</v>
      </c>
      <c r="BE210" s="108">
        <f t="shared" si="52"/>
        <v>17.664248784246578</v>
      </c>
    </row>
    <row r="211" spans="39:57" x14ac:dyDescent="0.3">
      <c r="AM211" s="114">
        <v>9</v>
      </c>
      <c r="AN211" s="112">
        <f t="shared" si="50"/>
        <v>4941.40625</v>
      </c>
      <c r="AO211" s="112">
        <v>0</v>
      </c>
      <c r="AP211" s="112">
        <v>0</v>
      </c>
      <c r="AQ211" s="112">
        <v>0</v>
      </c>
      <c r="AR211" s="112">
        <v>15.625</v>
      </c>
      <c r="AS211" s="112">
        <v>500</v>
      </c>
      <c r="AT211" s="112">
        <v>335</v>
      </c>
      <c r="AU211" s="112">
        <v>4637.5600000000004</v>
      </c>
      <c r="AV211" s="112">
        <v>1150</v>
      </c>
      <c r="AW211" s="112">
        <f>(10000/4)</f>
        <v>2500</v>
      </c>
      <c r="AX211" s="112">
        <f t="shared" si="51"/>
        <v>3424.6575342465749</v>
      </c>
      <c r="AY211" s="112">
        <v>0</v>
      </c>
      <c r="AZ211" s="112">
        <v>0</v>
      </c>
      <c r="BA211" s="112">
        <v>0</v>
      </c>
      <c r="BB211" s="112">
        <v>250</v>
      </c>
      <c r="BC211" s="112">
        <v>0</v>
      </c>
      <c r="BD211" s="108">
        <f t="shared" si="49"/>
        <v>17754.248784246578</v>
      </c>
      <c r="BE211" s="108">
        <f t="shared" si="52"/>
        <v>17.754248784246577</v>
      </c>
    </row>
    <row r="212" spans="39:57" x14ac:dyDescent="0.3">
      <c r="AM212" s="114">
        <v>10</v>
      </c>
      <c r="AN212" s="112">
        <f t="shared" si="50"/>
        <v>4941.40625</v>
      </c>
      <c r="AO212" s="112">
        <v>7187.5</v>
      </c>
      <c r="AP212" s="112">
        <v>0</v>
      </c>
      <c r="AQ212" s="112">
        <f>(7187.5/2)</f>
        <v>3593.75</v>
      </c>
      <c r="AR212" s="112">
        <v>15.625</v>
      </c>
      <c r="AS212" s="112">
        <v>500</v>
      </c>
      <c r="AT212" s="112">
        <v>0</v>
      </c>
      <c r="AU212" s="112">
        <v>4637.5600000000004</v>
      </c>
      <c r="AV212" s="112">
        <v>1150</v>
      </c>
      <c r="AW212" s="112">
        <v>0</v>
      </c>
      <c r="AX212" s="112">
        <f t="shared" si="51"/>
        <v>3424.6575342465749</v>
      </c>
      <c r="AY212" s="112">
        <v>0</v>
      </c>
      <c r="AZ212" s="112">
        <v>495</v>
      </c>
      <c r="BA212" s="112">
        <v>0</v>
      </c>
      <c r="BB212" s="112">
        <v>0</v>
      </c>
      <c r="BC212" s="112">
        <v>0</v>
      </c>
      <c r="BD212" s="108">
        <f t="shared" si="49"/>
        <v>25945.498784246578</v>
      </c>
      <c r="BE212" s="108">
        <f t="shared" si="52"/>
        <v>25.945498784246578</v>
      </c>
    </row>
    <row r="213" spans="39:57" x14ac:dyDescent="0.3">
      <c r="AM213" s="114">
        <v>11</v>
      </c>
      <c r="AN213" s="112">
        <f t="shared" si="50"/>
        <v>4941.40625</v>
      </c>
      <c r="AO213" s="112">
        <v>0</v>
      </c>
      <c r="AP213" s="112">
        <f>(AP$7/2)</f>
        <v>10781.25</v>
      </c>
      <c r="AQ213" s="112">
        <f>(7187.5/2)</f>
        <v>3593.75</v>
      </c>
      <c r="AR213" s="112">
        <v>15.625</v>
      </c>
      <c r="AS213" s="112">
        <v>0</v>
      </c>
      <c r="AT213" s="112">
        <v>0</v>
      </c>
      <c r="AU213" s="112">
        <v>4637.5600000000004</v>
      </c>
      <c r="AV213" s="112">
        <v>1150</v>
      </c>
      <c r="AW213" s="112">
        <v>0</v>
      </c>
      <c r="AX213" s="112">
        <f t="shared" si="51"/>
        <v>3424.6575342465749</v>
      </c>
      <c r="AY213" s="112">
        <v>0</v>
      </c>
      <c r="AZ213" s="112">
        <v>0</v>
      </c>
      <c r="BA213" s="112">
        <v>0</v>
      </c>
      <c r="BB213" s="112">
        <v>0</v>
      </c>
      <c r="BC213" s="112">
        <v>0</v>
      </c>
      <c r="BD213" s="108">
        <f t="shared" si="49"/>
        <v>28544.248784246578</v>
      </c>
      <c r="BE213" s="108">
        <f t="shared" si="52"/>
        <v>28.544248784246577</v>
      </c>
    </row>
    <row r="214" spans="39:57" x14ac:dyDescent="0.3">
      <c r="AM214" s="114">
        <v>12</v>
      </c>
      <c r="AN214" s="112">
        <f t="shared" si="50"/>
        <v>4941.40625</v>
      </c>
      <c r="AO214" s="112">
        <v>0</v>
      </c>
      <c r="AP214" s="112">
        <v>0</v>
      </c>
      <c r="AQ214" s="112">
        <v>0</v>
      </c>
      <c r="AR214" s="112">
        <v>15.625</v>
      </c>
      <c r="AS214" s="112">
        <v>0</v>
      </c>
      <c r="AT214" s="112">
        <v>0</v>
      </c>
      <c r="AU214" s="112">
        <v>4637.5600000000004</v>
      </c>
      <c r="AV214" s="112">
        <v>0</v>
      </c>
      <c r="AW214" s="112">
        <v>0</v>
      </c>
      <c r="AX214" s="112">
        <f t="shared" si="51"/>
        <v>3424.6575342465749</v>
      </c>
      <c r="AY214" s="112">
        <v>0</v>
      </c>
      <c r="AZ214" s="112">
        <v>0</v>
      </c>
      <c r="BA214" s="112">
        <v>0</v>
      </c>
      <c r="BB214" s="112">
        <v>0</v>
      </c>
      <c r="BC214" s="112">
        <f>(AX$17/3)</f>
        <v>23541.666666666668</v>
      </c>
      <c r="BD214" s="108">
        <f t="shared" si="49"/>
        <v>36560.915450913242</v>
      </c>
      <c r="BE214" s="118">
        <f>(BD214/1000)</f>
        <v>36.560915450913242</v>
      </c>
    </row>
    <row r="215" spans="39:57" x14ac:dyDescent="0.3">
      <c r="AM215" s="114" t="s">
        <v>164</v>
      </c>
      <c r="AN215" s="112">
        <f t="shared" si="50"/>
        <v>4941.40625</v>
      </c>
      <c r="AO215" s="112">
        <v>0</v>
      </c>
      <c r="AP215" s="112">
        <v>0</v>
      </c>
      <c r="AQ215" s="112">
        <v>0</v>
      </c>
      <c r="AR215" s="112">
        <v>15.625</v>
      </c>
      <c r="AS215" s="112">
        <v>0</v>
      </c>
      <c r="AT215" s="112">
        <v>0</v>
      </c>
      <c r="AU215" s="112">
        <v>4637.5600000000004</v>
      </c>
      <c r="AV215" s="112">
        <v>0</v>
      </c>
      <c r="AW215" s="112">
        <v>0</v>
      </c>
      <c r="AX215" s="112">
        <f t="shared" si="51"/>
        <v>3424.6575342465749</v>
      </c>
      <c r="AY215" s="112">
        <v>0</v>
      </c>
      <c r="AZ215" s="112">
        <v>0</v>
      </c>
      <c r="BA215" s="112">
        <v>0</v>
      </c>
      <c r="BB215" s="112">
        <v>0</v>
      </c>
      <c r="BC215" s="112">
        <f>(AX$17/3)</f>
        <v>23541.666666666668</v>
      </c>
      <c r="BD215" s="108">
        <f t="shared" si="49"/>
        <v>36560.915450913242</v>
      </c>
      <c r="BE215" s="108">
        <f t="shared" ref="BE215:BE232" si="53">(BD215/1000)</f>
        <v>36.560915450913242</v>
      </c>
    </row>
    <row r="216" spans="39:57" x14ac:dyDescent="0.3">
      <c r="AM216" s="114" t="s">
        <v>165</v>
      </c>
      <c r="AN216" s="112">
        <f t="shared" si="50"/>
        <v>4941.40625</v>
      </c>
      <c r="AO216" s="112">
        <v>0</v>
      </c>
      <c r="AP216" s="112">
        <v>0</v>
      </c>
      <c r="AQ216" s="112">
        <v>0</v>
      </c>
      <c r="AR216" s="112">
        <v>15.625</v>
      </c>
      <c r="AS216" s="112">
        <v>0</v>
      </c>
      <c r="AT216" s="112">
        <v>0</v>
      </c>
      <c r="AU216" s="112">
        <v>4637.5600000000004</v>
      </c>
      <c r="AV216" s="112">
        <v>0</v>
      </c>
      <c r="AW216" s="112">
        <v>0</v>
      </c>
      <c r="AX216" s="112">
        <f t="shared" si="51"/>
        <v>3424.6575342465749</v>
      </c>
      <c r="AY216" s="112">
        <v>0</v>
      </c>
      <c r="AZ216" s="112">
        <v>0</v>
      </c>
      <c r="BA216" s="112">
        <v>0</v>
      </c>
      <c r="BB216" s="112">
        <v>0</v>
      </c>
      <c r="BC216" s="112">
        <v>0</v>
      </c>
      <c r="BD216" s="108">
        <f t="shared" ref="BD216:BD231" si="54">SUM(AN216:BC216)</f>
        <v>13019.248784246576</v>
      </c>
      <c r="BE216" s="108">
        <f t="shared" si="53"/>
        <v>13.019248784246576</v>
      </c>
    </row>
    <row r="217" spans="39:57" x14ac:dyDescent="0.3">
      <c r="AM217" s="114" t="s">
        <v>166</v>
      </c>
      <c r="AN217" s="112">
        <f t="shared" si="50"/>
        <v>4941.40625</v>
      </c>
      <c r="AO217" s="112">
        <v>0</v>
      </c>
      <c r="AP217" s="112">
        <v>0</v>
      </c>
      <c r="AQ217" s="112">
        <v>0</v>
      </c>
      <c r="AR217" s="112">
        <v>15.625</v>
      </c>
      <c r="AS217" s="112">
        <v>0</v>
      </c>
      <c r="AT217" s="112">
        <v>0</v>
      </c>
      <c r="AU217" s="112">
        <v>4637.5600000000004</v>
      </c>
      <c r="AV217" s="112">
        <v>0</v>
      </c>
      <c r="AW217" s="112">
        <v>0</v>
      </c>
      <c r="AX217" s="112">
        <f t="shared" si="51"/>
        <v>3424.6575342465749</v>
      </c>
      <c r="AY217" s="112">
        <v>0</v>
      </c>
      <c r="AZ217" s="112">
        <v>0</v>
      </c>
      <c r="BA217" s="112">
        <v>0</v>
      </c>
      <c r="BB217" s="112">
        <v>0</v>
      </c>
      <c r="BC217" s="112">
        <v>0</v>
      </c>
      <c r="BD217" s="108">
        <f t="shared" si="54"/>
        <v>13019.248784246576</v>
      </c>
      <c r="BE217" s="108">
        <f t="shared" si="53"/>
        <v>13.019248784246576</v>
      </c>
    </row>
    <row r="218" spans="39:57" x14ac:dyDescent="0.3">
      <c r="AM218" s="114" t="s">
        <v>167</v>
      </c>
      <c r="AN218" s="112">
        <f t="shared" si="50"/>
        <v>4941.40625</v>
      </c>
      <c r="AO218" s="112">
        <v>0</v>
      </c>
      <c r="AP218" s="112">
        <v>0</v>
      </c>
      <c r="AQ218" s="112">
        <v>0</v>
      </c>
      <c r="AR218" s="112">
        <v>15.625</v>
      </c>
      <c r="AS218" s="112">
        <v>0</v>
      </c>
      <c r="AT218" s="112">
        <v>0</v>
      </c>
      <c r="AU218" s="112">
        <v>4637.5600000000004</v>
      </c>
      <c r="AV218" s="112">
        <v>0</v>
      </c>
      <c r="AW218" s="112">
        <v>0</v>
      </c>
      <c r="AX218" s="112">
        <f t="shared" si="51"/>
        <v>3424.6575342465749</v>
      </c>
      <c r="AY218" s="112">
        <v>0</v>
      </c>
      <c r="AZ218" s="112">
        <v>0</v>
      </c>
      <c r="BA218" s="112">
        <v>0</v>
      </c>
      <c r="BB218" s="112">
        <v>0</v>
      </c>
      <c r="BC218" s="112">
        <v>0</v>
      </c>
      <c r="BD218" s="108">
        <f t="shared" si="54"/>
        <v>13019.248784246576</v>
      </c>
      <c r="BE218" s="108">
        <f t="shared" si="53"/>
        <v>13.019248784246576</v>
      </c>
    </row>
    <row r="219" spans="39:57" x14ac:dyDescent="0.3">
      <c r="AM219" s="114" t="s">
        <v>168</v>
      </c>
      <c r="AN219" s="112">
        <f t="shared" si="50"/>
        <v>4941.40625</v>
      </c>
      <c r="AO219" s="112">
        <v>0</v>
      </c>
      <c r="AP219" s="112">
        <v>0</v>
      </c>
      <c r="AQ219" s="112">
        <v>0</v>
      </c>
      <c r="AR219" s="112">
        <v>15.625</v>
      </c>
      <c r="AS219" s="112">
        <v>0</v>
      </c>
      <c r="AT219" s="112">
        <v>0</v>
      </c>
      <c r="AU219" s="112">
        <v>4637.5600000000004</v>
      </c>
      <c r="AV219" s="112">
        <v>0</v>
      </c>
      <c r="AW219" s="112">
        <v>0</v>
      </c>
      <c r="AX219" s="112">
        <f t="shared" si="51"/>
        <v>3424.6575342465749</v>
      </c>
      <c r="AY219" s="112">
        <v>0</v>
      </c>
      <c r="AZ219" s="112">
        <f>(15000*0.033)</f>
        <v>495</v>
      </c>
      <c r="BA219" s="112">
        <v>0</v>
      </c>
      <c r="BB219" s="112">
        <v>0</v>
      </c>
      <c r="BC219" s="112">
        <v>0</v>
      </c>
      <c r="BD219" s="108">
        <f t="shared" si="54"/>
        <v>13514.248784246576</v>
      </c>
      <c r="BE219" s="108">
        <f t="shared" si="53"/>
        <v>13.514248784246575</v>
      </c>
    </row>
    <row r="220" spans="39:57" x14ac:dyDescent="0.3">
      <c r="AM220" s="114" t="s">
        <v>169</v>
      </c>
      <c r="AN220" s="112">
        <f t="shared" si="50"/>
        <v>4941.40625</v>
      </c>
      <c r="AO220" s="112">
        <v>7187.5</v>
      </c>
      <c r="AP220" s="112">
        <v>0</v>
      </c>
      <c r="AQ220" s="112">
        <v>0</v>
      </c>
      <c r="AR220" s="112">
        <v>15.625</v>
      </c>
      <c r="AS220" s="112">
        <v>0</v>
      </c>
      <c r="AT220" s="112">
        <v>0</v>
      </c>
      <c r="AU220" s="112">
        <v>4637.5600000000004</v>
      </c>
      <c r="AV220" s="112">
        <v>0</v>
      </c>
      <c r="AW220" s="112">
        <v>0</v>
      </c>
      <c r="AX220" s="112">
        <f t="shared" si="51"/>
        <v>3424.6575342465749</v>
      </c>
      <c r="AY220" s="112">
        <v>0</v>
      </c>
      <c r="AZ220" s="112">
        <v>0</v>
      </c>
      <c r="BA220" s="112">
        <v>0</v>
      </c>
      <c r="BB220" s="112">
        <v>250</v>
      </c>
      <c r="BC220" s="112">
        <v>0</v>
      </c>
      <c r="BD220" s="108">
        <f t="shared" si="54"/>
        <v>20456.748784246578</v>
      </c>
      <c r="BE220" s="108">
        <f t="shared" si="53"/>
        <v>20.456748784246578</v>
      </c>
    </row>
    <row r="221" spans="39:57" x14ac:dyDescent="0.3">
      <c r="AM221" s="114" t="s">
        <v>170</v>
      </c>
      <c r="AN221" s="112">
        <f t="shared" si="50"/>
        <v>4941.40625</v>
      </c>
      <c r="AO221" s="112">
        <v>0</v>
      </c>
      <c r="AP221" s="112">
        <f>(AP$7/2)</f>
        <v>10781.25</v>
      </c>
      <c r="AQ221" s="112">
        <v>0</v>
      </c>
      <c r="AR221" s="112">
        <v>15.625</v>
      </c>
      <c r="AS221" s="112">
        <v>0</v>
      </c>
      <c r="AT221" s="112">
        <v>0</v>
      </c>
      <c r="AU221" s="112">
        <v>0</v>
      </c>
      <c r="AV221" s="112">
        <v>0</v>
      </c>
      <c r="AW221" s="112">
        <v>0</v>
      </c>
      <c r="AX221" s="112">
        <f t="shared" si="51"/>
        <v>3424.6575342465749</v>
      </c>
      <c r="AY221" s="112">
        <v>0</v>
      </c>
      <c r="AZ221" s="112">
        <f>(15000*0.033)</f>
        <v>495</v>
      </c>
      <c r="BA221" s="112">
        <v>0</v>
      </c>
      <c r="BB221" s="112">
        <v>0</v>
      </c>
      <c r="BC221" s="112">
        <v>0</v>
      </c>
      <c r="BD221" s="108">
        <f t="shared" si="54"/>
        <v>19657.938784246573</v>
      </c>
      <c r="BE221" s="108">
        <f t="shared" si="53"/>
        <v>19.657938784246571</v>
      </c>
    </row>
    <row r="222" spans="39:57" x14ac:dyDescent="0.3">
      <c r="AM222" s="114" t="s">
        <v>171</v>
      </c>
      <c r="AN222" s="112">
        <f t="shared" si="50"/>
        <v>4941.40625</v>
      </c>
      <c r="AO222" s="112">
        <v>0</v>
      </c>
      <c r="AP222" s="112">
        <v>0</v>
      </c>
      <c r="AQ222" s="112">
        <v>0</v>
      </c>
      <c r="AR222" s="112">
        <v>15.625</v>
      </c>
      <c r="AS222" s="112">
        <v>0</v>
      </c>
      <c r="AT222" s="112">
        <v>0</v>
      </c>
      <c r="AU222" s="112">
        <v>0</v>
      </c>
      <c r="AV222" s="112">
        <v>0</v>
      </c>
      <c r="AW222" s="112">
        <v>0</v>
      </c>
      <c r="AX222" s="112">
        <f t="shared" si="51"/>
        <v>3424.6575342465749</v>
      </c>
      <c r="AY222" s="112">
        <v>0</v>
      </c>
      <c r="AZ222" s="112">
        <v>0</v>
      </c>
      <c r="BA222" s="112">
        <v>0</v>
      </c>
      <c r="BB222" s="112">
        <v>0</v>
      </c>
      <c r="BC222" s="112">
        <v>0</v>
      </c>
      <c r="BD222" s="108">
        <f t="shared" si="54"/>
        <v>8381.6887842465749</v>
      </c>
      <c r="BE222" s="108">
        <f t="shared" si="53"/>
        <v>8.3816887842465757</v>
      </c>
    </row>
    <row r="223" spans="39:57" x14ac:dyDescent="0.3">
      <c r="AM223" s="114" t="s">
        <v>172</v>
      </c>
      <c r="AN223" s="112">
        <f t="shared" si="50"/>
        <v>4941.40625</v>
      </c>
      <c r="AO223" s="112">
        <v>0</v>
      </c>
      <c r="AP223" s="112">
        <v>0</v>
      </c>
      <c r="AQ223" s="112">
        <v>0</v>
      </c>
      <c r="AR223" s="112">
        <v>15.625</v>
      </c>
      <c r="AS223" s="112">
        <v>0</v>
      </c>
      <c r="AT223" s="112">
        <v>0</v>
      </c>
      <c r="AU223" s="112">
        <v>0</v>
      </c>
      <c r="AV223" s="112">
        <v>0</v>
      </c>
      <c r="AW223" s="112">
        <v>0</v>
      </c>
      <c r="AX223" s="112">
        <f t="shared" si="51"/>
        <v>3424.6575342465749</v>
      </c>
      <c r="AY223" s="112">
        <v>0</v>
      </c>
      <c r="AZ223" s="112">
        <f>(15000*0.033)</f>
        <v>495</v>
      </c>
      <c r="BA223" s="112">
        <f>(2875/3)</f>
        <v>958.33333333333337</v>
      </c>
      <c r="BB223" s="112">
        <v>0</v>
      </c>
      <c r="BC223" s="112">
        <v>0</v>
      </c>
      <c r="BD223" s="108">
        <f t="shared" si="54"/>
        <v>9835.0221175799088</v>
      </c>
      <c r="BE223" s="108">
        <f t="shared" si="53"/>
        <v>9.8350221175799089</v>
      </c>
    </row>
    <row r="224" spans="39:57" x14ac:dyDescent="0.3">
      <c r="AM224" s="114" t="s">
        <v>173</v>
      </c>
      <c r="AN224" s="112">
        <f t="shared" si="50"/>
        <v>4941.40625</v>
      </c>
      <c r="AO224" s="112">
        <v>0</v>
      </c>
      <c r="AP224" s="112">
        <v>0</v>
      </c>
      <c r="AQ224" s="112">
        <v>0</v>
      </c>
      <c r="AR224" s="112">
        <v>15.625</v>
      </c>
      <c r="AS224" s="112">
        <v>0</v>
      </c>
      <c r="AT224" s="112">
        <v>335</v>
      </c>
      <c r="AU224" s="112">
        <v>0</v>
      </c>
      <c r="AV224" s="112">
        <v>0</v>
      </c>
      <c r="AW224" s="112">
        <v>0</v>
      </c>
      <c r="AX224" s="112">
        <f t="shared" si="51"/>
        <v>3424.6575342465749</v>
      </c>
      <c r="AY224" s="112">
        <v>0</v>
      </c>
      <c r="AZ224" s="112">
        <v>0</v>
      </c>
      <c r="BA224" s="112">
        <v>0</v>
      </c>
      <c r="BB224" s="112">
        <v>250</v>
      </c>
      <c r="BC224" s="112">
        <v>0</v>
      </c>
      <c r="BD224" s="108">
        <f t="shared" si="54"/>
        <v>8966.6887842465749</v>
      </c>
      <c r="BE224" s="108">
        <f t="shared" si="53"/>
        <v>8.9666887842465748</v>
      </c>
    </row>
    <row r="225" spans="39:57" x14ac:dyDescent="0.3">
      <c r="AM225" s="114" t="s">
        <v>174</v>
      </c>
      <c r="AN225" s="112">
        <f t="shared" si="50"/>
        <v>4941.40625</v>
      </c>
      <c r="AO225" s="112">
        <v>0</v>
      </c>
      <c r="AP225" s="112">
        <v>0</v>
      </c>
      <c r="AQ225" s="112">
        <v>0</v>
      </c>
      <c r="AR225" s="112">
        <v>15.625</v>
      </c>
      <c r="AS225" s="112">
        <v>0</v>
      </c>
      <c r="AT225" s="112">
        <v>0</v>
      </c>
      <c r="AU225" s="112">
        <v>0</v>
      </c>
      <c r="AV225" s="112">
        <v>0</v>
      </c>
      <c r="AW225" s="112">
        <v>0</v>
      </c>
      <c r="AX225" s="112">
        <f t="shared" si="51"/>
        <v>3424.6575342465749</v>
      </c>
      <c r="AY225" s="112">
        <v>0</v>
      </c>
      <c r="AZ225" s="112">
        <f>(15000*0.033)</f>
        <v>495</v>
      </c>
      <c r="BA225" s="112">
        <v>0</v>
      </c>
      <c r="BB225" s="112">
        <v>0</v>
      </c>
      <c r="BC225" s="112">
        <v>0</v>
      </c>
      <c r="BD225" s="108">
        <f t="shared" si="54"/>
        <v>8876.6887842465749</v>
      </c>
      <c r="BE225" s="108">
        <f t="shared" si="53"/>
        <v>8.8766887842465749</v>
      </c>
    </row>
    <row r="226" spans="39:57" x14ac:dyDescent="0.3">
      <c r="AM226" s="114" t="s">
        <v>175</v>
      </c>
      <c r="AN226" s="112">
        <f t="shared" si="50"/>
        <v>4941.40625</v>
      </c>
      <c r="AO226" s="112">
        <v>0</v>
      </c>
      <c r="AP226" s="112">
        <v>0</v>
      </c>
      <c r="AQ226" s="112">
        <v>0</v>
      </c>
      <c r="AR226" s="112">
        <v>15.625</v>
      </c>
      <c r="AS226" s="112">
        <v>0</v>
      </c>
      <c r="AT226" s="112">
        <v>0</v>
      </c>
      <c r="AU226" s="112">
        <v>0</v>
      </c>
      <c r="AV226" s="112">
        <v>0</v>
      </c>
      <c r="AW226" s="112">
        <v>0</v>
      </c>
      <c r="AX226" s="112">
        <f t="shared" si="51"/>
        <v>3424.6575342465749</v>
      </c>
      <c r="AY226" s="112">
        <v>0</v>
      </c>
      <c r="AZ226" s="112">
        <v>0</v>
      </c>
      <c r="BA226" s="112">
        <v>0</v>
      </c>
      <c r="BB226" s="112">
        <v>0</v>
      </c>
      <c r="BC226" s="112">
        <v>0</v>
      </c>
      <c r="BD226" s="108">
        <f t="shared" si="54"/>
        <v>8381.6887842465749</v>
      </c>
      <c r="BE226" s="108">
        <f t="shared" si="53"/>
        <v>8.3816887842465757</v>
      </c>
    </row>
    <row r="227" spans="39:57" x14ac:dyDescent="0.3">
      <c r="AM227" s="114">
        <v>1</v>
      </c>
      <c r="AN227" s="112">
        <f t="shared" si="50"/>
        <v>4941.40625</v>
      </c>
      <c r="AO227" s="112">
        <v>0</v>
      </c>
      <c r="AP227" s="112">
        <v>0</v>
      </c>
      <c r="AQ227" s="112">
        <v>0</v>
      </c>
      <c r="AR227" s="112">
        <v>15.625</v>
      </c>
      <c r="AS227" s="112">
        <v>0</v>
      </c>
      <c r="AT227" s="112">
        <v>335</v>
      </c>
      <c r="AU227" s="112">
        <v>0</v>
      </c>
      <c r="AV227" s="112">
        <v>0</v>
      </c>
      <c r="AW227" s="112">
        <f>(10000/4)</f>
        <v>2500</v>
      </c>
      <c r="AX227" s="112">
        <f t="shared" si="51"/>
        <v>3424.6575342465749</v>
      </c>
      <c r="AY227" s="112">
        <f>(47500/3)</f>
        <v>15833.333333333334</v>
      </c>
      <c r="AZ227" s="112">
        <f>(15000*0.033)</f>
        <v>495</v>
      </c>
      <c r="BA227" s="112">
        <f>(2875/3)</f>
        <v>958.33333333333337</v>
      </c>
      <c r="BB227" s="112">
        <v>0</v>
      </c>
      <c r="BC227" s="112"/>
      <c r="BD227" s="108">
        <f t="shared" si="54"/>
        <v>28503.355450913241</v>
      </c>
      <c r="BE227" s="108">
        <f t="shared" si="53"/>
        <v>28.50335545091324</v>
      </c>
    </row>
    <row r="228" spans="39:57" x14ac:dyDescent="0.3">
      <c r="AM228" s="114">
        <v>2</v>
      </c>
      <c r="AN228" s="112">
        <f t="shared" si="50"/>
        <v>4941.40625</v>
      </c>
      <c r="AO228" s="112">
        <v>0</v>
      </c>
      <c r="AP228" s="112">
        <v>0</v>
      </c>
      <c r="AQ228" s="112">
        <v>0</v>
      </c>
      <c r="AR228" s="112">
        <v>15.625</v>
      </c>
      <c r="AS228" s="112">
        <v>0</v>
      </c>
      <c r="AT228" s="112">
        <v>0</v>
      </c>
      <c r="AU228" s="112">
        <v>0</v>
      </c>
      <c r="AV228" s="112">
        <v>0</v>
      </c>
      <c r="AW228" s="112">
        <f>(10000/4)</f>
        <v>2500</v>
      </c>
      <c r="AX228" s="112">
        <f t="shared" si="51"/>
        <v>3424.6575342465749</v>
      </c>
      <c r="AY228" s="112">
        <v>0</v>
      </c>
      <c r="AZ228" s="112">
        <f>(15000*0.033)</f>
        <v>495</v>
      </c>
      <c r="BA228" s="112">
        <v>0</v>
      </c>
      <c r="BB228" s="112">
        <v>0</v>
      </c>
      <c r="BC228" s="112">
        <v>0</v>
      </c>
      <c r="BD228" s="108">
        <f t="shared" si="54"/>
        <v>11376.688784246575</v>
      </c>
      <c r="BE228" s="108">
        <f t="shared" si="53"/>
        <v>11.376688784246575</v>
      </c>
    </row>
    <row r="229" spans="39:57" x14ac:dyDescent="0.3">
      <c r="AM229" s="114">
        <v>3</v>
      </c>
      <c r="AN229" s="112">
        <f t="shared" si="50"/>
        <v>4941.40625</v>
      </c>
      <c r="AO229" s="112">
        <v>0</v>
      </c>
      <c r="AP229" s="112">
        <v>0</v>
      </c>
      <c r="AQ229" s="112">
        <v>0</v>
      </c>
      <c r="AR229" s="112">
        <v>15.625</v>
      </c>
      <c r="AS229" s="112">
        <v>0</v>
      </c>
      <c r="AT229" s="112">
        <v>0</v>
      </c>
      <c r="AU229" s="112">
        <v>0</v>
      </c>
      <c r="AV229" s="112">
        <v>0</v>
      </c>
      <c r="AW229" s="112">
        <v>0</v>
      </c>
      <c r="AX229" s="112">
        <f t="shared" si="51"/>
        <v>3424.6575342465749</v>
      </c>
      <c r="AY229" s="112">
        <v>0</v>
      </c>
      <c r="AZ229" s="112">
        <v>0</v>
      </c>
      <c r="BA229" s="112">
        <v>0</v>
      </c>
      <c r="BB229" s="112">
        <v>0</v>
      </c>
      <c r="BC229" s="112">
        <f>(AX$17/3)</f>
        <v>23541.666666666668</v>
      </c>
      <c r="BD229" s="108">
        <f t="shared" si="54"/>
        <v>31923.355450913245</v>
      </c>
      <c r="BE229" s="108">
        <f t="shared" si="53"/>
        <v>31.923355450913245</v>
      </c>
    </row>
    <row r="230" spans="39:57" x14ac:dyDescent="0.3">
      <c r="AM230" s="114">
        <v>4</v>
      </c>
      <c r="AN230" s="112">
        <f t="shared" si="50"/>
        <v>4941.40625</v>
      </c>
      <c r="AO230" s="112">
        <v>0</v>
      </c>
      <c r="AP230" s="112">
        <v>0</v>
      </c>
      <c r="AQ230" s="112">
        <v>0</v>
      </c>
      <c r="AR230" s="112">
        <v>15.625</v>
      </c>
      <c r="AS230" s="112">
        <v>0</v>
      </c>
      <c r="AT230" s="112">
        <v>335</v>
      </c>
      <c r="AU230" s="112">
        <v>0</v>
      </c>
      <c r="AV230" s="112">
        <v>0</v>
      </c>
      <c r="AW230" s="112">
        <v>0</v>
      </c>
      <c r="AX230" s="112">
        <f t="shared" si="51"/>
        <v>3424.6575342465749</v>
      </c>
      <c r="AY230" s="112">
        <v>0</v>
      </c>
      <c r="AZ230" s="112">
        <v>0</v>
      </c>
      <c r="BA230" s="112">
        <v>0</v>
      </c>
      <c r="BB230" s="112">
        <v>250</v>
      </c>
      <c r="BC230" s="112">
        <v>0</v>
      </c>
      <c r="BD230" s="108">
        <f t="shared" si="54"/>
        <v>8966.6887842465749</v>
      </c>
      <c r="BE230" s="108">
        <f t="shared" si="53"/>
        <v>8.9666887842465748</v>
      </c>
    </row>
    <row r="231" spans="39:57" x14ac:dyDescent="0.3">
      <c r="AM231" s="114">
        <v>5</v>
      </c>
      <c r="AN231" s="112">
        <f t="shared" si="50"/>
        <v>4941.40625</v>
      </c>
      <c r="AO231" s="112">
        <v>0</v>
      </c>
      <c r="AP231" s="112">
        <v>0</v>
      </c>
      <c r="AQ231" s="112">
        <v>0</v>
      </c>
      <c r="AR231" s="112">
        <v>15.625</v>
      </c>
      <c r="AS231" s="112">
        <v>0</v>
      </c>
      <c r="AT231" s="112">
        <v>0</v>
      </c>
      <c r="AU231" s="112">
        <f>4637.56*0.2</f>
        <v>927.51200000000017</v>
      </c>
      <c r="AV231" s="112">
        <f>1150*0.2</f>
        <v>230</v>
      </c>
      <c r="AW231" s="112">
        <v>0</v>
      </c>
      <c r="AX231" s="112">
        <f t="shared" si="51"/>
        <v>3424.6575342465749</v>
      </c>
      <c r="AY231" s="112">
        <f>(47500/3)</f>
        <v>15833.333333333334</v>
      </c>
      <c r="AZ231" s="112">
        <f>(15000*0.033)</f>
        <v>495</v>
      </c>
      <c r="BA231" s="112">
        <v>0</v>
      </c>
      <c r="BB231" s="112">
        <v>0</v>
      </c>
      <c r="BC231" s="112">
        <v>0</v>
      </c>
      <c r="BD231" s="108">
        <f t="shared" si="54"/>
        <v>25867.534117579911</v>
      </c>
      <c r="BE231" s="108">
        <f t="shared" si="53"/>
        <v>25.867534117579911</v>
      </c>
    </row>
    <row r="232" spans="39:57" x14ac:dyDescent="0.3">
      <c r="AP232" s="106"/>
      <c r="BC232" s="108" t="s">
        <v>111</v>
      </c>
      <c r="BD232" s="108">
        <f>SUM(BD208:BD231)</f>
        <v>454006.32282191771</v>
      </c>
      <c r="BE232" s="109">
        <f t="shared" si="53"/>
        <v>454.00632282191771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37B3-E833-5946-87F9-555D27920B80}">
  <dimension ref="A1:B23"/>
  <sheetViews>
    <sheetView topLeftCell="A12" workbookViewId="0">
      <selection activeCell="B23" sqref="B23"/>
    </sheetView>
  </sheetViews>
  <sheetFormatPr defaultColWidth="11.19921875" defaultRowHeight="15.6" x14ac:dyDescent="0.3"/>
  <cols>
    <col min="2" max="2" width="65.69921875" style="103" customWidth="1"/>
  </cols>
  <sheetData>
    <row r="1" spans="1:2" x14ac:dyDescent="0.3">
      <c r="A1" s="68" t="s">
        <v>92</v>
      </c>
    </row>
    <row r="3" spans="1:2" x14ac:dyDescent="0.3">
      <c r="A3" t="s">
        <v>93</v>
      </c>
    </row>
    <row r="5" spans="1:2" x14ac:dyDescent="0.3">
      <c r="A5" s="68" t="s">
        <v>101</v>
      </c>
      <c r="B5" s="103" t="s">
        <v>102</v>
      </c>
    </row>
    <row r="6" spans="1:2" ht="31.2" x14ac:dyDescent="0.3">
      <c r="A6" s="68" t="s">
        <v>94</v>
      </c>
      <c r="B6" s="103" t="s">
        <v>95</v>
      </c>
    </row>
    <row r="7" spans="1:2" ht="46.8" x14ac:dyDescent="0.3">
      <c r="A7" s="68" t="s">
        <v>47</v>
      </c>
      <c r="B7" s="103" t="s">
        <v>109</v>
      </c>
    </row>
    <row r="9" spans="1:2" x14ac:dyDescent="0.3">
      <c r="A9" s="68" t="s">
        <v>98</v>
      </c>
      <c r="B9" s="103" t="s">
        <v>99</v>
      </c>
    </row>
    <row r="11" spans="1:2" ht="62.4" x14ac:dyDescent="0.3">
      <c r="A11" s="68" t="s">
        <v>1</v>
      </c>
      <c r="B11" s="103" t="s">
        <v>100</v>
      </c>
    </row>
    <row r="13" spans="1:2" ht="31.2" x14ac:dyDescent="0.3">
      <c r="A13" s="68" t="s">
        <v>96</v>
      </c>
      <c r="B13" s="103" t="s">
        <v>97</v>
      </c>
    </row>
    <row r="16" spans="1:2" x14ac:dyDescent="0.3">
      <c r="A16" s="68" t="s">
        <v>110</v>
      </c>
    </row>
    <row r="18" spans="1:2" x14ac:dyDescent="0.3">
      <c r="A18" s="68" t="s">
        <v>103</v>
      </c>
      <c r="B18" s="103" t="s">
        <v>104</v>
      </c>
    </row>
    <row r="19" spans="1:2" ht="31.2" x14ac:dyDescent="0.3">
      <c r="A19" s="68" t="s">
        <v>105</v>
      </c>
      <c r="B19" s="103" t="s">
        <v>106</v>
      </c>
    </row>
    <row r="20" spans="1:2" ht="31.2" x14ac:dyDescent="0.3">
      <c r="A20" s="68" t="s">
        <v>107</v>
      </c>
      <c r="B20" s="103" t="s">
        <v>108</v>
      </c>
    </row>
    <row r="21" spans="1:2" ht="46.8" x14ac:dyDescent="0.3">
      <c r="A21" s="68" t="s">
        <v>112</v>
      </c>
      <c r="B21" s="103" t="s">
        <v>186</v>
      </c>
    </row>
    <row r="22" spans="1:2" ht="31.2" x14ac:dyDescent="0.3">
      <c r="A22" s="68" t="s">
        <v>189</v>
      </c>
      <c r="B22" s="103" t="s">
        <v>190</v>
      </c>
    </row>
    <row r="23" spans="1:2" ht="31.2" x14ac:dyDescent="0.3">
      <c r="A23" s="68" t="s">
        <v>114</v>
      </c>
      <c r="B23" s="103" t="s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6A8A-EA0A-4CF1-BE21-1748A7FBB63D}">
  <dimension ref="A2:AB39"/>
  <sheetViews>
    <sheetView topLeftCell="C5" zoomScale="85" zoomScaleNormal="85" workbookViewId="0">
      <selection activeCell="F9" sqref="F9"/>
    </sheetView>
  </sheetViews>
  <sheetFormatPr defaultRowHeight="14.4" x14ac:dyDescent="0.3"/>
  <cols>
    <col min="1" max="1" width="16.59765625" style="149" customWidth="1"/>
    <col min="2" max="2" width="9.796875" style="149" customWidth="1"/>
    <col min="3" max="3" width="8.796875" style="149"/>
    <col min="4" max="4" width="10.796875" style="149" bestFit="1" customWidth="1"/>
    <col min="5" max="16384" width="8.796875" style="149"/>
  </cols>
  <sheetData>
    <row r="2" spans="1:28" x14ac:dyDescent="0.3">
      <c r="Q2" s="149" t="s">
        <v>254</v>
      </c>
      <c r="U2" s="149" t="s">
        <v>253</v>
      </c>
      <c r="Y2" s="149" t="s">
        <v>252</v>
      </c>
    </row>
    <row r="3" spans="1:28" ht="15.6" x14ac:dyDescent="0.3">
      <c r="A3" s="152" t="s">
        <v>242</v>
      </c>
      <c r="P3" s="149" t="s">
        <v>210</v>
      </c>
      <c r="Q3" s="149">
        <v>0</v>
      </c>
      <c r="R3" s="149">
        <v>6</v>
      </c>
      <c r="S3" s="149">
        <v>12</v>
      </c>
      <c r="T3" s="149">
        <v>18</v>
      </c>
      <c r="U3" s="149">
        <v>0</v>
      </c>
      <c r="V3" s="149">
        <v>6</v>
      </c>
      <c r="W3" s="149">
        <v>12</v>
      </c>
      <c r="X3" s="149">
        <v>18</v>
      </c>
      <c r="Y3" s="149">
        <v>0</v>
      </c>
      <c r="Z3" s="149">
        <v>6</v>
      </c>
      <c r="AA3" s="149">
        <v>12</v>
      </c>
      <c r="AB3" s="149">
        <v>18</v>
      </c>
    </row>
    <row r="4" spans="1:28" ht="15.6" x14ac:dyDescent="0.3">
      <c r="A4" s="152" t="s">
        <v>240</v>
      </c>
      <c r="B4" s="152" t="s">
        <v>251</v>
      </c>
      <c r="P4" s="149" t="s">
        <v>198</v>
      </c>
      <c r="Q4" s="149">
        <v>5.6</v>
      </c>
      <c r="R4" s="149">
        <v>5.8</v>
      </c>
      <c r="S4" s="149">
        <v>6.2</v>
      </c>
      <c r="T4" s="149">
        <v>6.6</v>
      </c>
      <c r="U4" s="149">
        <v>7.15</v>
      </c>
      <c r="V4" s="149">
        <v>8.4</v>
      </c>
      <c r="W4" s="149">
        <v>5.8</v>
      </c>
      <c r="X4" s="149">
        <v>5.6</v>
      </c>
      <c r="Y4" s="149">
        <v>9.8000000000000007</v>
      </c>
      <c r="Z4" s="149">
        <v>12.4</v>
      </c>
      <c r="AA4" s="149">
        <v>12</v>
      </c>
      <c r="AB4" s="149">
        <v>9.8000000000000007</v>
      </c>
    </row>
    <row r="5" spans="1:28" ht="15.6" x14ac:dyDescent="0.3">
      <c r="A5" s="152" t="s">
        <v>238</v>
      </c>
      <c r="B5" s="152">
        <v>165</v>
      </c>
      <c r="D5" s="149" t="s">
        <v>250</v>
      </c>
      <c r="P5" s="149" t="s">
        <v>199</v>
      </c>
      <c r="Q5" s="149">
        <v>4</v>
      </c>
      <c r="R5" s="149">
        <v>5</v>
      </c>
      <c r="S5" s="149">
        <v>6.2</v>
      </c>
      <c r="T5" s="149">
        <v>7.1</v>
      </c>
      <c r="U5" s="149">
        <v>8.9</v>
      </c>
      <c r="V5" s="149">
        <v>10.7</v>
      </c>
      <c r="W5" s="149">
        <v>10.7</v>
      </c>
      <c r="X5" s="149">
        <v>10.7</v>
      </c>
      <c r="Y5" s="149">
        <v>10.7</v>
      </c>
      <c r="Z5" s="149">
        <v>10.7</v>
      </c>
      <c r="AA5" s="149">
        <v>8.9</v>
      </c>
      <c r="AB5" s="149">
        <v>8</v>
      </c>
    </row>
    <row r="6" spans="1:28" ht="15.6" x14ac:dyDescent="0.3">
      <c r="A6" s="152" t="s">
        <v>237</v>
      </c>
      <c r="B6" s="152" t="s">
        <v>249</v>
      </c>
      <c r="D6" s="153" t="s">
        <v>248</v>
      </c>
      <c r="E6" s="152"/>
      <c r="F6" s="153"/>
      <c r="P6" s="149" t="s">
        <v>200</v>
      </c>
      <c r="Q6" s="149">
        <v>5</v>
      </c>
      <c r="R6" s="149">
        <v>5</v>
      </c>
      <c r="S6" s="149">
        <v>7.5</v>
      </c>
      <c r="T6" s="149">
        <v>4</v>
      </c>
      <c r="U6" s="149">
        <v>8</v>
      </c>
      <c r="V6" s="149">
        <v>8.4</v>
      </c>
      <c r="W6" s="149">
        <v>10.7</v>
      </c>
      <c r="X6" s="149">
        <v>8.4</v>
      </c>
      <c r="Y6" s="149">
        <v>7.5</v>
      </c>
      <c r="Z6" s="149">
        <v>6.7</v>
      </c>
      <c r="AA6" s="149">
        <v>8.4</v>
      </c>
      <c r="AB6" s="149">
        <v>7.6</v>
      </c>
    </row>
    <row r="7" spans="1:28" ht="15.6" x14ac:dyDescent="0.3">
      <c r="A7" s="152" t="s">
        <v>235</v>
      </c>
      <c r="B7" s="152">
        <v>7</v>
      </c>
      <c r="C7" s="152"/>
      <c r="P7" s="149" t="s">
        <v>247</v>
      </c>
      <c r="Q7" s="149">
        <v>5.3</v>
      </c>
      <c r="R7" s="149">
        <v>6</v>
      </c>
      <c r="S7" s="149">
        <v>7.2</v>
      </c>
      <c r="T7" s="149">
        <v>5.7</v>
      </c>
      <c r="U7" s="149">
        <v>4.5999999999999996</v>
      </c>
      <c r="V7" s="149">
        <v>6</v>
      </c>
      <c r="W7" s="149">
        <v>6</v>
      </c>
      <c r="X7" s="149">
        <v>6</v>
      </c>
      <c r="Y7" s="149">
        <v>9.6</v>
      </c>
      <c r="Z7" s="149">
        <v>9.6</v>
      </c>
      <c r="AA7" s="149">
        <v>8.4</v>
      </c>
      <c r="AB7" s="149">
        <v>4</v>
      </c>
    </row>
    <row r="8" spans="1:28" ht="15.6" x14ac:dyDescent="0.3">
      <c r="A8" s="152" t="s">
        <v>229</v>
      </c>
      <c r="B8" s="152">
        <v>3100</v>
      </c>
      <c r="C8" s="152"/>
      <c r="P8" s="149" t="s">
        <v>246</v>
      </c>
      <c r="Q8" s="149">
        <v>10.7</v>
      </c>
      <c r="R8" s="149">
        <v>10.7</v>
      </c>
      <c r="S8" s="149">
        <v>9.8000000000000007</v>
      </c>
      <c r="T8" s="149">
        <v>7.6</v>
      </c>
      <c r="U8" s="149">
        <v>7.6</v>
      </c>
      <c r="V8" s="149">
        <v>9.8000000000000007</v>
      </c>
      <c r="W8" s="149">
        <v>7</v>
      </c>
      <c r="X8" s="149">
        <v>7</v>
      </c>
      <c r="Y8" s="149">
        <v>5</v>
      </c>
      <c r="Z8" s="149">
        <v>4</v>
      </c>
      <c r="AA8" s="149">
        <v>7</v>
      </c>
      <c r="AB8" s="149">
        <v>6</v>
      </c>
    </row>
    <row r="9" spans="1:28" ht="16.2" x14ac:dyDescent="0.3">
      <c r="A9" s="149" t="s">
        <v>234</v>
      </c>
      <c r="C9" s="149">
        <v>1.2</v>
      </c>
      <c r="P9" s="149" t="s">
        <v>245</v>
      </c>
      <c r="Q9" s="149">
        <v>5</v>
      </c>
      <c r="R9" s="149">
        <v>5.4</v>
      </c>
      <c r="S9" s="149">
        <v>7</v>
      </c>
      <c r="T9" s="149">
        <v>5</v>
      </c>
      <c r="U9" s="149">
        <v>6</v>
      </c>
      <c r="V9" s="149">
        <v>7</v>
      </c>
      <c r="W9" s="149">
        <v>8</v>
      </c>
      <c r="X9" s="149">
        <v>5</v>
      </c>
      <c r="Y9" s="149">
        <v>5</v>
      </c>
      <c r="Z9" s="149">
        <v>7.4</v>
      </c>
      <c r="AA9" s="149">
        <v>7.9</v>
      </c>
      <c r="AB9" s="149">
        <v>6</v>
      </c>
    </row>
    <row r="10" spans="1:28" ht="16.2" x14ac:dyDescent="0.3">
      <c r="A10" s="149" t="s">
        <v>233</v>
      </c>
      <c r="B10" s="149" t="s">
        <v>232</v>
      </c>
      <c r="C10" s="149">
        <f>(3.14*B5*B5)/4</f>
        <v>21371.625</v>
      </c>
      <c r="P10" s="149" t="s">
        <v>204</v>
      </c>
    </row>
    <row r="11" spans="1:28" x14ac:dyDescent="0.3">
      <c r="A11" s="149" t="s">
        <v>231</v>
      </c>
      <c r="C11" s="149">
        <f>(C9*C10*B7*B7*B7)/2</f>
        <v>4398280.4249999998</v>
      </c>
      <c r="P11" s="149" t="s">
        <v>244</v>
      </c>
    </row>
    <row r="12" spans="1:28" x14ac:dyDescent="0.3">
      <c r="A12" s="149" t="s">
        <v>230</v>
      </c>
      <c r="C12" s="149">
        <v>0.4</v>
      </c>
      <c r="P12" s="149" t="s">
        <v>243</v>
      </c>
    </row>
    <row r="13" spans="1:28" x14ac:dyDescent="0.3">
      <c r="A13" s="149" t="s">
        <v>228</v>
      </c>
      <c r="C13" s="149">
        <f>C11*C12</f>
        <v>1759312.17</v>
      </c>
      <c r="P13" s="149" t="s">
        <v>206</v>
      </c>
    </row>
    <row r="14" spans="1:28" ht="15.6" x14ac:dyDescent="0.3">
      <c r="A14" s="152" t="s">
        <v>228</v>
      </c>
      <c r="B14" s="152">
        <f>C11*C12</f>
        <v>1759312.17</v>
      </c>
      <c r="C14" s="152"/>
      <c r="D14" s="149">
        <f>B14*B8</f>
        <v>5453867727</v>
      </c>
      <c r="P14" s="149" t="s">
        <v>207</v>
      </c>
    </row>
    <row r="15" spans="1:28" ht="15.6" x14ac:dyDescent="0.3">
      <c r="A15" s="151" t="s">
        <v>227</v>
      </c>
      <c r="B15" s="151"/>
      <c r="C15" s="151"/>
      <c r="D15" s="149">
        <f>D14/1000000</f>
        <v>5453.8677269999998</v>
      </c>
      <c r="P15" s="149" t="s">
        <v>208</v>
      </c>
    </row>
    <row r="16" spans="1:28" x14ac:dyDescent="0.3">
      <c r="D16" s="149">
        <f>(D15/1000)</f>
        <v>5.4538677269999996</v>
      </c>
      <c r="E16" s="149">
        <f>(D16*24)</f>
        <v>130.892825448</v>
      </c>
    </row>
    <row r="17" spans="1:5" x14ac:dyDescent="0.3">
      <c r="E17" s="149">
        <f>(E16*365)</f>
        <v>47775.881288520002</v>
      </c>
    </row>
    <row r="22" spans="1:5" ht="15.6" x14ac:dyDescent="0.3">
      <c r="A22" s="152" t="s">
        <v>242</v>
      </c>
      <c r="D22" s="153" t="s">
        <v>241</v>
      </c>
    </row>
    <row r="23" spans="1:5" ht="15.6" x14ac:dyDescent="0.3">
      <c r="A23" s="152" t="s">
        <v>240</v>
      </c>
      <c r="B23" s="152" t="s">
        <v>239</v>
      </c>
    </row>
    <row r="24" spans="1:5" ht="15.6" x14ac:dyDescent="0.3">
      <c r="A24" s="152" t="s">
        <v>238</v>
      </c>
      <c r="B24" s="152">
        <v>220</v>
      </c>
    </row>
    <row r="25" spans="1:5" ht="15.6" x14ac:dyDescent="0.3">
      <c r="A25" s="152" t="s">
        <v>237</v>
      </c>
      <c r="B25" s="152" t="s">
        <v>236</v>
      </c>
      <c r="C25" s="152"/>
    </row>
    <row r="26" spans="1:5" ht="15.6" x14ac:dyDescent="0.3">
      <c r="A26" s="152" t="s">
        <v>235</v>
      </c>
      <c r="B26" s="152">
        <v>8.5</v>
      </c>
      <c r="C26" s="152"/>
    </row>
    <row r="27" spans="1:5" ht="16.2" x14ac:dyDescent="0.3">
      <c r="A27" s="149" t="s">
        <v>234</v>
      </c>
      <c r="C27" s="149">
        <v>1.2</v>
      </c>
    </row>
    <row r="28" spans="1:5" ht="16.2" x14ac:dyDescent="0.3">
      <c r="A28" s="149" t="s">
        <v>233</v>
      </c>
      <c r="B28" s="149" t="s">
        <v>232</v>
      </c>
      <c r="C28" s="149">
        <f>(3.14*B24*B24)/4</f>
        <v>37994.000000000007</v>
      </c>
    </row>
    <row r="29" spans="1:5" x14ac:dyDescent="0.3">
      <c r="A29" s="149" t="s">
        <v>231</v>
      </c>
      <c r="C29" s="149">
        <f>(C27*C28*B26*B26*B26)/2</f>
        <v>13999839.150000002</v>
      </c>
    </row>
    <row r="30" spans="1:5" x14ac:dyDescent="0.3">
      <c r="A30" s="149" t="s">
        <v>230</v>
      </c>
      <c r="C30" s="149">
        <v>0.4</v>
      </c>
    </row>
    <row r="31" spans="1:5" x14ac:dyDescent="0.3">
      <c r="A31" s="149" t="s">
        <v>228</v>
      </c>
      <c r="C31" s="149">
        <f>C29*C30</f>
        <v>5599935.6600000011</v>
      </c>
    </row>
    <row r="32" spans="1:5" ht="15.6" x14ac:dyDescent="0.3">
      <c r="A32" s="152" t="s">
        <v>229</v>
      </c>
      <c r="B32" s="152">
        <v>876</v>
      </c>
      <c r="C32" s="152"/>
    </row>
    <row r="33" spans="1:4" ht="15.6" x14ac:dyDescent="0.3">
      <c r="A33" s="152" t="s">
        <v>228</v>
      </c>
      <c r="B33" s="152">
        <f>C29*C30</f>
        <v>5599935.6600000011</v>
      </c>
      <c r="C33" s="152"/>
      <c r="D33" s="149">
        <f>B33*B32</f>
        <v>4905543638.1600008</v>
      </c>
    </row>
    <row r="34" spans="1:4" ht="15.6" x14ac:dyDescent="0.3">
      <c r="A34" s="151" t="s">
        <v>227</v>
      </c>
      <c r="B34" s="151"/>
      <c r="C34" s="151"/>
      <c r="D34" s="149">
        <f>D33/1000000</f>
        <v>4905.5436381600011</v>
      </c>
    </row>
    <row r="39" spans="1:4" x14ac:dyDescent="0.3">
      <c r="A39" s="150"/>
      <c r="B39" s="150"/>
      <c r="C39" s="150"/>
    </row>
  </sheetData>
  <hyperlinks>
    <hyperlink ref="D6" r:id="rId1" xr:uid="{3C0865FA-A50A-4FBB-8CF4-576E9A150C7F}"/>
    <hyperlink ref="D22" r:id="rId2" xr:uid="{6BD750BB-67D5-4203-A0D3-C1E8D330B9EF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8F38-FD06-4435-BECC-00007EC8F58E}">
  <dimension ref="A1:P71"/>
  <sheetViews>
    <sheetView zoomScale="12" zoomScaleNormal="85" workbookViewId="0">
      <selection activeCell="AA193" sqref="AA193"/>
    </sheetView>
  </sheetViews>
  <sheetFormatPr defaultRowHeight="14.4" x14ac:dyDescent="0.3"/>
  <cols>
    <col min="1" max="1" width="19.3984375" style="154" customWidth="1"/>
    <col min="2" max="4" width="8" style="154" customWidth="1"/>
    <col min="5" max="5" width="10.8984375" style="154" customWidth="1"/>
    <col min="6" max="6" width="16.19921875" style="154" customWidth="1"/>
    <col min="7" max="7" width="9.8984375" style="154" customWidth="1"/>
    <col min="8" max="8" width="12.5" style="154" customWidth="1"/>
    <col min="9" max="9" width="12.19921875" style="154" customWidth="1"/>
    <col min="10" max="10" width="17.09765625" style="154" bestFit="1" customWidth="1"/>
    <col min="11" max="11" width="8" style="154" customWidth="1"/>
    <col min="12" max="12" width="22.69921875" style="154" customWidth="1"/>
    <col min="13" max="13" width="14" style="154" customWidth="1"/>
    <col min="14" max="14" width="13.09765625" style="154" bestFit="1" customWidth="1"/>
    <col min="15" max="16" width="14.09765625" style="154" customWidth="1"/>
    <col min="17" max="16384" width="8.796875" style="154"/>
  </cols>
  <sheetData>
    <row r="1" spans="1:16" x14ac:dyDescent="0.3">
      <c r="A1" s="154" t="s">
        <v>331</v>
      </c>
      <c r="B1" s="154" t="s">
        <v>330</v>
      </c>
      <c r="C1" s="154" t="s">
        <v>329</v>
      </c>
      <c r="D1" s="154" t="s">
        <v>328</v>
      </c>
      <c r="E1" s="154" t="s">
        <v>327</v>
      </c>
      <c r="F1" s="154" t="s">
        <v>326</v>
      </c>
      <c r="G1" s="154" t="s">
        <v>325</v>
      </c>
      <c r="H1" s="154" t="s">
        <v>324</v>
      </c>
      <c r="I1" s="154" t="s">
        <v>323</v>
      </c>
      <c r="J1" s="154" t="s">
        <v>322</v>
      </c>
      <c r="L1" s="154" t="s">
        <v>346</v>
      </c>
      <c r="M1" s="154" t="s">
        <v>345</v>
      </c>
      <c r="N1" s="154" t="s">
        <v>344</v>
      </c>
      <c r="O1" s="154" t="s">
        <v>343</v>
      </c>
    </row>
    <row r="2" spans="1:16" x14ac:dyDescent="0.3">
      <c r="A2" s="154" t="s">
        <v>316</v>
      </c>
      <c r="C2" s="154" t="s">
        <v>315</v>
      </c>
      <c r="D2" s="154">
        <v>86</v>
      </c>
      <c r="E2" s="154">
        <v>558647</v>
      </c>
      <c r="F2" s="154">
        <v>661742</v>
      </c>
      <c r="G2" s="154">
        <v>30</v>
      </c>
      <c r="H2" s="154">
        <v>180</v>
      </c>
      <c r="J2" s="169">
        <v>10400</v>
      </c>
      <c r="L2" s="154">
        <v>332</v>
      </c>
      <c r="M2" s="154">
        <v>509.5</v>
      </c>
      <c r="N2" s="154">
        <v>250</v>
      </c>
      <c r="O2" s="154">
        <v>35</v>
      </c>
      <c r="P2" s="154">
        <v>3</v>
      </c>
    </row>
    <row r="3" spans="1:16" x14ac:dyDescent="0.3">
      <c r="A3" s="154" t="s">
        <v>314</v>
      </c>
      <c r="C3" s="154" t="s">
        <v>313</v>
      </c>
      <c r="D3" s="154">
        <v>45</v>
      </c>
      <c r="E3" s="154">
        <v>588750</v>
      </c>
      <c r="F3" s="154">
        <v>861241</v>
      </c>
      <c r="G3" s="154">
        <v>29</v>
      </c>
      <c r="H3" s="154">
        <v>93</v>
      </c>
      <c r="I3" s="154" t="s">
        <v>312</v>
      </c>
      <c r="J3" s="169">
        <v>4350</v>
      </c>
      <c r="L3" s="154">
        <v>206</v>
      </c>
      <c r="M3" s="154">
        <v>370.8</v>
      </c>
      <c r="N3" s="154">
        <v>200</v>
      </c>
      <c r="O3" s="154">
        <v>35</v>
      </c>
    </row>
    <row r="4" spans="1:16" x14ac:dyDescent="0.3">
      <c r="A4" s="154" t="s">
        <v>311</v>
      </c>
      <c r="C4" s="154">
        <v>1944</v>
      </c>
      <c r="D4" s="154">
        <v>34.18</v>
      </c>
      <c r="E4" s="154">
        <v>694892</v>
      </c>
      <c r="F4" s="154">
        <v>708644</v>
      </c>
      <c r="G4" s="154" t="s">
        <v>310</v>
      </c>
      <c r="H4" s="154" t="s">
        <v>309</v>
      </c>
      <c r="J4" s="169">
        <v>312312854</v>
      </c>
      <c r="L4" s="154">
        <v>47</v>
      </c>
      <c r="M4" s="154">
        <v>82.5</v>
      </c>
      <c r="N4" s="154">
        <v>150</v>
      </c>
      <c r="O4" s="154" t="s">
        <v>342</v>
      </c>
    </row>
    <row r="5" spans="1:16" x14ac:dyDescent="0.3">
      <c r="A5" s="154" t="s">
        <v>308</v>
      </c>
      <c r="C5" s="154" t="s">
        <v>307</v>
      </c>
      <c r="D5" s="154">
        <v>20</v>
      </c>
      <c r="E5" s="154">
        <v>593424</v>
      </c>
      <c r="F5" s="154">
        <v>859895</v>
      </c>
      <c r="G5" s="154">
        <v>29</v>
      </c>
      <c r="H5" s="154">
        <v>93</v>
      </c>
      <c r="I5" s="154">
        <v>1200</v>
      </c>
      <c r="J5" s="169">
        <v>7.1</v>
      </c>
      <c r="L5" s="154">
        <v>65</v>
      </c>
      <c r="M5" s="154">
        <v>175.5</v>
      </c>
      <c r="N5" s="154">
        <v>200</v>
      </c>
      <c r="O5" s="154">
        <v>35</v>
      </c>
    </row>
    <row r="6" spans="1:16" x14ac:dyDescent="0.3">
      <c r="A6" s="154" t="s">
        <v>306</v>
      </c>
      <c r="C6" s="154">
        <v>1952</v>
      </c>
      <c r="D6" s="154">
        <v>19</v>
      </c>
      <c r="E6" s="154">
        <v>554485</v>
      </c>
      <c r="F6" s="154">
        <v>572176</v>
      </c>
      <c r="G6" s="154">
        <v>29.4</v>
      </c>
      <c r="H6" s="154">
        <v>40.4</v>
      </c>
      <c r="I6" s="154">
        <v>1524</v>
      </c>
      <c r="J6" s="169">
        <v>1253</v>
      </c>
      <c r="L6" s="154">
        <v>56</v>
      </c>
      <c r="M6" s="154">
        <v>117.89</v>
      </c>
      <c r="N6" s="154">
        <v>70</v>
      </c>
      <c r="O6" s="154">
        <v>35</v>
      </c>
    </row>
    <row r="7" spans="1:16" x14ac:dyDescent="0.3">
      <c r="A7" s="154" t="s">
        <v>305</v>
      </c>
      <c r="C7" s="154">
        <v>1952</v>
      </c>
      <c r="D7" s="154">
        <v>8</v>
      </c>
      <c r="E7" s="154">
        <v>540582</v>
      </c>
      <c r="F7" s="154">
        <v>571965</v>
      </c>
      <c r="G7" s="154">
        <v>13.55</v>
      </c>
      <c r="H7" s="154">
        <v>151</v>
      </c>
      <c r="I7" s="154">
        <v>1524</v>
      </c>
      <c r="L7" s="154">
        <v>21</v>
      </c>
      <c r="M7" s="154">
        <v>41.106999999999999</v>
      </c>
      <c r="N7" s="154">
        <v>200</v>
      </c>
      <c r="O7" s="154">
        <v>25</v>
      </c>
    </row>
    <row r="8" spans="1:16" x14ac:dyDescent="0.3">
      <c r="A8" s="154" t="s">
        <v>283</v>
      </c>
      <c r="B8" s="154" t="s">
        <v>304</v>
      </c>
      <c r="C8" s="154" t="s">
        <v>303</v>
      </c>
      <c r="D8" s="154">
        <v>4.3</v>
      </c>
      <c r="E8" s="154">
        <v>582638</v>
      </c>
      <c r="F8" s="154">
        <v>921185</v>
      </c>
      <c r="L8" s="154">
        <f>SUM(L2:L7)</f>
        <v>727</v>
      </c>
      <c r="M8" s="154">
        <f>SUM(M2:M7)</f>
        <v>1297.297</v>
      </c>
    </row>
    <row r="9" spans="1:16" x14ac:dyDescent="0.3">
      <c r="A9" s="154" t="s">
        <v>302</v>
      </c>
      <c r="B9" s="154" t="s">
        <v>301</v>
      </c>
      <c r="C9" s="154" t="s">
        <v>296</v>
      </c>
      <c r="D9" s="154">
        <v>2.19</v>
      </c>
      <c r="E9" s="154">
        <v>566749</v>
      </c>
      <c r="F9" s="154">
        <v>829398</v>
      </c>
    </row>
    <row r="10" spans="1:16" x14ac:dyDescent="0.3">
      <c r="A10" s="154" t="s">
        <v>300</v>
      </c>
      <c r="B10" s="154" t="s">
        <v>299</v>
      </c>
      <c r="C10" s="154" t="s">
        <v>296</v>
      </c>
      <c r="D10" s="154">
        <v>2.1</v>
      </c>
      <c r="E10" s="154">
        <v>597711</v>
      </c>
      <c r="F10" s="154">
        <v>886864</v>
      </c>
    </row>
    <row r="11" spans="1:16" x14ac:dyDescent="0.3">
      <c r="A11" s="154" t="s">
        <v>298</v>
      </c>
      <c r="B11" s="154" t="s">
        <v>297</v>
      </c>
      <c r="C11" s="154" t="s">
        <v>296</v>
      </c>
      <c r="D11" s="154">
        <v>1.2</v>
      </c>
      <c r="E11" s="154">
        <v>477761</v>
      </c>
      <c r="F11" s="154">
        <v>585597</v>
      </c>
    </row>
    <row r="12" spans="1:16" x14ac:dyDescent="0.3">
      <c r="A12" s="168" t="s">
        <v>295</v>
      </c>
      <c r="D12" s="154">
        <v>1.091</v>
      </c>
    </row>
    <row r="13" spans="1:16" x14ac:dyDescent="0.3">
      <c r="A13" s="167" t="s">
        <v>294</v>
      </c>
      <c r="D13" s="166">
        <v>1.163</v>
      </c>
    </row>
    <row r="16" spans="1:16" x14ac:dyDescent="0.3">
      <c r="D16" s="175" t="s">
        <v>341</v>
      </c>
      <c r="I16" s="174" t="s">
        <v>340</v>
      </c>
    </row>
    <row r="17" spans="1:16" ht="15.6" x14ac:dyDescent="0.3">
      <c r="D17" s="171" t="s">
        <v>339</v>
      </c>
      <c r="I17" s="173" t="s">
        <v>338</v>
      </c>
    </row>
    <row r="18" spans="1:16" ht="15.6" x14ac:dyDescent="0.3">
      <c r="D18" s="173" t="s">
        <v>337</v>
      </c>
      <c r="E18" s="172"/>
      <c r="F18" s="172"/>
      <c r="I18" s="171" t="s">
        <v>336</v>
      </c>
    </row>
    <row r="19" spans="1:16" ht="15.6" x14ac:dyDescent="0.3">
      <c r="D19" s="171" t="s">
        <v>335</v>
      </c>
    </row>
    <row r="20" spans="1:16" ht="15.6" x14ac:dyDescent="0.3">
      <c r="D20" s="171" t="s">
        <v>334</v>
      </c>
    </row>
    <row r="21" spans="1:16" ht="15.6" x14ac:dyDescent="0.3">
      <c r="D21" s="171" t="s">
        <v>333</v>
      </c>
    </row>
    <row r="22" spans="1:16" ht="15.6" x14ac:dyDescent="0.3">
      <c r="D22" s="171" t="s">
        <v>332</v>
      </c>
    </row>
    <row r="23" spans="1:16" ht="15" x14ac:dyDescent="0.3">
      <c r="D23" s="170"/>
    </row>
    <row r="26" spans="1:16" x14ac:dyDescent="0.3">
      <c r="A26" s="154" t="s">
        <v>331</v>
      </c>
      <c r="B26" s="154" t="s">
        <v>330</v>
      </c>
      <c r="C26" s="154" t="s">
        <v>329</v>
      </c>
      <c r="D26" s="154" t="s">
        <v>328</v>
      </c>
      <c r="E26" s="154" t="s">
        <v>327</v>
      </c>
      <c r="F26" s="154" t="s">
        <v>326</v>
      </c>
      <c r="G26" s="154" t="s">
        <v>325</v>
      </c>
      <c r="H26" s="154" t="s">
        <v>324</v>
      </c>
      <c r="I26" s="154" t="s">
        <v>323</v>
      </c>
      <c r="J26" s="154" t="s">
        <v>322</v>
      </c>
      <c r="L26" s="154" t="s">
        <v>321</v>
      </c>
      <c r="M26" s="154" t="s">
        <v>320</v>
      </c>
      <c r="N26" s="154" t="s">
        <v>319</v>
      </c>
      <c r="O26" s="154" t="s">
        <v>318</v>
      </c>
      <c r="P26" s="154" t="s">
        <v>317</v>
      </c>
    </row>
    <row r="27" spans="1:16" x14ac:dyDescent="0.3">
      <c r="A27" s="154" t="s">
        <v>316</v>
      </c>
      <c r="C27" s="154" t="s">
        <v>315</v>
      </c>
      <c r="D27" s="154">
        <v>86</v>
      </c>
      <c r="E27" s="154">
        <v>558647</v>
      </c>
      <c r="F27" s="154">
        <v>661742</v>
      </c>
      <c r="G27" s="154">
        <v>30</v>
      </c>
      <c r="H27" s="154">
        <v>180</v>
      </c>
      <c r="J27" s="169">
        <v>10400</v>
      </c>
      <c r="L27" s="154">
        <v>332</v>
      </c>
      <c r="M27" s="154">
        <v>300</v>
      </c>
      <c r="N27" s="154">
        <v>70</v>
      </c>
      <c r="O27" s="154">
        <v>6</v>
      </c>
      <c r="P27" s="154">
        <f>((0.4*998*9.81*N27*M27*O27)/1000000)</f>
        <v>493.43515200000002</v>
      </c>
    </row>
    <row r="28" spans="1:16" x14ac:dyDescent="0.3">
      <c r="A28" s="154" t="s">
        <v>314</v>
      </c>
      <c r="C28" s="154" t="s">
        <v>313</v>
      </c>
      <c r="D28" s="154">
        <v>45</v>
      </c>
      <c r="E28" s="154">
        <v>588750</v>
      </c>
      <c r="F28" s="154">
        <v>861241</v>
      </c>
      <c r="G28" s="154">
        <v>29</v>
      </c>
      <c r="H28" s="154">
        <v>93</v>
      </c>
      <c r="I28" s="154" t="s">
        <v>312</v>
      </c>
      <c r="J28" s="169">
        <v>4350</v>
      </c>
      <c r="L28" s="154">
        <v>206</v>
      </c>
      <c r="M28" s="154">
        <v>300</v>
      </c>
      <c r="N28" s="154">
        <v>55</v>
      </c>
      <c r="O28" s="154">
        <v>5</v>
      </c>
      <c r="P28" s="154">
        <f>((0.4*998*9.81*N28*M28*O28)/1000000)</f>
        <v>323.08254000000005</v>
      </c>
    </row>
    <row r="29" spans="1:16" x14ac:dyDescent="0.3">
      <c r="A29" s="154" t="s">
        <v>311</v>
      </c>
      <c r="C29" s="154">
        <v>1944</v>
      </c>
      <c r="D29" s="154">
        <v>34.18</v>
      </c>
      <c r="E29" s="154">
        <v>694892</v>
      </c>
      <c r="F29" s="154">
        <v>708644</v>
      </c>
      <c r="G29" s="154" t="s">
        <v>310</v>
      </c>
      <c r="H29" s="154" t="s">
        <v>309</v>
      </c>
      <c r="J29" s="169">
        <v>312312854</v>
      </c>
      <c r="L29" s="154">
        <v>47</v>
      </c>
      <c r="M29" s="154">
        <v>275</v>
      </c>
      <c r="N29" s="154">
        <v>50</v>
      </c>
      <c r="O29" s="154">
        <v>6</v>
      </c>
      <c r="P29" s="154">
        <f>((0.4*998*9.81*N29*M29*O29)/1000000)</f>
        <v>323.08254000000005</v>
      </c>
    </row>
    <row r="30" spans="1:16" x14ac:dyDescent="0.3">
      <c r="A30" s="154" t="s">
        <v>308</v>
      </c>
      <c r="C30" s="154" t="s">
        <v>307</v>
      </c>
      <c r="D30" s="154">
        <v>20</v>
      </c>
      <c r="E30" s="154">
        <v>593424</v>
      </c>
      <c r="F30" s="154">
        <v>859895</v>
      </c>
      <c r="G30" s="154">
        <v>29</v>
      </c>
      <c r="H30" s="154">
        <v>93</v>
      </c>
      <c r="I30" s="154">
        <v>1200</v>
      </c>
      <c r="J30" s="169">
        <v>7.1</v>
      </c>
      <c r="L30" s="154">
        <v>65</v>
      </c>
      <c r="M30" s="154">
        <v>300</v>
      </c>
      <c r="N30" s="154">
        <v>45</v>
      </c>
      <c r="O30" s="154">
        <v>5</v>
      </c>
      <c r="P30" s="154">
        <f>((0.4*998*9.81*N30*M30*O30)/1000000)</f>
        <v>264.34026000000006</v>
      </c>
    </row>
    <row r="31" spans="1:16" x14ac:dyDescent="0.3">
      <c r="A31" s="154" t="s">
        <v>306</v>
      </c>
      <c r="C31" s="154">
        <v>1952</v>
      </c>
      <c r="D31" s="154">
        <v>19</v>
      </c>
      <c r="E31" s="154">
        <v>554485</v>
      </c>
      <c r="F31" s="154">
        <v>572176</v>
      </c>
      <c r="G31" s="154">
        <v>29.4</v>
      </c>
      <c r="H31" s="154">
        <v>40.4</v>
      </c>
      <c r="I31" s="154">
        <v>1524</v>
      </c>
      <c r="J31" s="169">
        <v>1253</v>
      </c>
      <c r="L31" s="154">
        <v>56</v>
      </c>
      <c r="M31" s="154">
        <v>250</v>
      </c>
      <c r="N31" s="154">
        <v>40</v>
      </c>
      <c r="O31" s="154">
        <v>3</v>
      </c>
      <c r="P31" s="154">
        <f>((0.4*998*9.81*N31*M31*O31)/1000000)</f>
        <v>117.48456000000003</v>
      </c>
    </row>
    <row r="32" spans="1:16" x14ac:dyDescent="0.3">
      <c r="A32" s="154" t="s">
        <v>305</v>
      </c>
      <c r="C32" s="154">
        <v>1952</v>
      </c>
      <c r="D32" s="154">
        <v>8</v>
      </c>
      <c r="E32" s="154">
        <v>540582</v>
      </c>
      <c r="F32" s="154">
        <v>571965</v>
      </c>
      <c r="G32" s="154">
        <v>13.55</v>
      </c>
      <c r="H32" s="154">
        <v>151</v>
      </c>
      <c r="I32" s="154">
        <v>1524</v>
      </c>
      <c r="L32" s="154">
        <v>21</v>
      </c>
      <c r="M32" s="154">
        <v>250</v>
      </c>
      <c r="N32" s="154">
        <v>45</v>
      </c>
      <c r="O32" s="154">
        <v>6</v>
      </c>
      <c r="P32" s="154">
        <f>((0.4*998*9.81*N32*M32*O32)/1000000)</f>
        <v>264.34026000000006</v>
      </c>
    </row>
    <row r="33" spans="1:16" x14ac:dyDescent="0.3">
      <c r="A33" s="154" t="s">
        <v>283</v>
      </c>
      <c r="B33" s="154" t="s">
        <v>304</v>
      </c>
      <c r="C33" s="154" t="s">
        <v>303</v>
      </c>
      <c r="D33" s="154">
        <v>4.3</v>
      </c>
      <c r="E33" s="154">
        <v>582638</v>
      </c>
      <c r="F33" s="154">
        <v>921185</v>
      </c>
      <c r="P33" s="154">
        <f>((0.4*998*9.81*N33*M33*O33)/1000000)</f>
        <v>0</v>
      </c>
    </row>
    <row r="34" spans="1:16" x14ac:dyDescent="0.3">
      <c r="A34" s="154" t="s">
        <v>302</v>
      </c>
      <c r="B34" s="154" t="s">
        <v>301</v>
      </c>
      <c r="C34" s="154" t="s">
        <v>296</v>
      </c>
      <c r="D34" s="154">
        <v>2.19</v>
      </c>
      <c r="E34" s="154">
        <v>566749</v>
      </c>
      <c r="F34" s="154">
        <v>829398</v>
      </c>
      <c r="P34" s="154">
        <f>((0.4*998*9.81*N34*M34*O34)/1000000)</f>
        <v>0</v>
      </c>
    </row>
    <row r="35" spans="1:16" x14ac:dyDescent="0.3">
      <c r="A35" s="154" t="s">
        <v>300</v>
      </c>
      <c r="B35" s="154" t="s">
        <v>299</v>
      </c>
      <c r="C35" s="154" t="s">
        <v>296</v>
      </c>
      <c r="D35" s="154">
        <v>2.1</v>
      </c>
      <c r="E35" s="154">
        <v>597711</v>
      </c>
      <c r="F35" s="154">
        <v>886864</v>
      </c>
      <c r="P35" s="154">
        <f>((0.4*998*9.81*N35*M35*O35)/1000000)</f>
        <v>0</v>
      </c>
    </row>
    <row r="36" spans="1:16" x14ac:dyDescent="0.3">
      <c r="A36" s="154" t="s">
        <v>298</v>
      </c>
      <c r="B36" s="154" t="s">
        <v>297</v>
      </c>
      <c r="C36" s="154" t="s">
        <v>296</v>
      </c>
      <c r="D36" s="154">
        <v>1.2</v>
      </c>
      <c r="E36" s="154">
        <v>477761</v>
      </c>
      <c r="F36" s="154">
        <v>585597</v>
      </c>
      <c r="P36" s="154">
        <f>((0.4*998*9.81*N36*M36*O36)/1000000)</f>
        <v>0</v>
      </c>
    </row>
    <row r="37" spans="1:16" x14ac:dyDescent="0.3">
      <c r="A37" s="168" t="s">
        <v>295</v>
      </c>
      <c r="D37" s="154">
        <v>1.091</v>
      </c>
      <c r="P37" s="154">
        <f>((0.4*998*9.81*N37*M37*O37)/1000000)</f>
        <v>0</v>
      </c>
    </row>
    <row r="38" spans="1:16" x14ac:dyDescent="0.3">
      <c r="A38" s="167" t="s">
        <v>294</v>
      </c>
      <c r="D38" s="166">
        <v>1.163</v>
      </c>
      <c r="P38" s="154">
        <f>((0.4*998*9.81*N38*M38*O38)/1000000)</f>
        <v>0</v>
      </c>
    </row>
    <row r="39" spans="1:16" x14ac:dyDescent="0.3">
      <c r="P39" s="154">
        <f>((0.4*998*9.81*N39*M39*O39)/1000000)</f>
        <v>0</v>
      </c>
    </row>
    <row r="40" spans="1:16" ht="15" thickBot="1" x14ac:dyDescent="0.35">
      <c r="P40" s="154">
        <f>((0.4*998*9.81*N40*M40*O40)/1000000)</f>
        <v>0</v>
      </c>
    </row>
    <row r="41" spans="1:16" ht="29.4" thickBot="1" x14ac:dyDescent="0.35">
      <c r="A41" s="156" t="s">
        <v>293</v>
      </c>
      <c r="B41" s="156"/>
      <c r="C41" s="155" t="s">
        <v>273</v>
      </c>
      <c r="D41" s="156"/>
      <c r="E41" s="156"/>
      <c r="F41" s="156">
        <v>0.80400000000000005</v>
      </c>
      <c r="H41" s="155"/>
      <c r="M41" s="154">
        <v>200</v>
      </c>
      <c r="N41" s="154">
        <v>15</v>
      </c>
      <c r="O41" s="154">
        <v>5</v>
      </c>
      <c r="P41" s="154">
        <f>((0.4*998*9.81*N41*M41*O41)/1000000)</f>
        <v>58.742280000000008</v>
      </c>
    </row>
    <row r="42" spans="1:16" x14ac:dyDescent="0.3">
      <c r="A42" s="160"/>
      <c r="B42" s="161"/>
      <c r="C42" s="160"/>
      <c r="D42" s="161"/>
      <c r="E42" s="162"/>
      <c r="F42" s="161"/>
      <c r="H42" s="160"/>
      <c r="P42" s="154">
        <f>((0.4*998*9.81*N42*M42*O42)/1000000)</f>
        <v>0</v>
      </c>
    </row>
    <row r="43" spans="1:16" x14ac:dyDescent="0.3">
      <c r="A43" s="163"/>
      <c r="B43" s="164"/>
      <c r="C43" s="163"/>
      <c r="D43" s="164"/>
      <c r="E43" s="165"/>
      <c r="F43" s="164"/>
      <c r="H43" s="163"/>
      <c r="P43" s="154">
        <f>((0.4*998*9.81*N43*M43*O43)/1000000)</f>
        <v>0</v>
      </c>
    </row>
    <row r="44" spans="1:16" ht="15" thickBot="1" x14ac:dyDescent="0.35">
      <c r="A44" s="157"/>
      <c r="B44" s="158"/>
      <c r="C44" s="157"/>
      <c r="D44" s="158"/>
      <c r="E44" s="159"/>
      <c r="F44" s="158"/>
      <c r="H44" s="157"/>
      <c r="P44" s="154">
        <f>((0.4*998*9.81*N44*M44*O44)/1000000)</f>
        <v>0</v>
      </c>
    </row>
    <row r="45" spans="1:16" ht="29.4" thickBot="1" x14ac:dyDescent="0.35">
      <c r="A45" s="156" t="s">
        <v>292</v>
      </c>
      <c r="B45" s="156"/>
      <c r="C45" s="155" t="s">
        <v>276</v>
      </c>
      <c r="D45" s="156"/>
      <c r="E45" s="156"/>
      <c r="F45" s="156">
        <v>0.6</v>
      </c>
      <c r="H45" s="155"/>
      <c r="M45" s="154">
        <v>180</v>
      </c>
      <c r="N45" s="154">
        <v>20</v>
      </c>
      <c r="O45" s="154">
        <v>4</v>
      </c>
      <c r="P45" s="154">
        <f>((0.4*998*9.81*N45*M45*O45)/1000000)</f>
        <v>56.392588800000006</v>
      </c>
    </row>
    <row r="46" spans="1:16" ht="29.4" thickBot="1" x14ac:dyDescent="0.35">
      <c r="A46" s="156" t="s">
        <v>291</v>
      </c>
      <c r="B46" s="156"/>
      <c r="C46" s="155" t="s">
        <v>279</v>
      </c>
      <c r="D46" s="156"/>
      <c r="E46" s="156"/>
      <c r="F46" s="156">
        <v>1.82</v>
      </c>
      <c r="H46" s="155"/>
      <c r="M46" s="154">
        <v>200</v>
      </c>
      <c r="N46" s="154">
        <v>25</v>
      </c>
      <c r="O46" s="154">
        <v>4</v>
      </c>
      <c r="P46" s="154">
        <f>((0.4*998*9.81*N46*M46*O46)/1000000)</f>
        <v>78.32304000000002</v>
      </c>
    </row>
    <row r="47" spans="1:16" ht="29.4" thickBot="1" x14ac:dyDescent="0.35">
      <c r="A47" s="156" t="s">
        <v>290</v>
      </c>
      <c r="B47" s="156"/>
      <c r="C47" s="155" t="s">
        <v>289</v>
      </c>
      <c r="D47" s="156"/>
      <c r="E47" s="156"/>
      <c r="F47" s="156">
        <v>0.43</v>
      </c>
      <c r="H47" s="155"/>
      <c r="M47" s="154">
        <v>160</v>
      </c>
      <c r="N47" s="154">
        <v>12</v>
      </c>
      <c r="O47" s="154">
        <v>3</v>
      </c>
      <c r="P47" s="154">
        <f>((0.4*998*9.81*N47*M47*O47)/1000000)</f>
        <v>22.557035520000003</v>
      </c>
    </row>
    <row r="48" spans="1:16" ht="29.4" thickBot="1" x14ac:dyDescent="0.35">
      <c r="A48" s="156" t="s">
        <v>288</v>
      </c>
      <c r="B48" s="156"/>
      <c r="C48" s="155" t="s">
        <v>264</v>
      </c>
      <c r="D48" s="156"/>
      <c r="E48" s="156"/>
      <c r="F48" s="156">
        <v>7.0000000000000007E-2</v>
      </c>
      <c r="H48" s="155"/>
      <c r="M48" s="154">
        <v>100</v>
      </c>
      <c r="O48" s="154">
        <v>1</v>
      </c>
      <c r="P48" s="154">
        <f>((0.4*998*9.81*N48*M48*O48)/1000000)</f>
        <v>0</v>
      </c>
    </row>
    <row r="49" spans="1:16" ht="43.8" thickBot="1" x14ac:dyDescent="0.35">
      <c r="A49" s="156" t="s">
        <v>287</v>
      </c>
      <c r="B49" s="156"/>
      <c r="C49" s="155" t="s">
        <v>286</v>
      </c>
      <c r="D49" s="156"/>
      <c r="E49" s="156"/>
      <c r="F49" s="156">
        <v>0.13</v>
      </c>
      <c r="H49" s="155"/>
      <c r="M49" s="154">
        <v>140</v>
      </c>
      <c r="N49" s="154">
        <v>8</v>
      </c>
      <c r="O49" s="154">
        <v>1</v>
      </c>
      <c r="P49" s="154">
        <f>((0.4*998*9.81*N49*M49*O49)/1000000)</f>
        <v>4.3860902400000006</v>
      </c>
    </row>
    <row r="50" spans="1:16" ht="15" thickBot="1" x14ac:dyDescent="0.35">
      <c r="A50" s="155"/>
      <c r="B50" s="156"/>
      <c r="C50" s="155"/>
      <c r="D50" s="156"/>
      <c r="E50" s="156"/>
      <c r="F50" s="156"/>
      <c r="H50" s="155"/>
      <c r="P50" s="154">
        <f>((0.4*998*9.81*N50*M50*O50)/1000000)</f>
        <v>0</v>
      </c>
    </row>
    <row r="51" spans="1:16" ht="43.8" thickBot="1" x14ac:dyDescent="0.35">
      <c r="A51" s="156" t="s">
        <v>285</v>
      </c>
      <c r="B51" s="156"/>
      <c r="C51" s="155" t="s">
        <v>266</v>
      </c>
      <c r="D51" s="156"/>
      <c r="E51" s="156"/>
      <c r="F51" s="156">
        <v>0.1</v>
      </c>
      <c r="H51" s="155"/>
      <c r="M51" s="154">
        <v>140</v>
      </c>
      <c r="N51" s="154">
        <v>6</v>
      </c>
      <c r="O51" s="154">
        <v>1</v>
      </c>
      <c r="P51" s="154">
        <f>((0.4*998*9.81*N51*M51*O51)/1000000)</f>
        <v>3.2895676800000007</v>
      </c>
    </row>
    <row r="52" spans="1:16" ht="15" thickBot="1" x14ac:dyDescent="0.35">
      <c r="A52" s="155"/>
      <c r="B52" s="156"/>
      <c r="C52" s="155"/>
      <c r="D52" s="156"/>
      <c r="E52" s="156"/>
      <c r="F52" s="156"/>
      <c r="H52" s="155"/>
      <c r="P52" s="154">
        <f>((0.4*998*9.81*N52*M52*O52)/1000000)</f>
        <v>0</v>
      </c>
    </row>
    <row r="53" spans="1:16" ht="29.4" thickBot="1" x14ac:dyDescent="0.35">
      <c r="A53" s="156" t="s">
        <v>284</v>
      </c>
      <c r="B53" s="156" t="s">
        <v>262</v>
      </c>
      <c r="C53" s="155" t="s">
        <v>261</v>
      </c>
      <c r="D53" s="156"/>
      <c r="E53" s="156"/>
      <c r="F53" s="156">
        <v>5.5E-2</v>
      </c>
      <c r="H53" s="155"/>
      <c r="M53" s="154">
        <v>120</v>
      </c>
      <c r="N53" s="154">
        <v>5</v>
      </c>
      <c r="O53" s="154">
        <v>1</v>
      </c>
      <c r="P53" s="154">
        <f>((0.4*998*9.81*N53*M53*O53)/1000000)</f>
        <v>2.3496912000000001</v>
      </c>
    </row>
    <row r="54" spans="1:16" ht="29.4" thickBot="1" x14ac:dyDescent="0.35">
      <c r="A54" s="156" t="s">
        <v>283</v>
      </c>
      <c r="B54" s="156" t="s">
        <v>282</v>
      </c>
      <c r="C54" s="155" t="s">
        <v>273</v>
      </c>
      <c r="D54" s="156"/>
      <c r="E54" s="156" t="s">
        <v>281</v>
      </c>
      <c r="F54" s="156">
        <v>4</v>
      </c>
      <c r="H54" s="155"/>
      <c r="M54" s="154">
        <v>200</v>
      </c>
      <c r="N54" s="154">
        <v>25</v>
      </c>
      <c r="O54" s="154">
        <v>3</v>
      </c>
      <c r="P54" s="154">
        <f>((0.4*998*9.81*N54*M54*O54)/1000000)</f>
        <v>58.742280000000015</v>
      </c>
    </row>
    <row r="55" spans="1:16" ht="15" thickBot="1" x14ac:dyDescent="0.35">
      <c r="A55" s="156"/>
      <c r="B55" s="156"/>
      <c r="C55" s="155"/>
      <c r="D55" s="156"/>
      <c r="E55" s="156"/>
      <c r="F55" s="156"/>
      <c r="H55" s="155"/>
      <c r="P55" s="154">
        <f>((0.4*998*9.81*N55*M55*O55)/1000000)</f>
        <v>0</v>
      </c>
    </row>
    <row r="56" spans="1:16" ht="29.4" thickBot="1" x14ac:dyDescent="0.35">
      <c r="A56" s="156" t="s">
        <v>280</v>
      </c>
      <c r="B56" s="156"/>
      <c r="C56" s="155" t="s">
        <v>279</v>
      </c>
      <c r="D56" s="156"/>
      <c r="E56" s="156"/>
      <c r="F56" s="156">
        <v>0.51</v>
      </c>
      <c r="H56" s="155"/>
      <c r="P56" s="154">
        <f>((0.4*998*9.81*N56*M56*O56)/1000000)</f>
        <v>0</v>
      </c>
    </row>
    <row r="57" spans="1:16" ht="29.4" thickBot="1" x14ac:dyDescent="0.35">
      <c r="A57" s="156" t="s">
        <v>278</v>
      </c>
      <c r="B57" s="156" t="s">
        <v>277</v>
      </c>
      <c r="C57" s="155" t="s">
        <v>276</v>
      </c>
      <c r="D57" s="156"/>
      <c r="E57" s="156"/>
      <c r="F57" s="156">
        <v>1</v>
      </c>
      <c r="H57" s="155"/>
      <c r="M57" s="154">
        <v>100</v>
      </c>
      <c r="N57" s="154">
        <v>7</v>
      </c>
      <c r="O57" s="154">
        <v>2</v>
      </c>
      <c r="P57" s="154">
        <f>((0.4*998*9.81*N57*M57*O57)/1000000)</f>
        <v>5.482612800000001</v>
      </c>
    </row>
    <row r="58" spans="1:16" ht="31.2" thickBot="1" x14ac:dyDescent="0.35">
      <c r="A58" s="156" t="s">
        <v>275</v>
      </c>
      <c r="B58" s="156" t="s">
        <v>274</v>
      </c>
      <c r="C58" s="155" t="s">
        <v>273</v>
      </c>
      <c r="D58" s="156"/>
      <c r="E58" s="156" t="s">
        <v>272</v>
      </c>
      <c r="F58" s="156">
        <v>0.65</v>
      </c>
      <c r="H58" s="155"/>
      <c r="M58" s="154">
        <v>100</v>
      </c>
      <c r="N58" s="154">
        <v>10</v>
      </c>
      <c r="O58" s="154">
        <v>2</v>
      </c>
      <c r="P58" s="154">
        <f>((0.4*998*9.81*N58*M58*O58)/1000000)</f>
        <v>7.8323040000000006</v>
      </c>
    </row>
    <row r="59" spans="1:16" ht="29.4" thickBot="1" x14ac:dyDescent="0.35">
      <c r="A59" s="156" t="s">
        <v>271</v>
      </c>
      <c r="B59" s="156"/>
      <c r="C59" s="155" t="s">
        <v>256</v>
      </c>
      <c r="D59" s="156"/>
      <c r="E59" s="156"/>
      <c r="F59" s="156">
        <v>0.36</v>
      </c>
      <c r="H59" s="155"/>
      <c r="M59" s="154">
        <v>80</v>
      </c>
      <c r="N59" s="154">
        <v>6</v>
      </c>
      <c r="O59" s="154">
        <v>2</v>
      </c>
      <c r="P59" s="154">
        <f>((0.4*998*9.81*N59*M59*O59)/1000000)</f>
        <v>3.7595059200000009</v>
      </c>
    </row>
    <row r="60" spans="1:16" ht="29.4" thickBot="1" x14ac:dyDescent="0.35">
      <c r="A60" s="155" t="s">
        <v>270</v>
      </c>
      <c r="B60" s="156" t="s">
        <v>262</v>
      </c>
      <c r="C60" s="155" t="s">
        <v>269</v>
      </c>
      <c r="D60" s="156"/>
      <c r="E60" s="156" t="s">
        <v>268</v>
      </c>
      <c r="F60" s="156">
        <v>4</v>
      </c>
      <c r="H60" s="155"/>
      <c r="M60" s="154">
        <v>120</v>
      </c>
      <c r="N60" s="154">
        <v>18</v>
      </c>
      <c r="O60" s="154">
        <v>3</v>
      </c>
      <c r="P60" s="154">
        <f>((0.4*998*9.81*N60*M60*O60)/1000000)</f>
        <v>25.376664959999999</v>
      </c>
    </row>
    <row r="61" spans="1:16" ht="29.4" thickBot="1" x14ac:dyDescent="0.35">
      <c r="A61" s="156" t="s">
        <v>267</v>
      </c>
      <c r="B61" s="156"/>
      <c r="C61" s="155" t="s">
        <v>266</v>
      </c>
      <c r="D61" s="156"/>
      <c r="E61" s="156"/>
      <c r="F61" s="156">
        <v>0.20499999999999999</v>
      </c>
      <c r="H61" s="155"/>
      <c r="M61" s="154">
        <v>60</v>
      </c>
      <c r="N61" s="154">
        <v>6</v>
      </c>
      <c r="O61" s="154">
        <v>1</v>
      </c>
      <c r="P61" s="154">
        <f>((0.4*998*9.81*N61*M61*O61)/1000000)</f>
        <v>1.4098147200000002</v>
      </c>
    </row>
    <row r="62" spans="1:16" ht="29.4" thickBot="1" x14ac:dyDescent="0.35">
      <c r="A62" s="156" t="s">
        <v>265</v>
      </c>
      <c r="B62" s="156"/>
      <c r="C62" s="155" t="s">
        <v>264</v>
      </c>
      <c r="D62" s="156"/>
      <c r="E62" s="156"/>
      <c r="F62" s="156">
        <v>0.1</v>
      </c>
      <c r="H62" s="155"/>
      <c r="M62" s="154">
        <v>80</v>
      </c>
      <c r="N62" s="154">
        <v>12</v>
      </c>
      <c r="O62" s="154">
        <v>1</v>
      </c>
      <c r="P62" s="154">
        <f>((0.4*998*9.81*N62*M62*O62)/1000000)</f>
        <v>3.7595059200000009</v>
      </c>
    </row>
    <row r="63" spans="1:16" x14ac:dyDescent="0.3">
      <c r="A63" s="160"/>
      <c r="B63" s="161"/>
      <c r="C63" s="160"/>
      <c r="D63" s="161"/>
      <c r="E63" s="162"/>
      <c r="F63" s="161"/>
      <c r="H63" s="160"/>
      <c r="M63" s="154">
        <v>80</v>
      </c>
      <c r="N63" s="154">
        <v>10</v>
      </c>
      <c r="O63" s="154">
        <v>1</v>
      </c>
      <c r="P63" s="154">
        <f>((0.4*998*9.81*N63*M63*O63)/1000000)</f>
        <v>3.1329216000000004</v>
      </c>
    </row>
    <row r="64" spans="1:16" ht="15" thickBot="1" x14ac:dyDescent="0.35">
      <c r="A64" s="157"/>
      <c r="B64" s="158"/>
      <c r="C64" s="157"/>
      <c r="D64" s="158"/>
      <c r="E64" s="159"/>
      <c r="F64" s="158"/>
      <c r="H64" s="157"/>
      <c r="P64" s="154">
        <f>((0.4*998*9.81*N64*M64*O64)/1000000)</f>
        <v>0</v>
      </c>
    </row>
    <row r="65" spans="1:16" ht="29.4" thickBot="1" x14ac:dyDescent="0.35">
      <c r="A65" s="156" t="s">
        <v>263</v>
      </c>
      <c r="B65" s="156" t="s">
        <v>262</v>
      </c>
      <c r="C65" s="155" t="s">
        <v>261</v>
      </c>
      <c r="D65" s="156"/>
      <c r="E65" s="156" t="s">
        <v>260</v>
      </c>
      <c r="F65" s="156">
        <v>4</v>
      </c>
      <c r="H65" s="155"/>
      <c r="M65" s="154">
        <v>200</v>
      </c>
      <c r="N65" s="154">
        <v>25</v>
      </c>
      <c r="O65" s="154">
        <v>4</v>
      </c>
      <c r="P65" s="154">
        <f>((0.4*998*9.81*N65*M65*O65)/1000000)</f>
        <v>78.32304000000002</v>
      </c>
    </row>
    <row r="66" spans="1:16" ht="29.4" thickBot="1" x14ac:dyDescent="0.35">
      <c r="A66" s="156" t="s">
        <v>259</v>
      </c>
      <c r="B66" s="156"/>
      <c r="C66" s="155" t="s">
        <v>258</v>
      </c>
      <c r="D66" s="156"/>
      <c r="E66" s="156"/>
      <c r="F66" s="156">
        <v>0.28999999999999998</v>
      </c>
      <c r="H66" s="155"/>
      <c r="M66" s="154">
        <v>100</v>
      </c>
      <c r="N66" s="154">
        <v>8</v>
      </c>
      <c r="O66" s="154">
        <v>1</v>
      </c>
      <c r="P66" s="154">
        <f>((0.4*998*9.81*N66*M66*O66)/1000000)</f>
        <v>3.1329216000000004</v>
      </c>
    </row>
    <row r="67" spans="1:16" ht="29.4" thickBot="1" x14ac:dyDescent="0.35">
      <c r="A67" s="156" t="s">
        <v>257</v>
      </c>
      <c r="B67" s="156"/>
      <c r="C67" s="155" t="s">
        <v>256</v>
      </c>
      <c r="D67" s="156"/>
      <c r="E67" s="156"/>
      <c r="F67" s="156">
        <v>0.8</v>
      </c>
      <c r="H67" s="155"/>
      <c r="M67" s="154">
        <v>120</v>
      </c>
      <c r="N67" s="154">
        <v>5</v>
      </c>
      <c r="O67" s="154">
        <v>1</v>
      </c>
      <c r="P67" s="154">
        <f>((0.4*998*9.81*N67*M67*O67)/1000000)</f>
        <v>2.3496912000000001</v>
      </c>
    </row>
    <row r="68" spans="1:16" ht="15" thickBot="1" x14ac:dyDescent="0.35">
      <c r="A68" s="156"/>
      <c r="B68" s="156"/>
      <c r="C68" s="155"/>
      <c r="D68" s="156"/>
      <c r="E68" s="156"/>
      <c r="F68" s="156"/>
      <c r="H68" s="155"/>
      <c r="P68" s="154">
        <f>SUM(P27:P67)</f>
        <v>2205.1068681600004</v>
      </c>
    </row>
    <row r="69" spans="1:16" x14ac:dyDescent="0.3">
      <c r="P69" s="154">
        <f>(P68*8760)</f>
        <v>19316736.165081605</v>
      </c>
    </row>
    <row r="70" spans="1:16" x14ac:dyDescent="0.3">
      <c r="O70" s="154" t="s">
        <v>255</v>
      </c>
      <c r="P70" s="154">
        <f>(P69/1000)</f>
        <v>19316.736165081606</v>
      </c>
    </row>
    <row r="71" spans="1:16" x14ac:dyDescent="0.3">
      <c r="P71" s="154">
        <f>(P70/1000)</f>
        <v>19.316736165081604</v>
      </c>
    </row>
  </sheetData>
  <mergeCells count="12">
    <mergeCell ref="D42:D44"/>
    <mergeCell ref="F42:F44"/>
    <mergeCell ref="H42:H44"/>
    <mergeCell ref="A63:A64"/>
    <mergeCell ref="B63:B64"/>
    <mergeCell ref="C63:C64"/>
    <mergeCell ref="D63:D64"/>
    <mergeCell ref="F63:F64"/>
    <mergeCell ref="H63:H64"/>
    <mergeCell ref="A42:A44"/>
    <mergeCell ref="B42:B44"/>
    <mergeCell ref="C42:C44"/>
  </mergeCells>
  <hyperlinks>
    <hyperlink ref="I17" r:id="rId1" xr:uid="{85EAB684-F25E-42D8-83DC-AC86B59ECB89}"/>
    <hyperlink ref="D18" r:id="rId2" xr:uid="{4A9700DE-05FA-4B31-9896-D4C2E9A42C77}"/>
    <hyperlink ref="C41" r:id="rId3" tooltip="County Donegal" display="https://en.wikipedia.org/wiki/County_Donegal" xr:uid="{677CA20F-52C6-4258-9C86-413AFA805EF2}"/>
    <hyperlink ref="C45" r:id="rId4" tooltip="County Kerry" display="https://en.wikipedia.org/wiki/County_Kerry" xr:uid="{609B98B6-BB58-4D74-8CED-77F334049905}"/>
    <hyperlink ref="C46" r:id="rId5" tooltip="County Sligo" display="https://en.wikipedia.org/wiki/County_Sligo" xr:uid="{7914C0D0-1330-48C9-817D-E876D4A683C6}"/>
    <hyperlink ref="C47" r:id="rId6" tooltip="County Offaly" display="https://en.wikipedia.org/wiki/County_Offaly" xr:uid="{6D0885D4-F8FB-4EB8-9F08-36AE68810029}"/>
    <hyperlink ref="C48" r:id="rId7" tooltip="County Kilkenny" display="https://en.wikipedia.org/wiki/County_Kilkenny" xr:uid="{FBFC3DF8-517A-4777-8830-FF54F846B7E7}"/>
    <hyperlink ref="C49" r:id="rId8" tooltip="County Roscommon" display="https://en.wikipedia.org/wiki/County_Roscommon" xr:uid="{4749B3F5-6FCA-4C1A-9988-398E0E07BDF6}"/>
    <hyperlink ref="C51" r:id="rId9" tooltip="County Tipperary" display="https://en.wikipedia.org/wiki/County_Tipperary" xr:uid="{92F52101-1E07-437D-BA9B-021E6C8C923D}"/>
    <hyperlink ref="C53" r:id="rId10" tooltip="County Kildare" display="https://en.wikipedia.org/wiki/County_Kildare" xr:uid="{1407C4E2-40CA-4D73-9970-853F83EC5721}"/>
    <hyperlink ref="C54" r:id="rId11" tooltip="County Donegal" display="https://en.wikipedia.org/wiki/County_Donegal" xr:uid="{6F2ECA61-C371-44F8-8A34-8EF5C865991F}"/>
    <hyperlink ref="C56" r:id="rId12" tooltip="County Sligo" display="https://en.wikipedia.org/wiki/County_Sligo" xr:uid="{EE45C770-23E1-4323-8E96-5E0112F22545}"/>
    <hyperlink ref="C57" r:id="rId13" tooltip="County Kerry" display="https://en.wikipedia.org/wiki/County_Kerry" xr:uid="{815E4E3F-A3A4-4AFD-9A93-5AEB0E20D0DC}"/>
    <hyperlink ref="C58" r:id="rId14" tooltip="County Donegal" display="https://en.wikipedia.org/wiki/County_Donegal" xr:uid="{66C53302-5EB3-46FE-98A1-D745F4154180}"/>
    <hyperlink ref="C59" r:id="rId15" tooltip="County Cork" display="https://en.wikipedia.org/wiki/County_Cork" xr:uid="{D2DE0A7F-E02F-4F10-A06D-EA02B3F2E1C4}"/>
    <hyperlink ref="A60" r:id="rId16" tooltip="Golden Falls hydroelectric power station" display="https://en.wikipedia.org/wiki/Golden_Falls_hydroelectric_power_station" xr:uid="{97B384DE-D699-46CB-B0FA-8E7F3C3613EE}"/>
    <hyperlink ref="C60" r:id="rId17" tooltip="County Wicklow" display="https://en.wikipedia.org/wiki/County_Wicklow" xr:uid="{234A2868-A235-40F2-8DBB-6BFF461362C3}"/>
    <hyperlink ref="C61" r:id="rId18" tooltip="County Tipperary" display="https://en.wikipedia.org/wiki/County_Tipperary" xr:uid="{BAE44465-0945-4B53-B124-27182C564478}"/>
    <hyperlink ref="C62" r:id="rId19" tooltip="County Kilkenny" display="https://en.wikipedia.org/wiki/County_Kilkenny" xr:uid="{40457382-DE7E-4C11-AD7A-C96CE4E5AD38}"/>
    <hyperlink ref="C65" r:id="rId20" tooltip="County Kildare" display="https://en.wikipedia.org/wiki/County_Kildare" xr:uid="{89C8A8E1-121E-456B-A0F9-759CA1D2E03B}"/>
    <hyperlink ref="C66" r:id="rId21" tooltip="County Carlow" display="https://en.wikipedia.org/wiki/County_Carlow" xr:uid="{12037C43-3FE1-4898-84EB-7EC23166B32E}"/>
    <hyperlink ref="C67" r:id="rId22" tooltip="County Cork" display="https://en.wikipedia.org/wiki/County_Cork" xr:uid="{2806E5D3-A779-4DF1-9860-9976ACD2EBA7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86FB-9817-40C0-9EDF-D995B533094E}">
  <dimension ref="A2:K60"/>
  <sheetViews>
    <sheetView topLeftCell="A4" workbookViewId="0">
      <selection activeCell="J16" sqref="J16"/>
    </sheetView>
  </sheetViews>
  <sheetFormatPr defaultRowHeight="14.4" x14ac:dyDescent="0.3"/>
  <cols>
    <col min="1" max="1" width="34.19921875" style="154" customWidth="1"/>
    <col min="2" max="2" width="8" style="154" customWidth="1"/>
    <col min="3" max="3" width="11.8984375" style="154" customWidth="1"/>
    <col min="4" max="4" width="8" style="154" customWidth="1"/>
    <col min="5" max="5" width="12.69921875" style="154" customWidth="1"/>
    <col min="6" max="6" width="8" style="154" customWidth="1"/>
    <col min="7" max="7" width="17" style="154" customWidth="1"/>
    <col min="8" max="8" width="15" style="154" customWidth="1"/>
    <col min="9" max="9" width="8" style="154" customWidth="1"/>
    <col min="10" max="16384" width="8.796875" style="154"/>
  </cols>
  <sheetData>
    <row r="2" spans="1:11" x14ac:dyDescent="0.3">
      <c r="B2" s="154" t="s">
        <v>405</v>
      </c>
    </row>
    <row r="3" spans="1:11" x14ac:dyDescent="0.3">
      <c r="A3" s="154" t="s">
        <v>404</v>
      </c>
      <c r="B3" s="154">
        <v>1.9</v>
      </c>
    </row>
    <row r="4" spans="1:11" x14ac:dyDescent="0.3">
      <c r="B4" s="154" t="s">
        <v>394</v>
      </c>
    </row>
    <row r="5" spans="1:11" x14ac:dyDescent="0.3">
      <c r="A5" s="154" t="s">
        <v>403</v>
      </c>
      <c r="B5" s="154">
        <v>3.9</v>
      </c>
    </row>
    <row r="6" spans="1:11" x14ac:dyDescent="0.3">
      <c r="B6" s="154" t="s">
        <v>402</v>
      </c>
    </row>
    <row r="7" spans="1:11" x14ac:dyDescent="0.3">
      <c r="A7" s="154" t="s">
        <v>401</v>
      </c>
      <c r="B7" s="154">
        <v>526.5</v>
      </c>
    </row>
    <row r="8" spans="1:11" x14ac:dyDescent="0.3">
      <c r="B8" s="154" t="s">
        <v>394</v>
      </c>
    </row>
    <row r="9" spans="1:11" x14ac:dyDescent="0.3">
      <c r="A9" s="154" t="s">
        <v>400</v>
      </c>
      <c r="B9" s="154">
        <v>20355</v>
      </c>
    </row>
    <row r="11" spans="1:11" x14ac:dyDescent="0.3">
      <c r="B11" s="154">
        <v>20354</v>
      </c>
    </row>
    <row r="13" spans="1:11" ht="15" thickBot="1" x14ac:dyDescent="0.35">
      <c r="C13" s="154" t="s">
        <v>399</v>
      </c>
      <c r="E13" s="154" t="s">
        <v>398</v>
      </c>
      <c r="G13" s="154" t="s">
        <v>397</v>
      </c>
      <c r="H13" s="154" t="s">
        <v>396</v>
      </c>
      <c r="J13" s="154" t="s">
        <v>395</v>
      </c>
    </row>
    <row r="14" spans="1:11" ht="15" thickBot="1" x14ac:dyDescent="0.35">
      <c r="B14" s="154" t="s">
        <v>383</v>
      </c>
      <c r="C14" s="177">
        <v>4400</v>
      </c>
      <c r="E14" s="154">
        <f>C14*8760</f>
        <v>38544000</v>
      </c>
      <c r="G14" s="154">
        <f>E14/B9</f>
        <v>1893.5887988209286</v>
      </c>
      <c r="H14" s="154">
        <f>G14*B5</f>
        <v>7384.9963154016214</v>
      </c>
      <c r="J14" s="154">
        <f>E14-H14</f>
        <v>38536615.003684595</v>
      </c>
    </row>
    <row r="16" spans="1:11" x14ac:dyDescent="0.3">
      <c r="J16" s="154">
        <f>J14/8760</f>
        <v>4399.1569638909359</v>
      </c>
      <c r="K16" s="154" t="s">
        <v>394</v>
      </c>
    </row>
    <row r="22" spans="1:8" ht="15" thickBot="1" x14ac:dyDescent="0.35"/>
    <row r="23" spans="1:8" ht="15" thickBot="1" x14ac:dyDescent="0.35">
      <c r="A23" s="156" t="s">
        <v>393</v>
      </c>
      <c r="B23" s="156" t="s">
        <v>392</v>
      </c>
      <c r="C23" s="156">
        <v>260</v>
      </c>
      <c r="D23" s="156" t="s">
        <v>392</v>
      </c>
      <c r="E23" s="156" t="s">
        <v>355</v>
      </c>
      <c r="F23" s="156"/>
      <c r="G23" s="156"/>
      <c r="H23" s="156"/>
    </row>
    <row r="24" spans="1:8" ht="31.2" thickBot="1" x14ac:dyDescent="0.35">
      <c r="A24" s="176" t="s">
        <v>391</v>
      </c>
      <c r="B24" s="156" t="s">
        <v>390</v>
      </c>
      <c r="C24" s="156">
        <v>258</v>
      </c>
      <c r="D24" s="156" t="s">
        <v>351</v>
      </c>
      <c r="E24" s="156" t="s">
        <v>355</v>
      </c>
      <c r="F24" s="156" t="s">
        <v>389</v>
      </c>
      <c r="G24" s="156" t="s">
        <v>388</v>
      </c>
      <c r="H24" s="156" t="s">
        <v>363</v>
      </c>
    </row>
    <row r="25" spans="1:8" ht="15" thickBot="1" x14ac:dyDescent="0.35">
      <c r="A25" s="156" t="s">
        <v>387</v>
      </c>
      <c r="B25" s="156" t="s">
        <v>386</v>
      </c>
      <c r="C25" s="156">
        <v>90</v>
      </c>
      <c r="D25" s="156" t="s">
        <v>351</v>
      </c>
      <c r="E25" s="176" t="s">
        <v>350</v>
      </c>
      <c r="F25" s="156" t="s">
        <v>359</v>
      </c>
      <c r="G25" s="156" t="s">
        <v>355</v>
      </c>
      <c r="H25" s="156" t="s">
        <v>355</v>
      </c>
    </row>
    <row r="26" spans="1:8" ht="15" thickBot="1" x14ac:dyDescent="0.35">
      <c r="A26" s="156" t="s">
        <v>383</v>
      </c>
      <c r="B26" s="156" t="s">
        <v>385</v>
      </c>
      <c r="C26" s="156">
        <v>90</v>
      </c>
      <c r="D26" s="156" t="s">
        <v>351</v>
      </c>
      <c r="E26" s="156" t="s">
        <v>350</v>
      </c>
      <c r="F26" s="156" t="s">
        <v>359</v>
      </c>
      <c r="G26" s="156" t="s">
        <v>355</v>
      </c>
      <c r="H26" s="156" t="s">
        <v>355</v>
      </c>
    </row>
    <row r="27" spans="1:8" ht="15" thickBot="1" x14ac:dyDescent="0.35">
      <c r="A27" s="156" t="s">
        <v>383</v>
      </c>
      <c r="B27" s="156" t="s">
        <v>384</v>
      </c>
      <c r="C27" s="156">
        <v>90</v>
      </c>
      <c r="D27" s="156" t="s">
        <v>351</v>
      </c>
      <c r="E27" s="156" t="s">
        <v>350</v>
      </c>
      <c r="F27" s="156" t="s">
        <v>359</v>
      </c>
      <c r="G27" s="156" t="s">
        <v>355</v>
      </c>
      <c r="H27" s="156" t="s">
        <v>355</v>
      </c>
    </row>
    <row r="28" spans="1:8" ht="29.4" thickBot="1" x14ac:dyDescent="0.35">
      <c r="A28" s="156" t="s">
        <v>383</v>
      </c>
      <c r="B28" s="156" t="s">
        <v>382</v>
      </c>
      <c r="C28" s="156">
        <v>431</v>
      </c>
      <c r="D28" s="156" t="s">
        <v>351</v>
      </c>
      <c r="E28" s="156" t="s">
        <v>350</v>
      </c>
      <c r="F28" s="176" t="s">
        <v>349</v>
      </c>
      <c r="G28" s="176" t="s">
        <v>348</v>
      </c>
      <c r="H28" s="156" t="s">
        <v>363</v>
      </c>
    </row>
    <row r="29" spans="1:8" ht="31.2" thickBot="1" x14ac:dyDescent="0.35">
      <c r="A29" s="156" t="s">
        <v>381</v>
      </c>
      <c r="B29" s="156" t="s">
        <v>380</v>
      </c>
      <c r="C29" s="156">
        <v>402</v>
      </c>
      <c r="D29" s="156" t="s">
        <v>351</v>
      </c>
      <c r="E29" s="156" t="s">
        <v>350</v>
      </c>
      <c r="F29" s="156" t="s">
        <v>379</v>
      </c>
      <c r="G29" s="156" t="s">
        <v>348</v>
      </c>
      <c r="H29" s="156" t="s">
        <v>378</v>
      </c>
    </row>
    <row r="30" spans="1:8" ht="15" thickBot="1" x14ac:dyDescent="0.35">
      <c r="A30" s="156"/>
      <c r="B30" s="156"/>
      <c r="C30" s="156"/>
      <c r="D30" s="156"/>
      <c r="E30" s="156"/>
      <c r="F30" s="156"/>
      <c r="G30" s="156"/>
      <c r="H30" s="156"/>
    </row>
    <row r="31" spans="1:8" ht="15" thickBot="1" x14ac:dyDescent="0.35">
      <c r="A31" s="176"/>
      <c r="B31" s="156"/>
      <c r="C31" s="156"/>
      <c r="D31" s="156"/>
      <c r="E31" s="156"/>
      <c r="F31" s="176"/>
      <c r="G31" s="176"/>
      <c r="H31" s="156"/>
    </row>
    <row r="32" spans="1:8" ht="15" thickBot="1" x14ac:dyDescent="0.35">
      <c r="A32" s="156"/>
      <c r="B32" s="156"/>
      <c r="C32" s="156"/>
      <c r="D32" s="156"/>
      <c r="E32" s="156"/>
      <c r="F32" s="156"/>
      <c r="G32" s="156"/>
      <c r="H32" s="156"/>
    </row>
    <row r="33" spans="1:8" ht="15" thickBot="1" x14ac:dyDescent="0.35">
      <c r="A33" s="156"/>
      <c r="B33" s="156"/>
      <c r="C33" s="156"/>
      <c r="D33" s="156"/>
      <c r="E33" s="156"/>
      <c r="F33" s="156"/>
      <c r="G33" s="156"/>
      <c r="H33" s="156"/>
    </row>
    <row r="34" spans="1:8" ht="21" thickBot="1" x14ac:dyDescent="0.35">
      <c r="A34" s="156" t="s">
        <v>377</v>
      </c>
      <c r="B34" s="156" t="s">
        <v>376</v>
      </c>
      <c r="C34" s="156">
        <v>480</v>
      </c>
      <c r="D34" s="156" t="s">
        <v>351</v>
      </c>
      <c r="E34" s="156" t="s">
        <v>375</v>
      </c>
      <c r="F34" s="156" t="s">
        <v>349</v>
      </c>
      <c r="G34" s="156" t="s">
        <v>374</v>
      </c>
      <c r="H34" s="156" t="s">
        <v>363</v>
      </c>
    </row>
    <row r="35" spans="1:8" ht="21" thickBot="1" x14ac:dyDescent="0.35">
      <c r="A35" s="156" t="s">
        <v>372</v>
      </c>
      <c r="B35" s="156" t="s">
        <v>373</v>
      </c>
      <c r="C35" s="156">
        <v>380</v>
      </c>
      <c r="D35" s="156" t="s">
        <v>351</v>
      </c>
      <c r="E35" s="156" t="s">
        <v>350</v>
      </c>
      <c r="F35" s="156" t="s">
        <v>349</v>
      </c>
      <c r="G35" s="156" t="s">
        <v>348</v>
      </c>
      <c r="H35" s="156" t="s">
        <v>370</v>
      </c>
    </row>
    <row r="36" spans="1:8" ht="21" thickBot="1" x14ac:dyDescent="0.35">
      <c r="A36" s="156" t="s">
        <v>372</v>
      </c>
      <c r="B36" s="156" t="s">
        <v>371</v>
      </c>
      <c r="C36" s="156">
        <v>397</v>
      </c>
      <c r="D36" s="156" t="s">
        <v>351</v>
      </c>
      <c r="E36" s="156" t="s">
        <v>350</v>
      </c>
      <c r="F36" s="156" t="s">
        <v>349</v>
      </c>
      <c r="G36" s="156" t="s">
        <v>348</v>
      </c>
      <c r="H36" s="156" t="s">
        <v>370</v>
      </c>
    </row>
    <row r="37" spans="1:8" ht="15" thickBot="1" x14ac:dyDescent="0.35">
      <c r="A37" s="156"/>
      <c r="B37" s="156"/>
      <c r="C37" s="156"/>
      <c r="D37" s="156"/>
      <c r="E37" s="156"/>
      <c r="F37" s="156"/>
      <c r="G37" s="156"/>
      <c r="H37" s="156"/>
    </row>
    <row r="38" spans="1:8" ht="15" thickBot="1" x14ac:dyDescent="0.35">
      <c r="A38" s="176"/>
      <c r="B38" s="156"/>
      <c r="C38" s="156"/>
      <c r="D38" s="156"/>
      <c r="E38" s="156"/>
      <c r="F38" s="156"/>
      <c r="G38" s="156"/>
      <c r="H38" s="156"/>
    </row>
    <row r="39" spans="1:8" ht="15" thickBot="1" x14ac:dyDescent="0.35">
      <c r="A39" s="156" t="s">
        <v>369</v>
      </c>
      <c r="B39" s="156" t="s">
        <v>368</v>
      </c>
      <c r="C39" s="156">
        <v>85</v>
      </c>
      <c r="D39" s="156" t="s">
        <v>351</v>
      </c>
      <c r="E39" s="156" t="s">
        <v>350</v>
      </c>
      <c r="F39" s="156" t="s">
        <v>359</v>
      </c>
      <c r="G39" s="156" t="s">
        <v>355</v>
      </c>
      <c r="H39" s="156" t="s">
        <v>355</v>
      </c>
    </row>
    <row r="40" spans="1:8" ht="15" thickBot="1" x14ac:dyDescent="0.35">
      <c r="A40" s="176"/>
      <c r="B40" s="156"/>
      <c r="C40" s="156"/>
      <c r="D40" s="156"/>
      <c r="E40" s="156"/>
      <c r="F40" s="156"/>
      <c r="G40" s="156"/>
      <c r="H40" s="156"/>
    </row>
    <row r="41" spans="1:8" ht="15" thickBot="1" x14ac:dyDescent="0.35">
      <c r="A41" s="156"/>
      <c r="B41" s="156"/>
      <c r="C41" s="156"/>
      <c r="D41" s="156"/>
      <c r="E41" s="156"/>
      <c r="F41" s="156"/>
      <c r="G41" s="156"/>
      <c r="H41" s="156"/>
    </row>
    <row r="42" spans="1:8" ht="15" thickBot="1" x14ac:dyDescent="0.35">
      <c r="A42" s="156"/>
      <c r="B42" s="156"/>
      <c r="C42" s="156"/>
      <c r="D42" s="156"/>
      <c r="E42" s="156"/>
      <c r="F42" s="156"/>
      <c r="G42" s="156"/>
      <c r="H42" s="156"/>
    </row>
    <row r="43" spans="1:8" ht="15" thickBot="1" x14ac:dyDescent="0.35">
      <c r="A43" s="156" t="s">
        <v>367</v>
      </c>
      <c r="B43" s="156" t="s">
        <v>366</v>
      </c>
      <c r="C43" s="156">
        <v>104</v>
      </c>
      <c r="D43" s="156" t="s">
        <v>351</v>
      </c>
      <c r="E43" s="156" t="s">
        <v>350</v>
      </c>
      <c r="F43" s="156" t="s">
        <v>359</v>
      </c>
      <c r="G43" s="156" t="s">
        <v>355</v>
      </c>
      <c r="H43" s="156" t="s">
        <v>355</v>
      </c>
    </row>
    <row r="44" spans="1:8" ht="21" thickBot="1" x14ac:dyDescent="0.35">
      <c r="A44" s="176" t="s">
        <v>365</v>
      </c>
      <c r="B44" s="156" t="s">
        <v>364</v>
      </c>
      <c r="C44" s="156">
        <v>463</v>
      </c>
      <c r="D44" s="156" t="s">
        <v>351</v>
      </c>
      <c r="E44" s="156" t="s">
        <v>350</v>
      </c>
      <c r="F44" s="156" t="s">
        <v>349</v>
      </c>
      <c r="G44" s="156" t="s">
        <v>348</v>
      </c>
      <c r="H44" s="156" t="s">
        <v>363</v>
      </c>
    </row>
    <row r="45" spans="1:8" ht="15" thickBot="1" x14ac:dyDescent="0.35">
      <c r="A45" s="156"/>
      <c r="B45" s="156"/>
      <c r="C45" s="156"/>
      <c r="D45" s="156"/>
      <c r="E45" s="156"/>
      <c r="F45" s="156"/>
      <c r="G45" s="156"/>
      <c r="H45" s="156"/>
    </row>
    <row r="46" spans="1:8" ht="15" thickBot="1" x14ac:dyDescent="0.35">
      <c r="A46" s="156"/>
      <c r="B46" s="156"/>
      <c r="C46" s="156"/>
      <c r="D46" s="156"/>
      <c r="E46" s="156"/>
      <c r="F46" s="156"/>
      <c r="G46" s="156"/>
      <c r="H46" s="156"/>
    </row>
    <row r="47" spans="1:8" ht="15" thickBot="1" x14ac:dyDescent="0.35">
      <c r="A47" s="156" t="s">
        <v>361</v>
      </c>
      <c r="B47" s="156" t="s">
        <v>362</v>
      </c>
      <c r="C47" s="156">
        <v>81</v>
      </c>
      <c r="D47" s="156" t="s">
        <v>351</v>
      </c>
      <c r="E47" s="156" t="s">
        <v>350</v>
      </c>
      <c r="F47" s="156" t="s">
        <v>359</v>
      </c>
      <c r="G47" s="156" t="s">
        <v>348</v>
      </c>
      <c r="H47" s="156" t="s">
        <v>358</v>
      </c>
    </row>
    <row r="48" spans="1:8" ht="15" thickBot="1" x14ac:dyDescent="0.35">
      <c r="A48" s="156" t="s">
        <v>361</v>
      </c>
      <c r="B48" s="156" t="s">
        <v>360</v>
      </c>
      <c r="C48" s="156">
        <v>81</v>
      </c>
      <c r="D48" s="156" t="s">
        <v>351</v>
      </c>
      <c r="E48" s="156" t="s">
        <v>350</v>
      </c>
      <c r="F48" s="156" t="s">
        <v>359</v>
      </c>
      <c r="G48" s="156" t="s">
        <v>348</v>
      </c>
      <c r="H48" s="156" t="s">
        <v>358</v>
      </c>
    </row>
    <row r="49" spans="1:8" ht="15" thickBot="1" x14ac:dyDescent="0.35">
      <c r="A49" s="176"/>
      <c r="B49" s="156"/>
      <c r="C49" s="156"/>
      <c r="D49" s="156"/>
      <c r="E49" s="156"/>
      <c r="F49" s="156"/>
      <c r="G49" s="156"/>
      <c r="H49" s="156"/>
    </row>
    <row r="50" spans="1:8" ht="15" thickBot="1" x14ac:dyDescent="0.35">
      <c r="A50" s="156"/>
      <c r="B50" s="156"/>
      <c r="C50" s="156"/>
      <c r="D50" s="156"/>
      <c r="E50" s="156"/>
      <c r="F50" s="156"/>
      <c r="G50" s="156"/>
      <c r="H50" s="156"/>
    </row>
    <row r="51" spans="1:8" ht="15" thickBot="1" x14ac:dyDescent="0.35">
      <c r="A51" s="156"/>
      <c r="B51" s="156"/>
      <c r="C51" s="156"/>
      <c r="D51" s="156"/>
      <c r="E51" s="156"/>
      <c r="F51" s="156"/>
      <c r="G51" s="156"/>
      <c r="H51" s="156"/>
    </row>
    <row r="52" spans="1:8" ht="15" thickBot="1" x14ac:dyDescent="0.35">
      <c r="A52" s="156"/>
      <c r="B52" s="156"/>
      <c r="C52" s="156"/>
      <c r="D52" s="156"/>
      <c r="E52" s="156"/>
      <c r="F52" s="156"/>
      <c r="G52" s="156"/>
      <c r="H52" s="156"/>
    </row>
    <row r="53" spans="1:8" ht="15" thickBot="1" x14ac:dyDescent="0.35">
      <c r="A53" s="156"/>
      <c r="B53" s="156"/>
      <c r="C53" s="156"/>
      <c r="D53" s="156"/>
      <c r="E53" s="156"/>
      <c r="F53" s="156"/>
      <c r="G53" s="156"/>
      <c r="H53" s="156"/>
    </row>
    <row r="54" spans="1:8" ht="15" thickBot="1" x14ac:dyDescent="0.35">
      <c r="A54" s="156"/>
      <c r="B54" s="156"/>
      <c r="C54" s="156"/>
      <c r="D54" s="156"/>
      <c r="E54" s="156"/>
      <c r="F54" s="156"/>
      <c r="G54" s="156"/>
      <c r="H54" s="156"/>
    </row>
    <row r="55" spans="1:8" ht="21" thickBot="1" x14ac:dyDescent="0.35">
      <c r="A55" s="156" t="s">
        <v>357</v>
      </c>
      <c r="B55" s="156" t="s">
        <v>356</v>
      </c>
      <c r="C55" s="156">
        <v>386</v>
      </c>
      <c r="D55" s="156" t="s">
        <v>351</v>
      </c>
      <c r="E55" s="156" t="s">
        <v>350</v>
      </c>
      <c r="F55" s="156" t="s">
        <v>349</v>
      </c>
      <c r="G55" s="156" t="s">
        <v>355</v>
      </c>
      <c r="H55" s="156" t="s">
        <v>354</v>
      </c>
    </row>
    <row r="56" spans="1:8" ht="15" thickBot="1" x14ac:dyDescent="0.35">
      <c r="A56" s="176"/>
      <c r="B56" s="156"/>
      <c r="C56" s="156"/>
      <c r="D56" s="156"/>
      <c r="E56" s="156"/>
      <c r="F56" s="156"/>
      <c r="G56" s="156"/>
      <c r="H56" s="156"/>
    </row>
    <row r="57" spans="1:8" ht="21" thickBot="1" x14ac:dyDescent="0.35">
      <c r="A57" s="176" t="s">
        <v>353</v>
      </c>
      <c r="B57" s="156" t="s">
        <v>352</v>
      </c>
      <c r="C57" s="156">
        <v>444</v>
      </c>
      <c r="D57" s="156" t="s">
        <v>351</v>
      </c>
      <c r="E57" s="156" t="s">
        <v>350</v>
      </c>
      <c r="F57" s="156" t="s">
        <v>349</v>
      </c>
      <c r="G57" s="156" t="s">
        <v>348</v>
      </c>
      <c r="H57" s="156" t="s">
        <v>347</v>
      </c>
    </row>
    <row r="58" spans="1:8" x14ac:dyDescent="0.3">
      <c r="C58" s="154">
        <f>SUM(C23:C57)</f>
        <v>4522</v>
      </c>
    </row>
    <row r="59" spans="1:8" x14ac:dyDescent="0.3">
      <c r="C59" s="154">
        <f>(C58/1000)</f>
        <v>4.5220000000000002</v>
      </c>
    </row>
    <row r="60" spans="1:8" x14ac:dyDescent="0.3">
      <c r="C60" s="154">
        <f>(C59*8760)</f>
        <v>39612.720000000001</v>
      </c>
    </row>
  </sheetData>
  <hyperlinks>
    <hyperlink ref="A24" r:id="rId1" tooltip="Aghada power station" display="https://en.wikipedia.org/wiki/Aghada_power_station" xr:uid="{147E16DC-91F1-406D-B03E-B2957546A211}"/>
    <hyperlink ref="E25" r:id="rId2" tooltip="Fuel oil" display="https://en.wikipedia.org/wiki/Fuel_oil" xr:uid="{9A2EDA99-C1F4-4EC6-AF8E-CF54858DD207}"/>
    <hyperlink ref="F28" r:id="rId3" tooltip="Combined Cycle (page does not exist)" display="https://en.wikipedia.org/w/index.php?title=Combined_Cycle&amp;action=edit&amp;redlink=1" xr:uid="{89A351E2-5271-4346-B3BF-ABF4D4FC9B7B}"/>
    <hyperlink ref="G28" r:id="rId4" tooltip="Waste heat recovery unit" display="https://en.wikipedia.org/wiki/Waste_heat_recovery_unit" xr:uid="{40E1E547-E259-4705-B3AD-0FF5956B9358}"/>
    <hyperlink ref="A44" r:id="rId5" tooltip="Poolbeg Generating Station" display="https://en.wikipedia.org/wiki/Poolbeg_Generating_Station" xr:uid="{5FB42AFB-5378-4340-924F-DD71F841F64A}"/>
    <hyperlink ref="A57" r:id="rId6" tooltip="Whitegate power station" display="https://en.wikipedia.org/wiki/Whitegate_power_station" xr:uid="{EEAC2D30-5845-453C-9E58-F0B0997D9647}"/>
  </hyperlinks>
  <pageMargins left="0.70000000000000007" right="0.70000000000000007" top="0.75" bottom="0.75" header="0.30000000000000004" footer="0.30000000000000004"/>
  <pageSetup paperSize="9" fitToWidth="0" fitToHeight="0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D64A-2A07-42A4-AE95-7E37A2870DD3}">
  <dimension ref="A3:I27"/>
  <sheetViews>
    <sheetView tabSelected="1" zoomScale="90" zoomScaleNormal="90" workbookViewId="0">
      <selection activeCell="J20" sqref="J20"/>
    </sheetView>
  </sheetViews>
  <sheetFormatPr defaultRowHeight="14.4" x14ac:dyDescent="0.3"/>
  <cols>
    <col min="1" max="1" width="12.796875" style="149" customWidth="1"/>
    <col min="2" max="2" width="12" style="149" customWidth="1"/>
    <col min="3" max="3" width="10.796875" style="149" bestFit="1" customWidth="1"/>
    <col min="4" max="16384" width="8.796875" style="149"/>
  </cols>
  <sheetData>
    <row r="3" spans="1:9" x14ac:dyDescent="0.3">
      <c r="A3" s="149" t="s">
        <v>428</v>
      </c>
      <c r="B3" s="149" t="s">
        <v>417</v>
      </c>
      <c r="C3" s="149">
        <v>2</v>
      </c>
    </row>
    <row r="4" spans="1:9" x14ac:dyDescent="0.3">
      <c r="A4" s="149" t="s">
        <v>427</v>
      </c>
      <c r="B4" s="149" t="s">
        <v>417</v>
      </c>
      <c r="C4" s="149">
        <v>4</v>
      </c>
    </row>
    <row r="5" spans="1:9" x14ac:dyDescent="0.3">
      <c r="A5" s="149" t="s">
        <v>426</v>
      </c>
      <c r="C5" s="149" t="s">
        <v>425</v>
      </c>
    </row>
    <row r="10" spans="1:9" x14ac:dyDescent="0.3">
      <c r="A10" s="149" t="s">
        <v>424</v>
      </c>
      <c r="B10" s="149" t="s">
        <v>423</v>
      </c>
      <c r="C10" s="149">
        <v>1026</v>
      </c>
    </row>
    <row r="11" spans="1:9" x14ac:dyDescent="0.3">
      <c r="A11" s="149" t="s">
        <v>422</v>
      </c>
      <c r="B11" s="149" t="s">
        <v>421</v>
      </c>
      <c r="C11" s="149">
        <v>9.81</v>
      </c>
    </row>
    <row r="12" spans="1:9" x14ac:dyDescent="0.3">
      <c r="A12" s="149" t="s">
        <v>420</v>
      </c>
      <c r="B12" s="149" t="s">
        <v>419</v>
      </c>
      <c r="C12" s="149">
        <f>7*(10^6)</f>
        <v>7000000</v>
      </c>
      <c r="D12" s="149" t="s">
        <v>416</v>
      </c>
    </row>
    <row r="13" spans="1:9" x14ac:dyDescent="0.3">
      <c r="A13" s="149" t="s">
        <v>418</v>
      </c>
      <c r="B13" s="149" t="s">
        <v>417</v>
      </c>
      <c r="C13" s="149">
        <v>4</v>
      </c>
      <c r="D13" s="149" t="s">
        <v>416</v>
      </c>
      <c r="H13" s="149">
        <v>2</v>
      </c>
    </row>
    <row r="14" spans="1:9" x14ac:dyDescent="0.3">
      <c r="A14" s="149" t="s">
        <v>415</v>
      </c>
      <c r="B14" s="149" t="s">
        <v>414</v>
      </c>
      <c r="C14" s="149">
        <f>C10*C11*C12*C13*C13/2</f>
        <v>563643360000.00012</v>
      </c>
    </row>
    <row r="15" spans="1:9" x14ac:dyDescent="0.3">
      <c r="A15" s="149" t="s">
        <v>413</v>
      </c>
      <c r="B15" s="149" t="s">
        <v>412</v>
      </c>
      <c r="C15" s="149">
        <f>C14/(3600*1000000000)</f>
        <v>0.15656760000000003</v>
      </c>
      <c r="H15" s="149">
        <v>0.117311</v>
      </c>
      <c r="I15" s="149" t="s">
        <v>411</v>
      </c>
    </row>
    <row r="16" spans="1:9" x14ac:dyDescent="0.3">
      <c r="B16" s="149" t="s">
        <v>410</v>
      </c>
      <c r="C16" s="149">
        <f>C15*2</f>
        <v>0.31313520000000006</v>
      </c>
      <c r="H16" s="149">
        <v>0.234622</v>
      </c>
      <c r="I16" s="149" t="s">
        <v>410</v>
      </c>
    </row>
    <row r="19" spans="2:7" x14ac:dyDescent="0.3">
      <c r="F19" s="149">
        <f>C16+H16</f>
        <v>0.54775720000000006</v>
      </c>
      <c r="G19" s="149" t="s">
        <v>409</v>
      </c>
    </row>
    <row r="20" spans="2:7" x14ac:dyDescent="0.3">
      <c r="F20" s="149">
        <f>(F19*365)/2</f>
        <v>99.965689000000012</v>
      </c>
      <c r="G20" s="149" t="s">
        <v>406</v>
      </c>
    </row>
    <row r="25" spans="2:7" x14ac:dyDescent="0.3">
      <c r="B25" s="149" t="s">
        <v>408</v>
      </c>
      <c r="C25" s="149">
        <f>370</f>
        <v>370</v>
      </c>
    </row>
    <row r="26" spans="2:7" x14ac:dyDescent="0.3">
      <c r="B26" s="149" t="s">
        <v>407</v>
      </c>
      <c r="C26" s="149">
        <f>F20*C25</f>
        <v>36987.304930000006</v>
      </c>
      <c r="D26" s="149" t="s">
        <v>406</v>
      </c>
    </row>
    <row r="27" spans="2:7" x14ac:dyDescent="0.3">
      <c r="C27" s="149">
        <f>C26/8760</f>
        <v>4.2222950833333339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Calculations</vt:lpstr>
      <vt:lpstr>Demand</vt:lpstr>
      <vt:lpstr>Assumptions</vt:lpstr>
      <vt:lpstr>WindT</vt:lpstr>
      <vt:lpstr>Sheet1</vt:lpstr>
      <vt:lpstr>Sheet1 (2)</vt:lpstr>
      <vt:lpstr>Tidal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</cp:lastModifiedBy>
  <dcterms:created xsi:type="dcterms:W3CDTF">2022-04-25T08:01:52Z</dcterms:created>
  <dcterms:modified xsi:type="dcterms:W3CDTF">2022-05-17T06:05:51Z</dcterms:modified>
</cp:coreProperties>
</file>