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o\OneDrive\Desktop\Project Folder\Portfolio -MsExcel\"/>
    </mc:Choice>
  </mc:AlternateContent>
  <xr:revisionPtr revIDLastSave="0" documentId="13_ncr:1_{801FAA57-582C-41A2-9F2D-6323C922C8BB}" xr6:coauthVersionLast="47" xr6:coauthVersionMax="47" xr10:uidLastSave="{00000000-0000-0000-0000-000000000000}"/>
  <bookViews>
    <workbookView xWindow="-108" yWindow="-108" windowWidth="23256" windowHeight="12456" activeTab="8" xr2:uid="{421EFA3B-C733-4731-AF5A-398B17ED8E2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8" l="1"/>
  <c r="F3" i="8"/>
  <c r="G3" i="8"/>
  <c r="F1" i="7"/>
  <c r="D3" i="6"/>
  <c r="C18" i="2"/>
  <c r="E17" i="4"/>
  <c r="C17" i="2"/>
  <c r="K14" i="2"/>
  <c r="L13" i="2"/>
  <c r="K13" i="2"/>
  <c r="L3" i="9"/>
  <c r="G4" i="9"/>
  <c r="G3" i="9"/>
  <c r="D2" i="10"/>
  <c r="D6" i="10" s="1"/>
  <c r="B6" i="10"/>
  <c r="D5" i="10"/>
  <c r="D4" i="10"/>
  <c r="D3" i="10"/>
  <c r="G5" i="8"/>
  <c r="J5" i="8"/>
  <c r="G6" i="8"/>
  <c r="J6" i="8"/>
  <c r="G7" i="8"/>
  <c r="J7" i="8"/>
  <c r="G8" i="8"/>
  <c r="J8" i="8"/>
  <c r="G9" i="8"/>
  <c r="J9" i="8"/>
  <c r="G10" i="8"/>
  <c r="J10" i="8"/>
  <c r="G11" i="8"/>
  <c r="J11" i="8"/>
  <c r="G12" i="8"/>
  <c r="J12" i="8"/>
  <c r="G13" i="8"/>
  <c r="J13" i="8"/>
  <c r="G14" i="8"/>
  <c r="J14" i="8"/>
  <c r="G15" i="8"/>
  <c r="J15" i="8"/>
  <c r="G16" i="8"/>
  <c r="J16" i="8"/>
  <c r="G17" i="8"/>
  <c r="J17" i="8"/>
  <c r="J4" i="8"/>
  <c r="G4" i="8"/>
  <c r="J3" i="8"/>
  <c r="K3" i="8" s="1"/>
  <c r="L3" i="8" s="1"/>
  <c r="H3" i="8"/>
  <c r="F6" i="8"/>
  <c r="F5" i="8"/>
  <c r="F11" i="8"/>
  <c r="F13" i="8"/>
  <c r="F9" i="8"/>
  <c r="F10" i="8"/>
  <c r="F4" i="8"/>
  <c r="F12" i="8"/>
  <c r="F14" i="8"/>
  <c r="F15" i="8"/>
  <c r="F8" i="8"/>
  <c r="F16" i="8"/>
  <c r="F17" i="8"/>
  <c r="F7" i="8"/>
  <c r="C12" i="11"/>
  <c r="D4" i="11"/>
  <c r="D5" i="11"/>
  <c r="D3" i="11"/>
  <c r="D6" i="11" s="1"/>
  <c r="N4" i="9"/>
  <c r="N5" i="9"/>
  <c r="N3" i="9"/>
  <c r="M6" i="9"/>
  <c r="M4" i="9"/>
  <c r="M5" i="9"/>
  <c r="M3" i="9"/>
  <c r="L6" i="9"/>
  <c r="L4" i="9"/>
  <c r="L5" i="9"/>
  <c r="K14" i="9"/>
  <c r="F4" i="9"/>
  <c r="K4" i="9" s="1"/>
  <c r="F5" i="9"/>
  <c r="K5" i="9" s="1"/>
  <c r="F6" i="9"/>
  <c r="K6" i="9" s="1"/>
  <c r="F7" i="9"/>
  <c r="K7" i="9" s="1"/>
  <c r="F8" i="9"/>
  <c r="K8" i="9" s="1"/>
  <c r="F9" i="9"/>
  <c r="K9" i="9" s="1"/>
  <c r="F10" i="9"/>
  <c r="F11" i="9"/>
  <c r="F12" i="9"/>
  <c r="F13" i="9"/>
  <c r="F14" i="9"/>
  <c r="F15" i="9"/>
  <c r="K15" i="9" s="1"/>
  <c r="F16" i="9"/>
  <c r="K16" i="9" s="1"/>
  <c r="F17" i="9"/>
  <c r="K17" i="9" s="1"/>
  <c r="F3" i="9"/>
  <c r="K3" i="9" s="1"/>
  <c r="I3" i="9"/>
  <c r="J3" i="9"/>
  <c r="I4" i="9"/>
  <c r="J4" i="9" s="1"/>
  <c r="A20" i="8"/>
  <c r="I5" i="9"/>
  <c r="I6" i="9"/>
  <c r="I7" i="9"/>
  <c r="I8" i="9"/>
  <c r="I9" i="9"/>
  <c r="I10" i="9"/>
  <c r="K10" i="9" s="1"/>
  <c r="I11" i="9"/>
  <c r="K11" i="9" s="1"/>
  <c r="I12" i="9"/>
  <c r="K12" i="9" s="1"/>
  <c r="I13" i="9"/>
  <c r="K13" i="9" s="1"/>
  <c r="I14" i="9"/>
  <c r="I15" i="9"/>
  <c r="I16" i="9"/>
  <c r="I17" i="9"/>
  <c r="B22" i="8"/>
  <c r="B21" i="8"/>
  <c r="E2" i="7"/>
  <c r="F2" i="7" s="1"/>
  <c r="E13" i="7"/>
  <c r="F13" i="7" s="1"/>
  <c r="E4" i="7"/>
  <c r="F4" i="7" s="1"/>
  <c r="E7" i="7"/>
  <c r="F7" i="7" s="1"/>
  <c r="E5" i="7"/>
  <c r="F5" i="7" s="1"/>
  <c r="E6" i="7"/>
  <c r="F6" i="7" s="1"/>
  <c r="E14" i="7"/>
  <c r="F14" i="7" s="1"/>
  <c r="E3" i="7"/>
  <c r="F3" i="7" s="1"/>
  <c r="E10" i="7"/>
  <c r="F10" i="7" s="1"/>
  <c r="E12" i="7"/>
  <c r="F12" i="7" s="1"/>
  <c r="E8" i="7"/>
  <c r="F8" i="7" s="1"/>
  <c r="E11" i="7"/>
  <c r="F11" i="7" s="1"/>
  <c r="E9" i="7"/>
  <c r="F9" i="7" s="1"/>
  <c r="E15" i="7"/>
  <c r="F15" i="7" s="1"/>
  <c r="E1" i="7"/>
  <c r="D171" i="2"/>
  <c r="D159" i="2"/>
  <c r="D147" i="2"/>
  <c r="D135" i="2"/>
  <c r="D123" i="2"/>
  <c r="D111" i="2"/>
  <c r="D99" i="2"/>
  <c r="D87" i="2"/>
  <c r="D75" i="2"/>
  <c r="D63" i="2"/>
  <c r="D51" i="2"/>
  <c r="D39" i="2"/>
  <c r="D27" i="2"/>
  <c r="D15" i="2"/>
  <c r="D3" i="2"/>
  <c r="N11" i="2"/>
  <c r="M11" i="2"/>
  <c r="M6" i="2"/>
  <c r="M7" i="2"/>
  <c r="M8" i="2"/>
  <c r="M9" i="2"/>
  <c r="M10" i="2"/>
  <c r="M5" i="2"/>
  <c r="L6" i="2"/>
  <c r="L7" i="2"/>
  <c r="L8" i="2"/>
  <c r="L9" i="2"/>
  <c r="L10" i="2"/>
  <c r="L5" i="2"/>
  <c r="F7" i="6"/>
  <c r="D9" i="6"/>
  <c r="F9" i="6" s="1"/>
  <c r="D4" i="6"/>
  <c r="F4" i="6" s="1"/>
  <c r="D6" i="6"/>
  <c r="F6" i="6" s="1"/>
  <c r="D12" i="6"/>
  <c r="F12" i="6" s="1"/>
  <c r="D8" i="6"/>
  <c r="F8" i="6" s="1"/>
  <c r="D11" i="6"/>
  <c r="F11" i="6" s="1"/>
  <c r="D7" i="6"/>
  <c r="F3" i="6"/>
  <c r="D15" i="6"/>
  <c r="F15" i="6" s="1"/>
  <c r="D10" i="6"/>
  <c r="F10" i="6" s="1"/>
  <c r="D14" i="6"/>
  <c r="F14" i="6" s="1"/>
  <c r="D17" i="6"/>
  <c r="F17" i="6" s="1"/>
  <c r="D16" i="6"/>
  <c r="F16" i="6" s="1"/>
  <c r="D13" i="6"/>
  <c r="F13" i="6" s="1"/>
  <c r="D5" i="6"/>
  <c r="F5" i="6" s="1"/>
  <c r="D3" i="5"/>
  <c r="E134" i="4"/>
  <c r="E125" i="4"/>
  <c r="E116" i="4"/>
  <c r="E107" i="4"/>
  <c r="E98" i="4"/>
  <c r="E89" i="4"/>
  <c r="E80" i="4"/>
  <c r="E71" i="4"/>
  <c r="E62" i="4"/>
  <c r="E53" i="4"/>
  <c r="E44" i="4"/>
  <c r="E35" i="4"/>
  <c r="E26" i="4"/>
  <c r="C13" i="4"/>
  <c r="G11" i="4"/>
  <c r="H6" i="4"/>
  <c r="H7" i="4"/>
  <c r="H8" i="4"/>
  <c r="H9" i="4"/>
  <c r="H10" i="4"/>
  <c r="G6" i="4"/>
  <c r="G7" i="4"/>
  <c r="G8" i="4"/>
  <c r="G9" i="4"/>
  <c r="G10" i="4"/>
  <c r="G5" i="4"/>
  <c r="F6" i="4"/>
  <c r="F7" i="4"/>
  <c r="F8" i="4"/>
  <c r="F9" i="4"/>
  <c r="F10" i="4"/>
  <c r="F5" i="4"/>
  <c r="H5" i="4" s="1"/>
  <c r="H11" i="4" s="1"/>
  <c r="B13" i="4" s="1"/>
  <c r="E6" i="4"/>
  <c r="E7" i="4"/>
  <c r="E8" i="4"/>
  <c r="E9" i="4"/>
  <c r="E10" i="4"/>
  <c r="E5" i="4"/>
  <c r="D3" i="3"/>
  <c r="C180" i="2"/>
  <c r="C179" i="2"/>
  <c r="C174" i="2"/>
  <c r="C175" i="2"/>
  <c r="C176" i="2"/>
  <c r="C177" i="2"/>
  <c r="C178" i="2"/>
  <c r="C173" i="2"/>
  <c r="C150" i="2"/>
  <c r="C151" i="2"/>
  <c r="C152" i="2"/>
  <c r="C153" i="2"/>
  <c r="C154" i="2"/>
  <c r="C149" i="2"/>
  <c r="C156" i="2" s="1"/>
  <c r="C168" i="2"/>
  <c r="C167" i="2"/>
  <c r="C162" i="2"/>
  <c r="C163" i="2"/>
  <c r="C164" i="2"/>
  <c r="C165" i="2"/>
  <c r="C166" i="2"/>
  <c r="C161" i="2"/>
  <c r="C144" i="2"/>
  <c r="C143" i="2"/>
  <c r="C138" i="2"/>
  <c r="C139" i="2"/>
  <c r="C140" i="2"/>
  <c r="C141" i="2"/>
  <c r="C142" i="2"/>
  <c r="C137" i="2"/>
  <c r="C132" i="2"/>
  <c r="C131" i="2"/>
  <c r="C126" i="2"/>
  <c r="C127" i="2"/>
  <c r="C128" i="2"/>
  <c r="C129" i="2"/>
  <c r="C130" i="2"/>
  <c r="C125" i="2"/>
  <c r="C120" i="2"/>
  <c r="C119" i="2"/>
  <c r="C114" i="2"/>
  <c r="C115" i="2"/>
  <c r="C116" i="2"/>
  <c r="C117" i="2"/>
  <c r="C118" i="2"/>
  <c r="C113" i="2"/>
  <c r="C108" i="2"/>
  <c r="C107" i="2"/>
  <c r="C102" i="2"/>
  <c r="C103" i="2"/>
  <c r="C104" i="2"/>
  <c r="C105" i="2"/>
  <c r="C106" i="2"/>
  <c r="C101" i="2"/>
  <c r="C96" i="2"/>
  <c r="C95" i="2"/>
  <c r="C90" i="2"/>
  <c r="C91" i="2"/>
  <c r="C92" i="2"/>
  <c r="C93" i="2"/>
  <c r="C94" i="2"/>
  <c r="C89" i="2"/>
  <c r="C84" i="2"/>
  <c r="C83" i="2"/>
  <c r="C78" i="2"/>
  <c r="C79" i="2"/>
  <c r="C80" i="2"/>
  <c r="C81" i="2"/>
  <c r="C82" i="2"/>
  <c r="C77" i="2"/>
  <c r="C72" i="2"/>
  <c r="C71" i="2"/>
  <c r="C66" i="2"/>
  <c r="C67" i="2"/>
  <c r="C68" i="2"/>
  <c r="C69" i="2"/>
  <c r="C70" i="2"/>
  <c r="C65" i="2"/>
  <c r="C60" i="2"/>
  <c r="C59" i="2"/>
  <c r="C54" i="2"/>
  <c r="C55" i="2"/>
  <c r="C56" i="2"/>
  <c r="C57" i="2"/>
  <c r="C58" i="2"/>
  <c r="C53" i="2"/>
  <c r="C48" i="2"/>
  <c r="C47" i="2"/>
  <c r="C42" i="2"/>
  <c r="C43" i="2"/>
  <c r="C44" i="2"/>
  <c r="C45" i="2"/>
  <c r="C46" i="2"/>
  <c r="C41" i="2"/>
  <c r="C36" i="2"/>
  <c r="C35" i="2"/>
  <c r="C30" i="2"/>
  <c r="C31" i="2"/>
  <c r="C32" i="2"/>
  <c r="C33" i="2"/>
  <c r="C34" i="2"/>
  <c r="C29" i="2"/>
  <c r="C24" i="2"/>
  <c r="C23" i="2"/>
  <c r="C19" i="2"/>
  <c r="C20" i="2"/>
  <c r="C21" i="2"/>
  <c r="C22" i="2"/>
  <c r="K12" i="2"/>
  <c r="K11" i="2"/>
  <c r="K6" i="2"/>
  <c r="K7" i="2"/>
  <c r="K8" i="2"/>
  <c r="K9" i="2"/>
  <c r="K10" i="2"/>
  <c r="K5" i="2"/>
  <c r="C12" i="2"/>
  <c r="C11" i="2"/>
  <c r="C6" i="2"/>
  <c r="C7" i="2"/>
  <c r="C8" i="2"/>
  <c r="C9" i="2"/>
  <c r="C10" i="2"/>
  <c r="C5" i="2"/>
  <c r="K4" i="8" l="1"/>
  <c r="K5" i="8" s="1"/>
  <c r="I3" i="8"/>
  <c r="M3" i="8"/>
  <c r="H4" i="8"/>
  <c r="I4" i="8" s="1"/>
  <c r="L4" i="8"/>
  <c r="C18" i="9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C155" i="2"/>
  <c r="H5" i="8" l="1"/>
  <c r="H6" i="8"/>
  <c r="I5" i="8"/>
  <c r="K6" i="8"/>
  <c r="L5" i="8"/>
  <c r="M4" i="8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M5" i="8" l="1"/>
  <c r="K7" i="8"/>
  <c r="L6" i="8"/>
  <c r="H7" i="8"/>
  <c r="I6" i="8"/>
  <c r="M6" i="8" s="1"/>
  <c r="H8" i="8" l="1"/>
  <c r="I7" i="8"/>
  <c r="M7" i="8" s="1"/>
  <c r="L7" i="8"/>
  <c r="K8" i="8"/>
  <c r="L8" i="8" l="1"/>
  <c r="K9" i="8"/>
  <c r="H9" i="8"/>
  <c r="I8" i="8"/>
  <c r="M8" i="8" s="1"/>
  <c r="D25" i="8" l="1"/>
  <c r="D26" i="8"/>
  <c r="D28" i="8"/>
  <c r="D27" i="8"/>
  <c r="H10" i="8"/>
  <c r="I9" i="8"/>
  <c r="L9" i="8"/>
  <c r="K10" i="8"/>
  <c r="E28" i="8" l="1"/>
  <c r="D29" i="8"/>
  <c r="M9" i="8"/>
  <c r="L10" i="8"/>
  <c r="K11" i="8"/>
  <c r="H11" i="8"/>
  <c r="I10" i="8"/>
  <c r="M10" i="8" s="1"/>
  <c r="E26" i="8" l="1"/>
  <c r="E29" i="8" s="1"/>
  <c r="E27" i="8"/>
  <c r="L11" i="8"/>
  <c r="K12" i="8"/>
  <c r="H12" i="8"/>
  <c r="I11" i="8"/>
  <c r="M11" i="8" l="1"/>
  <c r="H13" i="8"/>
  <c r="I12" i="8"/>
  <c r="L12" i="8"/>
  <c r="K13" i="8"/>
  <c r="L13" i="8" l="1"/>
  <c r="K14" i="8"/>
  <c r="M12" i="8"/>
  <c r="H14" i="8"/>
  <c r="I13" i="8"/>
  <c r="M13" i="8" l="1"/>
  <c r="H15" i="8"/>
  <c r="I14" i="8"/>
  <c r="L14" i="8"/>
  <c r="K15" i="8"/>
  <c r="L15" i="8" l="1"/>
  <c r="K16" i="8"/>
  <c r="M14" i="8"/>
  <c r="H16" i="8"/>
  <c r="I15" i="8"/>
  <c r="M15" i="8" l="1"/>
  <c r="I16" i="8"/>
  <c r="H17" i="8"/>
  <c r="I17" i="8" s="1"/>
  <c r="L16" i="8"/>
  <c r="K17" i="8"/>
  <c r="L17" i="8" s="1"/>
  <c r="M17" i="8" l="1"/>
  <c r="M16" i="8"/>
</calcChain>
</file>

<file path=xl/sharedStrings.xml><?xml version="1.0" encoding="utf-8"?>
<sst xmlns="http://schemas.openxmlformats.org/spreadsheetml/2006/main" count="408" uniqueCount="118">
  <si>
    <t>Sample Companies from Nifty 50 for SAPM Mini Project</t>
  </si>
  <si>
    <t>Sample Companies</t>
  </si>
  <si>
    <t>Sl No</t>
  </si>
  <si>
    <t>Company name</t>
  </si>
  <si>
    <t>Asian Paints Ltd</t>
  </si>
  <si>
    <t>Bajaj Finance Ltd</t>
  </si>
  <si>
    <t>Oil &amp; Natural Gas Corporation Ltd</t>
  </si>
  <si>
    <t>Infosys Ltd</t>
  </si>
  <si>
    <t>Maruti Suzuki India Ltd</t>
  </si>
  <si>
    <t>Cipla Ltd</t>
  </si>
  <si>
    <t>HDFC Bank Ltd</t>
  </si>
  <si>
    <t>ITC Ltd</t>
  </si>
  <si>
    <t>Apollo Hospitals Enterprise Ltd</t>
  </si>
  <si>
    <t xml:space="preserve">Adani Enterprises Ltd </t>
  </si>
  <si>
    <t>Ultratech Cement Ltd</t>
  </si>
  <si>
    <t>JSW Steel Ltd</t>
  </si>
  <si>
    <t>Coal India Ltd</t>
  </si>
  <si>
    <t>NTPC Ltd</t>
  </si>
  <si>
    <t>Bharti Airtel Ltd</t>
  </si>
  <si>
    <t xml:space="preserve"> </t>
  </si>
  <si>
    <t>Year</t>
  </si>
  <si>
    <t>Price</t>
  </si>
  <si>
    <t>Return in %</t>
  </si>
  <si>
    <t>Sum</t>
  </si>
  <si>
    <t>Mean</t>
  </si>
  <si>
    <t>Return Calculation</t>
  </si>
  <si>
    <t>Adani Enterprises</t>
  </si>
  <si>
    <t>Nifty 50 Index Return</t>
  </si>
  <si>
    <t>Apollo Hospital</t>
  </si>
  <si>
    <t>Asian Paints</t>
  </si>
  <si>
    <t>Bajaj Finance</t>
  </si>
  <si>
    <t>Bharti Airtel</t>
  </si>
  <si>
    <t xml:space="preserve">Mean </t>
  </si>
  <si>
    <t>Mean Returns of Sample Companies' Stocks</t>
  </si>
  <si>
    <t>Sl. No</t>
  </si>
  <si>
    <t>Scrip Name</t>
  </si>
  <si>
    <t>Mean Return (in %)</t>
  </si>
  <si>
    <t>Calculation of Beta</t>
  </si>
  <si>
    <t>Rm</t>
  </si>
  <si>
    <t>Ri</t>
  </si>
  <si>
    <t>Ri bar</t>
  </si>
  <si>
    <t>Rm bar</t>
  </si>
  <si>
    <t>Rm - Rmbar</t>
  </si>
  <si>
    <t>Ri - Ribar</t>
  </si>
  <si>
    <t>(Rm-Rmbar)^2</t>
  </si>
  <si>
    <t>(Rm-Rmbar)(Ri-Ribar)</t>
  </si>
  <si>
    <t>Apollo Hospitals</t>
  </si>
  <si>
    <t>Beta(Apollo Hospitals) =</t>
  </si>
  <si>
    <t>Beta(Adani Enterprises)</t>
  </si>
  <si>
    <t>Beta(Asian Paints)</t>
  </si>
  <si>
    <t>Beta(Bajaj Finance)</t>
  </si>
  <si>
    <t>Beta(Bharti Airtel)</t>
  </si>
  <si>
    <t>Beta(Cipla Ltd)</t>
  </si>
  <si>
    <t>Beta(Coal India)</t>
  </si>
  <si>
    <t>HDFC Bank</t>
  </si>
  <si>
    <t>Beta(HDFC Bank)</t>
  </si>
  <si>
    <t>Beta(Infosys Ltd)</t>
  </si>
  <si>
    <t>Beta(ITC Ltd)</t>
  </si>
  <si>
    <t>Beta(JSW Steel Ltd)</t>
  </si>
  <si>
    <t>Beta(Maruti Suzuki)</t>
  </si>
  <si>
    <t>Beta(NTPC Ltd)</t>
  </si>
  <si>
    <t>ONGC</t>
  </si>
  <si>
    <t>Beta(ONGC)</t>
  </si>
  <si>
    <t>Ultratech Cement</t>
  </si>
  <si>
    <t>Beta(Ultratech Cement)</t>
  </si>
  <si>
    <t>Beta values of the Sample companies' Stocks</t>
  </si>
  <si>
    <t>Beta Values</t>
  </si>
  <si>
    <t>Ranking of the Stocks based on Excess Return to Beta Ratio</t>
  </si>
  <si>
    <t>Sl no</t>
  </si>
  <si>
    <t>Company Name</t>
  </si>
  <si>
    <t>Ri-Rf</t>
  </si>
  <si>
    <t>β</t>
  </si>
  <si>
    <t>(Ri-Rf)/β</t>
  </si>
  <si>
    <t>Rank</t>
  </si>
  <si>
    <t>Rf</t>
  </si>
  <si>
    <t xml:space="preserve">Sl No </t>
  </si>
  <si>
    <t>Rm (Return in %)</t>
  </si>
  <si>
    <t>(Rm - Rmbar)^2</t>
  </si>
  <si>
    <t>N = 6</t>
  </si>
  <si>
    <t>Sample Companies based on their Ranks and Unsystematic Risk</t>
  </si>
  <si>
    <t>β^2</t>
  </si>
  <si>
    <t>Unsystematic Risk of the Sample Companies</t>
  </si>
  <si>
    <t>&gt; Adani Enterprises</t>
  </si>
  <si>
    <t>&gt; Ultratech Cement</t>
  </si>
  <si>
    <t>Ci of Sample Companies' Stocks</t>
  </si>
  <si>
    <t xml:space="preserve">Company name </t>
  </si>
  <si>
    <t>Ci</t>
  </si>
  <si>
    <t>Ri-Rf/β</t>
  </si>
  <si>
    <t>(Ri-Rf)β/б2ei</t>
  </si>
  <si>
    <t>Σ(Ri-Rf)β/б2ei</t>
  </si>
  <si>
    <t>б2m*Σ(Ri-Rf)β/б2ei</t>
  </si>
  <si>
    <t>β2/б2ei</t>
  </si>
  <si>
    <t>Σβ2/б2ei</t>
  </si>
  <si>
    <t>1+б2m*Σβ2/б2ei</t>
  </si>
  <si>
    <t>Zi</t>
  </si>
  <si>
    <r>
      <t>X</t>
    </r>
    <r>
      <rPr>
        <b/>
        <vertAlign val="subscript"/>
        <sz val="16"/>
        <color indexed="56"/>
        <rFont val="Times New Roman"/>
        <family val="1"/>
      </rPr>
      <t>i</t>
    </r>
  </si>
  <si>
    <r>
      <t>Z</t>
    </r>
    <r>
      <rPr>
        <b/>
        <vertAlign val="subscript"/>
        <sz val="16"/>
        <color indexed="10"/>
        <rFont val="Times New Roman"/>
        <family val="1"/>
      </rPr>
      <t>i</t>
    </r>
  </si>
  <si>
    <t>Zi/∑Zi</t>
  </si>
  <si>
    <r>
      <t>β⁄σ2</t>
    </r>
    <r>
      <rPr>
        <b/>
        <vertAlign val="subscript"/>
        <sz val="16"/>
        <color indexed="10"/>
        <rFont val="Times New Roman"/>
        <family val="1"/>
      </rPr>
      <t>ei</t>
    </r>
    <r>
      <rPr>
        <b/>
        <sz val="16"/>
        <color indexed="10"/>
        <rFont val="Times New Roman"/>
        <family val="1"/>
      </rPr>
      <t>(R</t>
    </r>
    <r>
      <rPr>
        <b/>
        <vertAlign val="subscript"/>
        <sz val="16"/>
        <color indexed="10"/>
        <rFont val="Times New Roman"/>
        <family val="1"/>
      </rPr>
      <t>i</t>
    </r>
    <r>
      <rPr>
        <b/>
        <sz val="16"/>
        <color indexed="10"/>
        <rFont val="Times New Roman"/>
        <family val="1"/>
      </rPr>
      <t>-R</t>
    </r>
    <r>
      <rPr>
        <b/>
        <vertAlign val="subscript"/>
        <sz val="16"/>
        <color indexed="10"/>
        <rFont val="Times New Roman"/>
        <family val="1"/>
      </rPr>
      <t>f</t>
    </r>
    <r>
      <rPr>
        <b/>
        <sz val="16"/>
        <color indexed="10"/>
        <rFont val="Times New Roman"/>
        <family val="1"/>
      </rPr>
      <t>/β)-(C</t>
    </r>
    <r>
      <rPr>
        <b/>
        <vertAlign val="subscript"/>
        <sz val="16"/>
        <color indexed="10"/>
        <rFont val="Times New Roman"/>
        <family val="1"/>
      </rPr>
      <t>i</t>
    </r>
    <r>
      <rPr>
        <b/>
        <sz val="16"/>
        <color indexed="10"/>
        <rFont val="Times New Roman"/>
        <family val="1"/>
      </rPr>
      <t>))</t>
    </r>
  </si>
  <si>
    <t>Xi</t>
  </si>
  <si>
    <t>Total --&gt;</t>
  </si>
  <si>
    <t>Returns In %</t>
  </si>
  <si>
    <t>Return on Portfolio %</t>
  </si>
  <si>
    <t>Total Return on Portfolio</t>
  </si>
  <si>
    <t>Proportion of Investment</t>
  </si>
  <si>
    <t>((Ri-Rf)(Betai))/(Sigmasquare ei)</t>
  </si>
  <si>
    <t>Optimal Cutoff Point =</t>
  </si>
  <si>
    <t>Infosys, Asian Paints and Adani Enterprises securities shall be present in the Optimal Portfolio</t>
  </si>
  <si>
    <t>Wi</t>
  </si>
  <si>
    <t>Alternate Method (From Youtube)</t>
  </si>
  <si>
    <t>Adjusted Wi</t>
  </si>
  <si>
    <t>Xi or Adjusted Wi</t>
  </si>
  <si>
    <t>Return on Portfolio in %</t>
  </si>
  <si>
    <t>Infosys</t>
  </si>
  <si>
    <t>(Ri-Rf)β</t>
  </si>
  <si>
    <t>Adani Enterprises Ltd</t>
  </si>
  <si>
    <t>Cumulative of Column F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</si>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</sst>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"/>
    <numFmt numFmtId="165" formatCode="0.000000"/>
    <numFmt numFmtId="166" formatCode="0.000000000000"/>
    <numFmt numFmtId="167" formatCode="0.000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Times New Roman"/>
      <family val="1"/>
    </font>
    <font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002060"/>
      <name val="Times New Roman"/>
      <family val="1"/>
    </font>
    <font>
      <b/>
      <vertAlign val="subscript"/>
      <sz val="16"/>
      <color indexed="56"/>
      <name val="Times New Roman"/>
      <family val="1"/>
    </font>
    <font>
      <b/>
      <sz val="16"/>
      <color rgb="FFFF0000"/>
      <name val="Times New Roman"/>
      <family val="1"/>
    </font>
    <font>
      <b/>
      <vertAlign val="subscript"/>
      <sz val="16"/>
      <color indexed="10"/>
      <name val="Times New Roman"/>
      <family val="1"/>
    </font>
    <font>
      <b/>
      <sz val="16"/>
      <color indexed="10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/>
    <xf numFmtId="2" fontId="2" fillId="0" borderId="1" xfId="0" applyNumberFormat="1" applyFont="1" applyBorder="1"/>
    <xf numFmtId="0" fontId="5" fillId="0" borderId="0" xfId="0" applyFont="1"/>
    <xf numFmtId="0" fontId="0" fillId="0" borderId="0" xfId="0" applyAlignment="1">
      <alignment wrapText="1"/>
    </xf>
    <xf numFmtId="2" fontId="2" fillId="0" borderId="1" xfId="0" applyNumberFormat="1" applyFont="1" applyBorder="1" applyAlignment="1">
      <alignment horizontal="center"/>
    </xf>
    <xf numFmtId="0" fontId="6" fillId="0" borderId="0" xfId="0" applyFont="1"/>
    <xf numFmtId="2" fontId="2" fillId="0" borderId="0" xfId="0" applyNumberFormat="1" applyFont="1"/>
    <xf numFmtId="164" fontId="0" fillId="0" borderId="0" xfId="0" applyNumberFormat="1"/>
    <xf numFmtId="0" fontId="7" fillId="0" borderId="1" xfId="0" applyFont="1" applyBorder="1"/>
    <xf numFmtId="1" fontId="2" fillId="0" borderId="1" xfId="0" applyNumberFormat="1" applyFont="1" applyBorder="1"/>
    <xf numFmtId="166" fontId="0" fillId="0" borderId="0" xfId="0" applyNumberFormat="1"/>
    <xf numFmtId="0" fontId="8" fillId="0" borderId="1" xfId="0" applyFont="1" applyBorder="1"/>
    <xf numFmtId="2" fontId="8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1" xfId="0" applyBorder="1"/>
    <xf numFmtId="164" fontId="2" fillId="0" borderId="1" xfId="0" applyNumberFormat="1" applyFont="1" applyBorder="1"/>
    <xf numFmtId="164" fontId="2" fillId="0" borderId="0" xfId="0" applyNumberFormat="1" applyFont="1"/>
    <xf numFmtId="0" fontId="11" fillId="0" borderId="0" xfId="0" applyFont="1"/>
    <xf numFmtId="165" fontId="2" fillId="0" borderId="1" xfId="0" applyNumberFormat="1" applyFont="1" applyBorder="1"/>
    <xf numFmtId="2" fontId="2" fillId="2" borderId="1" xfId="0" applyNumberFormat="1" applyFont="1" applyFill="1" applyBorder="1"/>
    <xf numFmtId="0" fontId="12" fillId="0" borderId="0" xfId="0" applyFont="1"/>
    <xf numFmtId="0" fontId="14" fillId="0" borderId="0" xfId="0" applyFont="1"/>
    <xf numFmtId="0" fontId="12" fillId="0" borderId="0" xfId="0" applyFont="1" applyAlignment="1">
      <alignment horizontal="center"/>
    </xf>
    <xf numFmtId="167" fontId="2" fillId="0" borderId="1" xfId="0" applyNumberFormat="1" applyFont="1" applyBorder="1"/>
    <xf numFmtId="10" fontId="2" fillId="0" borderId="1" xfId="0" applyNumberFormat="1" applyFont="1" applyBorder="1"/>
    <xf numFmtId="2" fontId="1" fillId="0" borderId="1" xfId="0" applyNumberFormat="1" applyFont="1" applyBorder="1"/>
    <xf numFmtId="0" fontId="3" fillId="0" borderId="1" xfId="0" applyFont="1" applyBorder="1"/>
    <xf numFmtId="0" fontId="8" fillId="0" borderId="0" xfId="0" applyFont="1"/>
    <xf numFmtId="2" fontId="8" fillId="0" borderId="0" xfId="0" applyNumberFormat="1" applyFont="1"/>
    <xf numFmtId="0" fontId="17" fillId="5" borderId="0" xfId="0" applyFont="1" applyFill="1"/>
    <xf numFmtId="0" fontId="0" fillId="5" borderId="0" xfId="0" applyFill="1"/>
    <xf numFmtId="164" fontId="3" fillId="0" borderId="0" xfId="0" applyNumberFormat="1" applyFont="1"/>
    <xf numFmtId="10" fontId="0" fillId="0" borderId="0" xfId="0" applyNumberForma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1" fillId="3" borderId="1" xfId="0" applyFont="1" applyFill="1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10" fontId="0" fillId="0" borderId="1" xfId="0" applyNumberFormat="1" applyBorder="1"/>
    <xf numFmtId="164" fontId="18" fillId="0" borderId="1" xfId="0" applyNumberFormat="1" applyFont="1" applyBorder="1"/>
    <xf numFmtId="0" fontId="0" fillId="0" borderId="2" xfId="0" applyBorder="1"/>
    <xf numFmtId="164" fontId="3" fillId="0" borderId="1" xfId="0" applyNumberFormat="1" applyFont="1" applyBorder="1"/>
    <xf numFmtId="0" fontId="3" fillId="0" borderId="1" xfId="0" applyFont="1" applyBorder="1" applyAlignment="1">
      <alignment wrapText="1"/>
    </xf>
    <xf numFmtId="165" fontId="2" fillId="0" borderId="0" xfId="0" applyNumberFormat="1" applyFont="1"/>
    <xf numFmtId="0" fontId="2" fillId="2" borderId="1" xfId="0" applyFont="1" applyFill="1" applyBorder="1"/>
    <xf numFmtId="0" fontId="2" fillId="0" borderId="3" xfId="0" applyFont="1" applyBorder="1"/>
    <xf numFmtId="2" fontId="19" fillId="0" borderId="1" xfId="0" applyNumberFormat="1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484F5BE-30D8-45A9-B182-3CA4AEE6B8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 of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Sheet8!$C$32</c:f>
              <c:strCache>
                <c:ptCount val="1"/>
                <c:pt idx="0">
                  <c:v>Xi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6EA-48F2-AEBB-62E6A23941D4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6EA-48F2-AEBB-62E6A23941D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6EA-48F2-AEBB-62E6A23941D4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4E0-46B5-9450-916A0F9DC9F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017F46-C10E-465F-A8C5-572A27C0CFC3}" type="CATEGORYNAME">
                      <a:rPr lang="en-US">
                        <a:solidFill>
                          <a:srgbClr val="7030A0"/>
                        </a:solidFill>
                      </a:rPr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6EA-48F2-AEBB-62E6A23941D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453EE4-7B54-4C37-8C78-91230C662A3F}" type="CATEGORYNAME">
                      <a:rPr lang="en-US">
                        <a:solidFill>
                          <a:srgbClr val="00206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6EA-48F2-AEBB-62E6A23941D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3ADA8B-E04A-4ABE-B6F8-8274BA36D81D}" type="CATEGORYNAME">
                      <a:rPr lang="en-US">
                        <a:solidFill>
                          <a:srgbClr val="FFC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6EA-48F2-AEBB-62E6A23941D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C7EEBC-B834-4CFF-8F7E-5CF026220E4B}" type="CATEGORYNAME">
                      <a:rPr lang="en-US">
                        <a:solidFill>
                          <a:srgbClr val="0070C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4E0-46B5-9450-916A0F9DC9F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Sheet8!$B$33:$B$36</c:f>
              <c:strCache>
                <c:ptCount val="4"/>
                <c:pt idx="0">
                  <c:v>Adani Enterprises Ltd</c:v>
                </c:pt>
                <c:pt idx="1">
                  <c:v>Bajaj Finance Ltd</c:v>
                </c:pt>
                <c:pt idx="2">
                  <c:v>Asian Paints Ltd</c:v>
                </c:pt>
                <c:pt idx="3">
                  <c:v>Infosys</c:v>
                </c:pt>
              </c:strCache>
            </c:strRef>
          </c:cat>
          <c:val>
            <c:numRef>
              <c:f>Sheet8!$C$33:$C$36</c:f>
              <c:numCache>
                <c:formatCode>0.00%</c:formatCode>
                <c:ptCount val="4"/>
                <c:pt idx="0">
                  <c:v>0.295540929561729</c:v>
                </c:pt>
                <c:pt idx="1">
                  <c:v>0.37137026829561515</c:v>
                </c:pt>
                <c:pt idx="2">
                  <c:v>0.25771414866347198</c:v>
                </c:pt>
                <c:pt idx="3">
                  <c:v>7.5374653479184137E-2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8F2-AEBB-62E6A23941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 of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Sheet9!$C$22</c:f>
              <c:strCache>
                <c:ptCount val="1"/>
                <c:pt idx="0">
                  <c:v>Xi or Adjusted Wi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91-4AC4-9554-D3FFBA7EC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91-4AC4-9554-D3FFBA7ECA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91-4AC4-9554-D3FFBA7ECA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Sheet9!$B$23:$B$25</c:f>
              <c:strCache>
                <c:ptCount val="3"/>
                <c:pt idx="0">
                  <c:v>Infosys Ltd</c:v>
                </c:pt>
                <c:pt idx="1">
                  <c:v>Asian Paints Ltd</c:v>
                </c:pt>
                <c:pt idx="2">
                  <c:v>Adani Enterprises Ltd </c:v>
                </c:pt>
              </c:strCache>
            </c:strRef>
          </c:cat>
          <c:val>
            <c:numRef>
              <c:f>Sheet9!$C$23:$C$25</c:f>
              <c:numCache>
                <c:formatCode>0.00%</c:formatCode>
                <c:ptCount val="3"/>
                <c:pt idx="0">
                  <c:v>0.18893977953903418</c:v>
                </c:pt>
                <c:pt idx="1">
                  <c:v>0.59270111902403477</c:v>
                </c:pt>
                <c:pt idx="2">
                  <c:v>0.21835910143693105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A-4C7F-B830-D6BAF4C115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Sheet10!$B$8</c:f>
              <c:strCache>
                <c:ptCount val="1"/>
                <c:pt idx="0">
                  <c:v>Proportion of 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Sheet10!$A$9:$A$12</c:f>
              <c:strCache>
                <c:ptCount val="4"/>
                <c:pt idx="0">
                  <c:v>Adani Enterprises Ltd</c:v>
                </c:pt>
                <c:pt idx="1">
                  <c:v>Bajaj Finance Ltd</c:v>
                </c:pt>
                <c:pt idx="2">
                  <c:v>Asian Paints</c:v>
                </c:pt>
                <c:pt idx="3">
                  <c:v>Infosys Ltd</c:v>
                </c:pt>
              </c:strCache>
            </c:strRef>
          </c:cat>
          <c:val>
            <c:numRef>
              <c:f>Sheet10!$B$9:$B$12</c:f>
              <c:numCache>
                <c:formatCode>0.00</c:formatCode>
                <c:ptCount val="4"/>
                <c:pt idx="0" formatCode="General">
                  <c:v>29.55</c:v>
                </c:pt>
                <c:pt idx="1">
                  <c:v>57.72</c:v>
                </c:pt>
                <c:pt idx="2">
                  <c:v>36.58</c:v>
                </c:pt>
                <c:pt idx="3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2-4A43-A6F9-D826518735BB}"/>
            </c:ext>
          </c:extLst>
        </c:ser>
        <c:ser>
          <c:idx val="1"/>
          <c:order val="1"/>
          <c:tx>
            <c:strRef>
              <c:f>Sheet10!$C$8</c:f>
              <c:strCache>
                <c:ptCount val="1"/>
                <c:pt idx="0">
                  <c:v>Return on Portfolio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Sheet10!$A$9:$A$12</c:f>
              <c:strCache>
                <c:ptCount val="4"/>
                <c:pt idx="0">
                  <c:v>Adani Enterprises Ltd</c:v>
                </c:pt>
                <c:pt idx="1">
                  <c:v>Bajaj Finance Ltd</c:v>
                </c:pt>
                <c:pt idx="2">
                  <c:v>Asian Paints</c:v>
                </c:pt>
                <c:pt idx="3">
                  <c:v>Infosys Ltd</c:v>
                </c:pt>
              </c:strCache>
            </c:strRef>
          </c:cat>
          <c:val>
            <c:numRef>
              <c:f>Sheet10!$C$10:$C$12</c:f>
              <c:numCache>
                <c:formatCode>0.00</c:formatCode>
                <c:ptCount val="3"/>
                <c:pt idx="0">
                  <c:v>16.730208475028441</c:v>
                </c:pt>
                <c:pt idx="1">
                  <c:v>6.3176725839609134</c:v>
                </c:pt>
                <c:pt idx="2">
                  <c:v>1.7903220213943545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2-4A43-A6F9-D8265187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720303"/>
        <c:axId val="2004501663"/>
      </c:barChart>
      <c:catAx>
        <c:axId val="19707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01663"/>
        <c:crosses val="autoZero"/>
        <c:auto val="1"/>
        <c:lblAlgn val="ctr"/>
        <c:lblOffset val="100"/>
        <c:noMultiLvlLbl val="0"/>
      </c:catAx>
      <c:valAx>
        <c:axId val="20045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Sheet11!$B$8</c:f>
              <c:strCache>
                <c:ptCount val="1"/>
                <c:pt idx="0">
                  <c:v>Proportion of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Sheet11!$A$9:$A$11</c:f>
              <c:strCache>
                <c:ptCount val="3"/>
                <c:pt idx="0">
                  <c:v>Infosys Ltd</c:v>
                </c:pt>
                <c:pt idx="1">
                  <c:v>Asian Paints Ltd</c:v>
                </c:pt>
                <c:pt idx="2">
                  <c:v>Adani Enterprises Ltd </c:v>
                </c:pt>
              </c:strCache>
            </c:strRef>
          </c:cat>
          <c:val>
            <c:numRef>
              <c:f>Sheet11!$B$9:$B$11</c:f>
              <c:numCache>
                <c:formatCode>0.0000</c:formatCode>
                <c:ptCount val="3"/>
                <c:pt idx="0">
                  <c:v>18.89</c:v>
                </c:pt>
                <c:pt idx="1">
                  <c:v>59.27</c:v>
                </c:pt>
                <c:pt idx="2">
                  <c:v>21.84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A-4F57-8F4C-28D0781DA204}"/>
            </c:ext>
          </c:extLst>
        </c:ser>
        <c:ser>
          <c:idx val="1"/>
          <c:order val="1"/>
          <c:tx>
            <c:strRef>
              <c:f>Sheet11!$C$8</c:f>
              <c:strCache>
                <c:ptCount val="1"/>
                <c:pt idx="0">
                  <c:v>Return on Portfolio in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Sheet11!$A$9:$A$11</c:f>
              <c:strCache>
                <c:ptCount val="3"/>
                <c:pt idx="0">
                  <c:v>Infosys Ltd</c:v>
                </c:pt>
                <c:pt idx="1">
                  <c:v>Asian Paints Ltd</c:v>
                </c:pt>
                <c:pt idx="2">
                  <c:v>Adani Enterprises Ltd </c:v>
                </c:pt>
              </c:strCache>
            </c:strRef>
          </c:cat>
          <c:val>
            <c:numRef>
              <c:f>Sheet11!$C$9:$C$11</c:f>
              <c:numCache>
                <c:formatCode>0.0000</c:formatCode>
                <c:ptCount val="3"/>
                <c:pt idx="0">
                  <c:v>4.4877559287160622</c:v>
                </c:pt>
                <c:pt idx="1">
                  <c:v>14.529631491170967</c:v>
                </c:pt>
                <c:pt idx="2">
                  <c:v>23.868289959728703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A-4F57-8F4C-28D0781D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111184"/>
        <c:axId val="917701008"/>
      </c:barChart>
      <c:catAx>
        <c:axId val="8831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01008"/>
        <c:crosses val="autoZero"/>
        <c:auto val="1"/>
        <c:lblAlgn val="ctr"/>
        <c:lblOffset val="100"/>
        <c:noMultiLvlLbl val="0"/>
      </c:catAx>
      <c:valAx>
        <c:axId val="917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60960</xdr:rowOff>
    </xdr:from>
    <xdr:to>
      <xdr:col>7</xdr:col>
      <xdr:colOff>495300</xdr:colOff>
      <xdr:row>1</xdr:row>
      <xdr:rowOff>160020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FD9E207D-FF15-166F-5244-6EC47C19C3CB}"/>
            </a:ext>
          </a:extLst>
        </xdr:cNvPr>
        <xdr:cNvSpPr/>
      </xdr:nvSpPr>
      <xdr:spPr>
        <a:xfrm>
          <a:off x="6309360" y="243840"/>
          <a:ext cx="358140" cy="99060"/>
        </a:xfrm>
        <a:custGeom>
          <a:avLst/>
          <a:gdLst>
            <a:gd name="connsiteX0" fmla="*/ 313314 w 313314"/>
            <a:gd name="connsiteY0" fmla="*/ 11166 h 102606"/>
            <a:gd name="connsiteX1" fmla="*/ 168534 w 313314"/>
            <a:gd name="connsiteY1" fmla="*/ 3546 h 102606"/>
            <a:gd name="connsiteX2" fmla="*/ 16134 w 313314"/>
            <a:gd name="connsiteY2" fmla="*/ 79746 h 102606"/>
            <a:gd name="connsiteX3" fmla="*/ 38994 w 313314"/>
            <a:gd name="connsiteY3" fmla="*/ 102606 h 102606"/>
            <a:gd name="connsiteX4" fmla="*/ 77094 w 313314"/>
            <a:gd name="connsiteY4" fmla="*/ 94986 h 102606"/>
            <a:gd name="connsiteX5" fmla="*/ 84714 w 313314"/>
            <a:gd name="connsiteY5" fmla="*/ 11166 h 1026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13314" h="102606">
              <a:moveTo>
                <a:pt x="313314" y="11166"/>
              </a:moveTo>
              <a:cubicBezTo>
                <a:pt x="265054" y="8626"/>
                <a:pt x="216846" y="2368"/>
                <a:pt x="168534" y="3546"/>
              </a:cubicBezTo>
              <a:cubicBezTo>
                <a:pt x="36936" y="6756"/>
                <a:pt x="-33955" y="-30450"/>
                <a:pt x="16134" y="79746"/>
              </a:cubicBezTo>
              <a:cubicBezTo>
                <a:pt x="20593" y="89556"/>
                <a:pt x="31374" y="94986"/>
                <a:pt x="38994" y="102606"/>
              </a:cubicBezTo>
              <a:cubicBezTo>
                <a:pt x="51694" y="100066"/>
                <a:pt x="67936" y="104144"/>
                <a:pt x="77094" y="94986"/>
              </a:cubicBezTo>
              <a:cubicBezTo>
                <a:pt x="87703" y="84377"/>
                <a:pt x="84714" y="19904"/>
                <a:pt x="84714" y="111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525780</xdr:colOff>
      <xdr:row>0</xdr:row>
      <xdr:rowOff>60960</xdr:rowOff>
    </xdr:from>
    <xdr:to>
      <xdr:col>7</xdr:col>
      <xdr:colOff>595770</xdr:colOff>
      <xdr:row>0</xdr:row>
      <xdr:rowOff>175336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500F2B4C-E143-9BBB-7DB5-E69BE66912CA}"/>
            </a:ext>
          </a:extLst>
        </xdr:cNvPr>
        <xdr:cNvSpPr/>
      </xdr:nvSpPr>
      <xdr:spPr>
        <a:xfrm>
          <a:off x="6697980" y="60960"/>
          <a:ext cx="69990" cy="114376"/>
        </a:xfrm>
        <a:custGeom>
          <a:avLst/>
          <a:gdLst>
            <a:gd name="connsiteX0" fmla="*/ 9393 w 132723"/>
            <a:gd name="connsiteY0" fmla="*/ 0 h 152476"/>
            <a:gd name="connsiteX1" fmla="*/ 77973 w 132723"/>
            <a:gd name="connsiteY1" fmla="*/ 7620 h 152476"/>
            <a:gd name="connsiteX2" fmla="*/ 85593 w 132723"/>
            <a:gd name="connsiteY2" fmla="*/ 45720 h 152476"/>
            <a:gd name="connsiteX3" fmla="*/ 55113 w 132723"/>
            <a:gd name="connsiteY3" fmla="*/ 129540 h 152476"/>
            <a:gd name="connsiteX4" fmla="*/ 32253 w 132723"/>
            <a:gd name="connsiteY4" fmla="*/ 144780 h 152476"/>
            <a:gd name="connsiteX5" fmla="*/ 24633 w 132723"/>
            <a:gd name="connsiteY5" fmla="*/ 99060 h 152476"/>
            <a:gd name="connsiteX6" fmla="*/ 55113 w 132723"/>
            <a:gd name="connsiteY6" fmla="*/ 106680 h 152476"/>
            <a:gd name="connsiteX7" fmla="*/ 100833 w 132723"/>
            <a:gd name="connsiteY7" fmla="*/ 152400 h 152476"/>
            <a:gd name="connsiteX8" fmla="*/ 131313 w 132723"/>
            <a:gd name="connsiteY8" fmla="*/ 129540 h 152476"/>
            <a:gd name="connsiteX9" fmla="*/ 131313 w 132723"/>
            <a:gd name="connsiteY9" fmla="*/ 114300 h 1524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32723" h="152476">
              <a:moveTo>
                <a:pt x="9393" y="0"/>
              </a:moveTo>
              <a:cubicBezTo>
                <a:pt x="32253" y="2540"/>
                <a:pt x="58250" y="-4214"/>
                <a:pt x="77973" y="7620"/>
              </a:cubicBezTo>
              <a:cubicBezTo>
                <a:pt x="89079" y="14283"/>
                <a:pt x="85593" y="32768"/>
                <a:pt x="85593" y="45720"/>
              </a:cubicBezTo>
              <a:cubicBezTo>
                <a:pt x="85593" y="150638"/>
                <a:pt x="99541" y="107326"/>
                <a:pt x="55113" y="129540"/>
              </a:cubicBezTo>
              <a:cubicBezTo>
                <a:pt x="46922" y="133636"/>
                <a:pt x="39873" y="139700"/>
                <a:pt x="32253" y="144780"/>
              </a:cubicBezTo>
              <a:cubicBezTo>
                <a:pt x="16035" y="139374"/>
                <a:pt x="-26999" y="133481"/>
                <a:pt x="24633" y="99060"/>
              </a:cubicBezTo>
              <a:cubicBezTo>
                <a:pt x="33347" y="93251"/>
                <a:pt x="44953" y="104140"/>
                <a:pt x="55113" y="106680"/>
              </a:cubicBezTo>
              <a:cubicBezTo>
                <a:pt x="58047" y="110593"/>
                <a:pt x="85737" y="154557"/>
                <a:pt x="100833" y="152400"/>
              </a:cubicBezTo>
              <a:cubicBezTo>
                <a:pt x="113405" y="150604"/>
                <a:pt x="123379" y="139457"/>
                <a:pt x="131313" y="129540"/>
              </a:cubicBezTo>
              <a:cubicBezTo>
                <a:pt x="134486" y="125573"/>
                <a:pt x="131313" y="119380"/>
                <a:pt x="131313" y="1143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434340</xdr:colOff>
      <xdr:row>2</xdr:row>
      <xdr:rowOff>30480</xdr:rowOff>
    </xdr:from>
    <xdr:to>
      <xdr:col>8</xdr:col>
      <xdr:colOff>44829</xdr:colOff>
      <xdr:row>2</xdr:row>
      <xdr:rowOff>167640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4972DD58-47CE-02A1-B740-34F3DF23C6F2}"/>
            </a:ext>
          </a:extLst>
        </xdr:cNvPr>
        <xdr:cNvSpPr/>
      </xdr:nvSpPr>
      <xdr:spPr>
        <a:xfrm>
          <a:off x="6606540" y="396240"/>
          <a:ext cx="220089" cy="137160"/>
        </a:xfrm>
        <a:custGeom>
          <a:avLst/>
          <a:gdLst>
            <a:gd name="connsiteX0" fmla="*/ 0 w 220089"/>
            <a:gd name="connsiteY0" fmla="*/ 0 h 137160"/>
            <a:gd name="connsiteX1" fmla="*/ 38100 w 220089"/>
            <a:gd name="connsiteY1" fmla="*/ 7620 h 137160"/>
            <a:gd name="connsiteX2" fmla="*/ 60960 w 220089"/>
            <a:gd name="connsiteY2" fmla="*/ 60960 h 137160"/>
            <a:gd name="connsiteX3" fmla="*/ 68580 w 220089"/>
            <a:gd name="connsiteY3" fmla="*/ 30480 h 137160"/>
            <a:gd name="connsiteX4" fmla="*/ 137160 w 220089"/>
            <a:gd name="connsiteY4" fmla="*/ 76200 h 137160"/>
            <a:gd name="connsiteX5" fmla="*/ 152400 w 220089"/>
            <a:gd name="connsiteY5" fmla="*/ 7620 h 137160"/>
            <a:gd name="connsiteX6" fmla="*/ 213360 w 220089"/>
            <a:gd name="connsiteY6" fmla="*/ 30480 h 137160"/>
            <a:gd name="connsiteX7" fmla="*/ 213360 w 220089"/>
            <a:gd name="connsiteY7" fmla="*/ 137160 h 1371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20089" h="137160">
              <a:moveTo>
                <a:pt x="0" y="0"/>
              </a:moveTo>
              <a:cubicBezTo>
                <a:pt x="12700" y="2540"/>
                <a:pt x="27561" y="92"/>
                <a:pt x="38100" y="7620"/>
              </a:cubicBezTo>
              <a:cubicBezTo>
                <a:pt x="46339" y="13505"/>
                <a:pt x="57238" y="49795"/>
                <a:pt x="60960" y="60960"/>
              </a:cubicBezTo>
              <a:cubicBezTo>
                <a:pt x="63500" y="50800"/>
                <a:pt x="58357" y="32752"/>
                <a:pt x="68580" y="30480"/>
              </a:cubicBezTo>
              <a:cubicBezTo>
                <a:pt x="131746" y="16443"/>
                <a:pt x="128437" y="41308"/>
                <a:pt x="137160" y="76200"/>
              </a:cubicBezTo>
              <a:cubicBezTo>
                <a:pt x="142240" y="53340"/>
                <a:pt x="132320" y="19668"/>
                <a:pt x="152400" y="7620"/>
              </a:cubicBezTo>
              <a:cubicBezTo>
                <a:pt x="171009" y="-3545"/>
                <a:pt x="204119" y="10844"/>
                <a:pt x="213360" y="30480"/>
              </a:cubicBezTo>
              <a:cubicBezTo>
                <a:pt x="228501" y="62655"/>
                <a:pt x="213360" y="101600"/>
                <a:pt x="213360" y="13716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160020</xdr:colOff>
      <xdr:row>15</xdr:row>
      <xdr:rowOff>129540</xdr:rowOff>
    </xdr:from>
    <xdr:to>
      <xdr:col>2</xdr:col>
      <xdr:colOff>449580</xdr:colOff>
      <xdr:row>15</xdr:row>
      <xdr:rowOff>259080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392AE174-42F2-42D7-96E0-9F47B6DD2C68}"/>
            </a:ext>
          </a:extLst>
        </xdr:cNvPr>
        <xdr:cNvSpPr/>
      </xdr:nvSpPr>
      <xdr:spPr>
        <a:xfrm>
          <a:off x="3848100" y="4358640"/>
          <a:ext cx="289560" cy="129540"/>
        </a:xfrm>
        <a:custGeom>
          <a:avLst/>
          <a:gdLst>
            <a:gd name="connsiteX0" fmla="*/ 313314 w 313314"/>
            <a:gd name="connsiteY0" fmla="*/ 11166 h 102606"/>
            <a:gd name="connsiteX1" fmla="*/ 168534 w 313314"/>
            <a:gd name="connsiteY1" fmla="*/ 3546 h 102606"/>
            <a:gd name="connsiteX2" fmla="*/ 16134 w 313314"/>
            <a:gd name="connsiteY2" fmla="*/ 79746 h 102606"/>
            <a:gd name="connsiteX3" fmla="*/ 38994 w 313314"/>
            <a:gd name="connsiteY3" fmla="*/ 102606 h 102606"/>
            <a:gd name="connsiteX4" fmla="*/ 77094 w 313314"/>
            <a:gd name="connsiteY4" fmla="*/ 94986 h 102606"/>
            <a:gd name="connsiteX5" fmla="*/ 84714 w 313314"/>
            <a:gd name="connsiteY5" fmla="*/ 11166 h 1026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13314" h="102606">
              <a:moveTo>
                <a:pt x="313314" y="11166"/>
              </a:moveTo>
              <a:cubicBezTo>
                <a:pt x="265054" y="8626"/>
                <a:pt x="216846" y="2368"/>
                <a:pt x="168534" y="3546"/>
              </a:cubicBezTo>
              <a:cubicBezTo>
                <a:pt x="36936" y="6756"/>
                <a:pt x="-33955" y="-30450"/>
                <a:pt x="16134" y="79746"/>
              </a:cubicBezTo>
              <a:cubicBezTo>
                <a:pt x="20593" y="89556"/>
                <a:pt x="31374" y="94986"/>
                <a:pt x="38994" y="102606"/>
              </a:cubicBezTo>
              <a:cubicBezTo>
                <a:pt x="51694" y="100066"/>
                <a:pt x="67936" y="104144"/>
                <a:pt x="77094" y="94986"/>
              </a:cubicBezTo>
              <a:cubicBezTo>
                <a:pt x="87703" y="84377"/>
                <a:pt x="84714" y="19904"/>
                <a:pt x="84714" y="111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518160</xdr:colOff>
      <xdr:row>15</xdr:row>
      <xdr:rowOff>68580</xdr:rowOff>
    </xdr:from>
    <xdr:to>
      <xdr:col>2</xdr:col>
      <xdr:colOff>571500</xdr:colOff>
      <xdr:row>15</xdr:row>
      <xdr:rowOff>106680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FD5D9FFE-D79A-44A5-BE87-1E9DDC9148E2}"/>
            </a:ext>
          </a:extLst>
        </xdr:cNvPr>
        <xdr:cNvSpPr/>
      </xdr:nvSpPr>
      <xdr:spPr>
        <a:xfrm>
          <a:off x="4206240" y="4297680"/>
          <a:ext cx="53340" cy="38100"/>
        </a:xfrm>
        <a:custGeom>
          <a:avLst/>
          <a:gdLst>
            <a:gd name="connsiteX0" fmla="*/ 9393 w 132723"/>
            <a:gd name="connsiteY0" fmla="*/ 0 h 152476"/>
            <a:gd name="connsiteX1" fmla="*/ 77973 w 132723"/>
            <a:gd name="connsiteY1" fmla="*/ 7620 h 152476"/>
            <a:gd name="connsiteX2" fmla="*/ 85593 w 132723"/>
            <a:gd name="connsiteY2" fmla="*/ 45720 h 152476"/>
            <a:gd name="connsiteX3" fmla="*/ 55113 w 132723"/>
            <a:gd name="connsiteY3" fmla="*/ 129540 h 152476"/>
            <a:gd name="connsiteX4" fmla="*/ 32253 w 132723"/>
            <a:gd name="connsiteY4" fmla="*/ 144780 h 152476"/>
            <a:gd name="connsiteX5" fmla="*/ 24633 w 132723"/>
            <a:gd name="connsiteY5" fmla="*/ 99060 h 152476"/>
            <a:gd name="connsiteX6" fmla="*/ 55113 w 132723"/>
            <a:gd name="connsiteY6" fmla="*/ 106680 h 152476"/>
            <a:gd name="connsiteX7" fmla="*/ 100833 w 132723"/>
            <a:gd name="connsiteY7" fmla="*/ 152400 h 152476"/>
            <a:gd name="connsiteX8" fmla="*/ 131313 w 132723"/>
            <a:gd name="connsiteY8" fmla="*/ 129540 h 152476"/>
            <a:gd name="connsiteX9" fmla="*/ 131313 w 132723"/>
            <a:gd name="connsiteY9" fmla="*/ 114300 h 1524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32723" h="152476">
              <a:moveTo>
                <a:pt x="9393" y="0"/>
              </a:moveTo>
              <a:cubicBezTo>
                <a:pt x="32253" y="2540"/>
                <a:pt x="58250" y="-4214"/>
                <a:pt x="77973" y="7620"/>
              </a:cubicBezTo>
              <a:cubicBezTo>
                <a:pt x="89079" y="14283"/>
                <a:pt x="85593" y="32768"/>
                <a:pt x="85593" y="45720"/>
              </a:cubicBezTo>
              <a:cubicBezTo>
                <a:pt x="85593" y="150638"/>
                <a:pt x="99541" y="107326"/>
                <a:pt x="55113" y="129540"/>
              </a:cubicBezTo>
              <a:cubicBezTo>
                <a:pt x="46922" y="133636"/>
                <a:pt x="39873" y="139700"/>
                <a:pt x="32253" y="144780"/>
              </a:cubicBezTo>
              <a:cubicBezTo>
                <a:pt x="16035" y="139374"/>
                <a:pt x="-26999" y="133481"/>
                <a:pt x="24633" y="99060"/>
              </a:cubicBezTo>
              <a:cubicBezTo>
                <a:pt x="33347" y="93251"/>
                <a:pt x="44953" y="104140"/>
                <a:pt x="55113" y="106680"/>
              </a:cubicBezTo>
              <a:cubicBezTo>
                <a:pt x="58047" y="110593"/>
                <a:pt x="85737" y="154557"/>
                <a:pt x="100833" y="152400"/>
              </a:cubicBezTo>
              <a:cubicBezTo>
                <a:pt x="113405" y="150604"/>
                <a:pt x="123379" y="139457"/>
                <a:pt x="131313" y="129540"/>
              </a:cubicBezTo>
              <a:cubicBezTo>
                <a:pt x="134486" y="125573"/>
                <a:pt x="131313" y="119380"/>
                <a:pt x="131313" y="1143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106680</xdr:colOff>
      <xdr:row>15</xdr:row>
      <xdr:rowOff>137160</xdr:rowOff>
    </xdr:from>
    <xdr:to>
      <xdr:col>5</xdr:col>
      <xdr:colOff>496824</xdr:colOff>
      <xdr:row>16</xdr:row>
      <xdr:rowOff>236220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48296C-5CF6-4A30-8B52-F0A7B4CCF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4540" y="365760"/>
          <a:ext cx="390144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166116</xdr:colOff>
      <xdr:row>1</xdr:row>
      <xdr:rowOff>45720</xdr:rowOff>
    </xdr:from>
    <xdr:to>
      <xdr:col>4</xdr:col>
      <xdr:colOff>556260</xdr:colOff>
      <xdr:row>1</xdr:row>
      <xdr:rowOff>411480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D4223C-AA32-01F3-3F36-63F2D1DE0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6696" y="274320"/>
          <a:ext cx="390144" cy="365760"/>
        </a:xfrm>
        <a:prstGeom prst="rect">
          <a:avLst/>
        </a:prstGeom>
      </xdr:spPr>
    </xdr:pic>
    <xdr:clientData/>
  </xdr:twoCellAnchor>
  <xdr:twoCellAnchor>
    <xdr:from>
      <xdr:col>5</xdr:col>
      <xdr:colOff>601980</xdr:colOff>
      <xdr:row>23</xdr:row>
      <xdr:rowOff>179070</xdr:rowOff>
    </xdr:from>
    <xdr:to>
      <xdr:col>10</xdr:col>
      <xdr:colOff>777240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3FBF6-4E17-1081-A91F-849E9C6BE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</xdr:colOff>
      <xdr:row>7</xdr:row>
      <xdr:rowOff>175260</xdr:rowOff>
    </xdr:from>
    <xdr:to>
      <xdr:col>15</xdr:col>
      <xdr:colOff>45776</xdr:colOff>
      <xdr:row>9</xdr:row>
      <xdr:rowOff>53361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312A83-7443-A801-8D92-8979E243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6820" y="2080260"/>
          <a:ext cx="647756" cy="243861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</xdr:colOff>
      <xdr:row>10</xdr:row>
      <xdr:rowOff>167640</xdr:rowOff>
    </xdr:from>
    <xdr:to>
      <xdr:col>15</xdr:col>
      <xdr:colOff>579219</xdr:colOff>
      <xdr:row>13</xdr:row>
      <xdr:rowOff>15274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6ACE08-F97B-EB56-B748-BD1DE83AC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4920" y="2621280"/>
          <a:ext cx="1143099" cy="396274"/>
        </a:xfrm>
        <a:prstGeom prst="rect">
          <a:avLst/>
        </a:prstGeom>
      </xdr:spPr>
    </xdr:pic>
    <xdr:clientData/>
  </xdr:twoCellAnchor>
  <xdr:twoCellAnchor editAs="oneCell">
    <xdr:from>
      <xdr:col>14</xdr:col>
      <xdr:colOff>83820</xdr:colOff>
      <xdr:row>4</xdr:row>
      <xdr:rowOff>114300</xdr:rowOff>
    </xdr:from>
    <xdr:to>
      <xdr:col>14</xdr:col>
      <xdr:colOff>473964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E694CF-167F-4828-B624-37965296C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3020" y="1470660"/>
          <a:ext cx="390144" cy="365760"/>
        </a:xfrm>
        <a:prstGeom prst="rect">
          <a:avLst/>
        </a:prstGeom>
      </xdr:spPr>
    </xdr:pic>
    <xdr:clientData/>
  </xdr:twoCellAnchor>
  <xdr:oneCellAnchor>
    <xdr:from>
      <xdr:col>8</xdr:col>
      <xdr:colOff>7620</xdr:colOff>
      <xdr:row>1</xdr:row>
      <xdr:rowOff>114300</xdr:rowOff>
    </xdr:from>
    <xdr:ext cx="647756" cy="243861"/>
    <xdr:pic>
      <xdr:nvPicPr>
        <xdr:cNvPr id="11" name="Picture 10">
          <a:extLst>
            <a:ext uri="{FF2B5EF4-FFF2-40B4-BE49-F238E27FC236}">
              <a16:creationId xmlns:a16="http://schemas.microsoft.com/office/drawing/2014/main" id="{59032B08-CB04-47AE-BF4B-45491BF19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860" y="4023360"/>
          <a:ext cx="647756" cy="243861"/>
        </a:xfrm>
        <a:prstGeom prst="rect">
          <a:avLst/>
        </a:prstGeom>
      </xdr:spPr>
    </xdr:pic>
    <xdr:clientData/>
  </xdr:oneCellAnchor>
  <xdr:oneCellAnchor>
    <xdr:from>
      <xdr:col>9</xdr:col>
      <xdr:colOff>38100</xdr:colOff>
      <xdr:row>1</xdr:row>
      <xdr:rowOff>15240</xdr:rowOff>
    </xdr:from>
    <xdr:ext cx="1143099" cy="396274"/>
    <xdr:pic>
      <xdr:nvPicPr>
        <xdr:cNvPr id="12" name="Picture 11">
          <a:extLst>
            <a:ext uri="{FF2B5EF4-FFF2-40B4-BE49-F238E27FC236}">
              <a16:creationId xmlns:a16="http://schemas.microsoft.com/office/drawing/2014/main" id="{F8C1A218-19F4-4AAC-B32F-51E01B2B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0" y="3924300"/>
          <a:ext cx="1143099" cy="396274"/>
        </a:xfrm>
        <a:prstGeom prst="rect">
          <a:avLst/>
        </a:prstGeom>
      </xdr:spPr>
    </xdr:pic>
    <xdr:clientData/>
  </xdr:oneCellAnchor>
  <xdr:oneCellAnchor>
    <xdr:from>
      <xdr:col>7</xdr:col>
      <xdr:colOff>106680</xdr:colOff>
      <xdr:row>1</xdr:row>
      <xdr:rowOff>45720</xdr:rowOff>
    </xdr:from>
    <xdr:ext cx="390144" cy="365760"/>
    <xdr:pic>
      <xdr:nvPicPr>
        <xdr:cNvPr id="13" name="Picture 12">
          <a:extLst>
            <a:ext uri="{FF2B5EF4-FFF2-40B4-BE49-F238E27FC236}">
              <a16:creationId xmlns:a16="http://schemas.microsoft.com/office/drawing/2014/main" id="{CD78BFE5-E12E-4DE6-AED0-EAF533C69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3954780"/>
          <a:ext cx="390144" cy="365760"/>
        </a:xfrm>
        <a:prstGeom prst="rect">
          <a:avLst/>
        </a:prstGeom>
      </xdr:spPr>
    </xdr:pic>
    <xdr:clientData/>
  </xdr:oneCellAnchor>
  <xdr:twoCellAnchor>
    <xdr:from>
      <xdr:col>3</xdr:col>
      <xdr:colOff>502920</xdr:colOff>
      <xdr:row>20</xdr:row>
      <xdr:rowOff>57150</xdr:rowOff>
    </xdr:from>
    <xdr:to>
      <xdr:col>9</xdr:col>
      <xdr:colOff>320040</xdr:colOff>
      <xdr:row>35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CF115E-B39C-C38A-A955-15EF4555E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7</xdr:row>
      <xdr:rowOff>209550</xdr:rowOff>
    </xdr:from>
    <xdr:to>
      <xdr:col>10</xdr:col>
      <xdr:colOff>7620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17FCE-B488-66E6-91CC-19311305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7</xdr:row>
      <xdr:rowOff>232410</xdr:rowOff>
    </xdr:from>
    <xdr:to>
      <xdr:col>12</xdr:col>
      <xdr:colOff>60960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07E49-E9F5-0FFC-0A61-405A9DEE8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2052-03A2-4B97-9B5B-B6EF640B7322}">
  <dimension ref="A1:C19"/>
  <sheetViews>
    <sheetView workbookViewId="0">
      <selection activeCell="Q2" sqref="N2:Q2"/>
    </sheetView>
  </sheetViews>
  <sheetFormatPr defaultRowHeight="14.4" x14ac:dyDescent="0.3"/>
  <cols>
    <col min="2" max="2" width="41.44140625" bestFit="1" customWidth="1"/>
  </cols>
  <sheetData>
    <row r="1" spans="1:3" x14ac:dyDescent="0.3">
      <c r="A1" t="s">
        <v>0</v>
      </c>
    </row>
    <row r="3" spans="1:3" x14ac:dyDescent="0.3">
      <c r="A3" t="s">
        <v>1</v>
      </c>
    </row>
    <row r="4" spans="1:3" ht="17.399999999999999" x14ac:dyDescent="0.3">
      <c r="A4" s="1" t="s">
        <v>2</v>
      </c>
      <c r="B4" s="1" t="s">
        <v>3</v>
      </c>
    </row>
    <row r="5" spans="1:3" ht="18" x14ac:dyDescent="0.35">
      <c r="A5" s="2">
        <v>1</v>
      </c>
      <c r="B5" s="3" t="s">
        <v>13</v>
      </c>
    </row>
    <row r="6" spans="1:3" ht="18" x14ac:dyDescent="0.35">
      <c r="A6" s="2">
        <v>2</v>
      </c>
      <c r="B6" s="3" t="s">
        <v>12</v>
      </c>
    </row>
    <row r="7" spans="1:3" ht="18" x14ac:dyDescent="0.35">
      <c r="A7" s="2">
        <v>3</v>
      </c>
      <c r="B7" s="3" t="s">
        <v>4</v>
      </c>
    </row>
    <row r="8" spans="1:3" ht="18" x14ac:dyDescent="0.35">
      <c r="A8" s="2">
        <v>4</v>
      </c>
      <c r="B8" s="3" t="s">
        <v>5</v>
      </c>
    </row>
    <row r="9" spans="1:3" ht="18" x14ac:dyDescent="0.35">
      <c r="A9" s="2">
        <v>5</v>
      </c>
      <c r="B9" s="3" t="s">
        <v>18</v>
      </c>
    </row>
    <row r="10" spans="1:3" ht="18" x14ac:dyDescent="0.35">
      <c r="A10" s="2">
        <v>6</v>
      </c>
      <c r="B10" s="3" t="s">
        <v>9</v>
      </c>
      <c r="C10" t="s">
        <v>19</v>
      </c>
    </row>
    <row r="11" spans="1:3" ht="18" x14ac:dyDescent="0.35">
      <c r="A11" s="2">
        <v>7</v>
      </c>
      <c r="B11" s="3" t="s">
        <v>16</v>
      </c>
    </row>
    <row r="12" spans="1:3" ht="18" x14ac:dyDescent="0.35">
      <c r="A12" s="2">
        <v>8</v>
      </c>
      <c r="B12" s="3" t="s">
        <v>10</v>
      </c>
    </row>
    <row r="13" spans="1:3" ht="18" x14ac:dyDescent="0.35">
      <c r="A13" s="2">
        <v>9</v>
      </c>
      <c r="B13" s="3" t="s">
        <v>7</v>
      </c>
    </row>
    <row r="14" spans="1:3" ht="18" x14ac:dyDescent="0.35">
      <c r="A14" s="2">
        <v>10</v>
      </c>
      <c r="B14" s="3" t="s">
        <v>11</v>
      </c>
    </row>
    <row r="15" spans="1:3" ht="18" x14ac:dyDescent="0.35">
      <c r="A15" s="2">
        <v>11</v>
      </c>
      <c r="B15" s="3" t="s">
        <v>15</v>
      </c>
    </row>
    <row r="16" spans="1:3" ht="18" x14ac:dyDescent="0.35">
      <c r="A16" s="2">
        <v>12</v>
      </c>
      <c r="B16" s="3" t="s">
        <v>8</v>
      </c>
    </row>
    <row r="17" spans="1:2" ht="18" x14ac:dyDescent="0.35">
      <c r="A17" s="2">
        <v>14</v>
      </c>
      <c r="B17" s="3" t="s">
        <v>17</v>
      </c>
    </row>
    <row r="18" spans="1:2" ht="18" x14ac:dyDescent="0.35">
      <c r="A18" s="2">
        <v>13</v>
      </c>
      <c r="B18" s="3" t="s">
        <v>6</v>
      </c>
    </row>
    <row r="19" spans="1:2" ht="18" x14ac:dyDescent="0.35">
      <c r="A19" s="2">
        <v>15</v>
      </c>
      <c r="B19" s="3" t="s">
        <v>14</v>
      </c>
    </row>
  </sheetData>
  <sortState xmlns:xlrd2="http://schemas.microsoft.com/office/spreadsheetml/2017/richdata2" ref="A5:B19">
    <sortCondition ref="B5:B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35A1-737A-434E-BB1E-82C9999968F5}">
  <dimension ref="A1:D13"/>
  <sheetViews>
    <sheetView zoomScale="70" zoomScaleNormal="70" workbookViewId="0">
      <selection activeCell="C18" sqref="C18"/>
    </sheetView>
  </sheetViews>
  <sheetFormatPr defaultRowHeight="14.4" x14ac:dyDescent="0.3"/>
  <cols>
    <col min="1" max="2" width="29.77734375" bestFit="1" customWidth="1"/>
    <col min="3" max="3" width="17.88671875" bestFit="1" customWidth="1"/>
    <col min="4" max="4" width="26.5546875" bestFit="1" customWidth="1"/>
  </cols>
  <sheetData>
    <row r="1" spans="1:4" ht="17.399999999999999" x14ac:dyDescent="0.3">
      <c r="A1" s="1" t="s">
        <v>69</v>
      </c>
      <c r="B1" s="1" t="s">
        <v>99</v>
      </c>
      <c r="C1" s="1" t="s">
        <v>101</v>
      </c>
      <c r="D1" s="1" t="s">
        <v>102</v>
      </c>
    </row>
    <row r="2" spans="1:4" ht="18" x14ac:dyDescent="0.35">
      <c r="A2" s="3" t="s">
        <v>115</v>
      </c>
      <c r="B2" s="3">
        <v>0.3</v>
      </c>
      <c r="C2" s="3">
        <v>109.31</v>
      </c>
      <c r="D2" s="9">
        <f>B2*C2</f>
        <v>32.792999999999999</v>
      </c>
    </row>
    <row r="3" spans="1:4" ht="18" x14ac:dyDescent="0.35">
      <c r="A3" s="3" t="s">
        <v>5</v>
      </c>
      <c r="B3" s="9">
        <v>0.37137026829561515</v>
      </c>
      <c r="C3" s="9">
        <v>45.049940459183439</v>
      </c>
      <c r="D3" s="9">
        <f>B3*C3</f>
        <v>16.730208475028441</v>
      </c>
    </row>
    <row r="4" spans="1:4" ht="18" x14ac:dyDescent="0.35">
      <c r="A4" s="3" t="s">
        <v>29</v>
      </c>
      <c r="B4" s="9">
        <v>0.25771414866347198</v>
      </c>
      <c r="C4" s="9">
        <v>24.514263639481626</v>
      </c>
      <c r="D4" s="9">
        <f>B4*C4</f>
        <v>6.3176725839609134</v>
      </c>
    </row>
    <row r="5" spans="1:4" ht="18" x14ac:dyDescent="0.35">
      <c r="A5" s="3" t="s">
        <v>7</v>
      </c>
      <c r="B5" s="9">
        <v>7.5374653479184137E-2</v>
      </c>
      <c r="C5" s="9">
        <v>23.75230848509014</v>
      </c>
      <c r="D5" s="9">
        <f>B5*C5</f>
        <v>1.7903220213943545</v>
      </c>
    </row>
    <row r="6" spans="1:4" ht="17.399999999999999" customHeight="1" x14ac:dyDescent="0.3">
      <c r="A6" s="1" t="s">
        <v>103</v>
      </c>
      <c r="B6" s="34">
        <f>SUM(B2:B5)</f>
        <v>1.0044590704382712</v>
      </c>
      <c r="C6" s="35"/>
      <c r="D6" s="34">
        <f>SUM(D2:D5)</f>
        <v>57.631203080383706</v>
      </c>
    </row>
    <row r="8" spans="1:4" ht="17.399999999999999" x14ac:dyDescent="0.3">
      <c r="A8" s="1" t="s">
        <v>69</v>
      </c>
      <c r="B8" s="1" t="s">
        <v>104</v>
      </c>
      <c r="C8" s="1" t="s">
        <v>102</v>
      </c>
    </row>
    <row r="9" spans="1:4" ht="18" x14ac:dyDescent="0.35">
      <c r="A9" s="3" t="s">
        <v>115</v>
      </c>
      <c r="B9" s="3">
        <v>29.55</v>
      </c>
      <c r="C9" s="3">
        <v>32.79</v>
      </c>
    </row>
    <row r="10" spans="1:4" ht="18" x14ac:dyDescent="0.35">
      <c r="A10" s="3" t="s">
        <v>5</v>
      </c>
      <c r="B10" s="9">
        <v>57.72</v>
      </c>
      <c r="C10" s="9">
        <v>16.730208475028441</v>
      </c>
    </row>
    <row r="11" spans="1:4" ht="18" x14ac:dyDescent="0.35">
      <c r="A11" s="3" t="s">
        <v>29</v>
      </c>
      <c r="B11" s="9">
        <v>36.58</v>
      </c>
      <c r="C11" s="9">
        <v>6.3176725839609134</v>
      </c>
    </row>
    <row r="12" spans="1:4" ht="18" x14ac:dyDescent="0.35">
      <c r="A12" s="3" t="s">
        <v>7</v>
      </c>
      <c r="B12" s="9">
        <v>10.7</v>
      </c>
      <c r="C12" s="9">
        <v>1.7903220213943545</v>
      </c>
    </row>
    <row r="13" spans="1:4" ht="17.399999999999999" x14ac:dyDescent="0.3">
      <c r="B13" s="15"/>
      <c r="C13" s="34">
        <v>57.631203080383706</v>
      </c>
    </row>
  </sheetData>
  <sortState xmlns:xlrd2="http://schemas.microsoft.com/office/spreadsheetml/2017/richdata2" ref="A3:C5">
    <sortCondition descending="1" ref="C3:C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B7D6-89E2-4E41-B168-85BE321A42F5}">
  <dimension ref="A1:D12"/>
  <sheetViews>
    <sheetView workbookViewId="0">
      <selection activeCell="D3" sqref="D3"/>
    </sheetView>
  </sheetViews>
  <sheetFormatPr defaultRowHeight="14.4" x14ac:dyDescent="0.3"/>
  <cols>
    <col min="1" max="1" width="21.6640625" bestFit="1" customWidth="1"/>
    <col min="2" max="2" width="12" bestFit="1" customWidth="1"/>
    <col min="3" max="3" width="12.21875" customWidth="1"/>
    <col min="4" max="4" width="21.33203125" bestFit="1" customWidth="1"/>
  </cols>
  <sheetData>
    <row r="1" spans="1:4" ht="15.6" x14ac:dyDescent="0.3">
      <c r="A1" s="38" t="s">
        <v>109</v>
      </c>
      <c r="B1" s="38"/>
    </row>
    <row r="2" spans="1:4" x14ac:dyDescent="0.3">
      <c r="A2" s="35" t="s">
        <v>69</v>
      </c>
      <c r="B2" s="35" t="s">
        <v>99</v>
      </c>
      <c r="C2" s="35" t="s">
        <v>101</v>
      </c>
      <c r="D2" s="35" t="s">
        <v>112</v>
      </c>
    </row>
    <row r="3" spans="1:4" x14ac:dyDescent="0.3">
      <c r="A3" s="23" t="s">
        <v>7</v>
      </c>
      <c r="B3" s="46">
        <v>0.18893977953903418</v>
      </c>
      <c r="C3" s="46">
        <v>23.75230848509014</v>
      </c>
      <c r="D3" s="46">
        <f>B3*C3</f>
        <v>4.4877559287160622</v>
      </c>
    </row>
    <row r="4" spans="1:4" x14ac:dyDescent="0.3">
      <c r="A4" s="23" t="s">
        <v>4</v>
      </c>
      <c r="B4" s="46">
        <v>0.59270111902403477</v>
      </c>
      <c r="C4" s="46">
        <v>24.514263639481626</v>
      </c>
      <c r="D4" s="46">
        <f t="shared" ref="D4:D5" si="0">B4*C4</f>
        <v>14.529631491170967</v>
      </c>
    </row>
    <row r="5" spans="1:4" x14ac:dyDescent="0.3">
      <c r="A5" s="23" t="s">
        <v>13</v>
      </c>
      <c r="B5" s="46">
        <v>0.21835910143693105</v>
      </c>
      <c r="C5" s="46">
        <v>109.30751135474246</v>
      </c>
      <c r="D5" s="46">
        <f t="shared" si="0"/>
        <v>23.868289959728703</v>
      </c>
    </row>
    <row r="6" spans="1:4" x14ac:dyDescent="0.3">
      <c r="A6" s="35" t="s">
        <v>103</v>
      </c>
      <c r="B6" s="46"/>
      <c r="C6" s="23"/>
      <c r="D6" s="52">
        <f>SUM(D3:D5)</f>
        <v>42.885677379615728</v>
      </c>
    </row>
    <row r="8" spans="1:4" ht="43.2" x14ac:dyDescent="0.3">
      <c r="A8" s="35" t="s">
        <v>69</v>
      </c>
      <c r="B8" s="53" t="s">
        <v>104</v>
      </c>
      <c r="C8" s="53" t="s">
        <v>112</v>
      </c>
    </row>
    <row r="9" spans="1:4" x14ac:dyDescent="0.3">
      <c r="A9" s="23" t="s">
        <v>7</v>
      </c>
      <c r="B9" s="46">
        <v>18.89</v>
      </c>
      <c r="C9" s="46">
        <v>4.4877559287160622</v>
      </c>
    </row>
    <row r="10" spans="1:4" x14ac:dyDescent="0.3">
      <c r="A10" s="23" t="s">
        <v>4</v>
      </c>
      <c r="B10" s="46">
        <v>59.27</v>
      </c>
      <c r="C10" s="46">
        <v>14.529631491170967</v>
      </c>
    </row>
    <row r="11" spans="1:4" x14ac:dyDescent="0.3">
      <c r="A11" s="23" t="s">
        <v>13</v>
      </c>
      <c r="B11" s="46">
        <v>21.84</v>
      </c>
      <c r="C11" s="46">
        <v>23.868289959728703</v>
      </c>
    </row>
    <row r="12" spans="1:4" x14ac:dyDescent="0.3">
      <c r="A12" s="23"/>
      <c r="B12" s="23"/>
      <c r="C12" s="52">
        <f>SUM(C9:C11)</f>
        <v>42.885677379615728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83E2-65B4-4C50-8336-6BC2C6B477AE}">
  <dimension ref="A1:N180"/>
  <sheetViews>
    <sheetView topLeftCell="A4" workbookViewId="0">
      <selection activeCell="C19" sqref="C19"/>
    </sheetView>
  </sheetViews>
  <sheetFormatPr defaultRowHeight="14.4" x14ac:dyDescent="0.3"/>
  <cols>
    <col min="3" max="3" width="10.21875" bestFit="1" customWidth="1"/>
    <col min="11" max="11" width="14.5546875" bestFit="1" customWidth="1"/>
    <col min="12" max="12" width="10.5546875" bestFit="1" customWidth="1"/>
    <col min="13" max="13" width="16.6640625" bestFit="1" customWidth="1"/>
  </cols>
  <sheetData>
    <row r="1" spans="1:14" ht="18" x14ac:dyDescent="0.35">
      <c r="A1" s="6" t="s">
        <v>25</v>
      </c>
      <c r="B1" s="6"/>
    </row>
    <row r="2" spans="1:14" x14ac:dyDescent="0.3">
      <c r="A2" s="5" t="s">
        <v>26</v>
      </c>
      <c r="B2" s="5"/>
      <c r="I2" s="5" t="s">
        <v>27</v>
      </c>
      <c r="J2" s="5"/>
    </row>
    <row r="3" spans="1:14" x14ac:dyDescent="0.3">
      <c r="A3" t="s">
        <v>20</v>
      </c>
      <c r="B3" t="s">
        <v>21</v>
      </c>
      <c r="C3" t="s">
        <v>22</v>
      </c>
      <c r="D3">
        <f>_xlfn.VAR.P(C5:C10)</f>
        <v>6911.6498149454901</v>
      </c>
      <c r="I3" t="s">
        <v>20</v>
      </c>
      <c r="J3" t="s">
        <v>21</v>
      </c>
      <c r="K3" t="s">
        <v>76</v>
      </c>
      <c r="L3" t="s">
        <v>42</v>
      </c>
      <c r="M3" t="s">
        <v>77</v>
      </c>
      <c r="N3" t="s">
        <v>78</v>
      </c>
    </row>
    <row r="4" spans="1:14" x14ac:dyDescent="0.3">
      <c r="A4">
        <v>2016</v>
      </c>
      <c r="B4">
        <v>76.55</v>
      </c>
      <c r="I4">
        <v>2016</v>
      </c>
      <c r="J4">
        <v>8185.8</v>
      </c>
    </row>
    <row r="5" spans="1:14" x14ac:dyDescent="0.3">
      <c r="A5">
        <v>2017</v>
      </c>
      <c r="B5">
        <v>166.35</v>
      </c>
      <c r="C5" s="4">
        <f>((B5-B4)/B4)*100</f>
        <v>117.30894839973874</v>
      </c>
      <c r="I5">
        <v>2017</v>
      </c>
      <c r="J5">
        <v>10530.7</v>
      </c>
      <c r="K5" s="4">
        <f>((J5-J4)/J4)*100</f>
        <v>28.645947860929908</v>
      </c>
      <c r="L5" s="4">
        <f>K5-$K$12</f>
        <v>14.117754555622829</v>
      </c>
      <c r="M5" s="4">
        <f>L5^2</f>
        <v>199.31099369280915</v>
      </c>
    </row>
    <row r="6" spans="1:14" x14ac:dyDescent="0.3">
      <c r="A6">
        <v>2018</v>
      </c>
      <c r="B6">
        <v>161</v>
      </c>
      <c r="C6" s="4">
        <f t="shared" ref="C6:C10" si="0">((B6-B5)/B5)*100</f>
        <v>-3.2161106101592991</v>
      </c>
      <c r="I6">
        <v>2018</v>
      </c>
      <c r="J6">
        <v>10862.55</v>
      </c>
      <c r="K6" s="4">
        <f>((J6-J5)/J5)*100</f>
        <v>3.1512624991690821</v>
      </c>
      <c r="L6" s="4">
        <f t="shared" ref="L6:L10" si="1">K6-$K$12</f>
        <v>-11.376930806137997</v>
      </c>
      <c r="M6" s="4">
        <f t="shared" ref="M6:M10" si="2">L6^2</f>
        <v>129.43455456765179</v>
      </c>
    </row>
    <row r="7" spans="1:14" x14ac:dyDescent="0.3">
      <c r="A7">
        <v>2019</v>
      </c>
      <c r="B7">
        <v>208.35</v>
      </c>
      <c r="C7" s="4">
        <f t="shared" si="0"/>
        <v>29.409937888198755</v>
      </c>
      <c r="I7">
        <v>2019</v>
      </c>
      <c r="J7">
        <v>12168.45</v>
      </c>
      <c r="K7" s="4">
        <f t="shared" ref="K7:K10" si="3">((J7-J6)/J6)*100</f>
        <v>12.022039023986094</v>
      </c>
      <c r="L7" s="4">
        <f t="shared" si="1"/>
        <v>-2.5061542813209847</v>
      </c>
      <c r="M7" s="4">
        <f t="shared" si="2"/>
        <v>6.2808092817835011</v>
      </c>
    </row>
    <row r="8" spans="1:14" x14ac:dyDescent="0.3">
      <c r="A8">
        <v>2020</v>
      </c>
      <c r="B8">
        <v>479.55</v>
      </c>
      <c r="C8" s="4">
        <f t="shared" si="0"/>
        <v>130.16558675305978</v>
      </c>
      <c r="I8">
        <v>2020</v>
      </c>
      <c r="J8">
        <v>13981.75</v>
      </c>
      <c r="K8" s="4">
        <f t="shared" si="3"/>
        <v>14.901651401780827</v>
      </c>
      <c r="L8" s="4">
        <f t="shared" si="1"/>
        <v>0.3734580964737475</v>
      </c>
      <c r="M8" s="4">
        <f t="shared" si="2"/>
        <v>0.13947094982179489</v>
      </c>
    </row>
    <row r="9" spans="1:14" x14ac:dyDescent="0.3">
      <c r="A9">
        <v>2021</v>
      </c>
      <c r="B9">
        <v>1709.45</v>
      </c>
      <c r="C9" s="4">
        <f t="shared" si="0"/>
        <v>256.46960692315713</v>
      </c>
      <c r="I9">
        <v>2021</v>
      </c>
      <c r="J9">
        <v>17354.05</v>
      </c>
      <c r="K9" s="4">
        <f t="shared" si="3"/>
        <v>24.119298371090881</v>
      </c>
      <c r="L9" s="4">
        <f t="shared" si="1"/>
        <v>9.5911050657838022</v>
      </c>
      <c r="M9" s="4">
        <f t="shared" si="2"/>
        <v>91.989296382903717</v>
      </c>
    </row>
    <row r="10" spans="1:14" x14ac:dyDescent="0.3">
      <c r="A10">
        <v>2022</v>
      </c>
      <c r="B10">
        <v>3858.35</v>
      </c>
      <c r="C10" s="4">
        <f t="shared" si="0"/>
        <v>125.70709877445961</v>
      </c>
      <c r="I10">
        <v>2022</v>
      </c>
      <c r="J10">
        <v>18105.3</v>
      </c>
      <c r="K10" s="4">
        <f t="shared" si="3"/>
        <v>4.328960674885689</v>
      </c>
      <c r="L10" s="4">
        <f t="shared" si="1"/>
        <v>-10.19923263042139</v>
      </c>
      <c r="M10" s="4">
        <f t="shared" si="2"/>
        <v>104.02434624945242</v>
      </c>
    </row>
    <row r="11" spans="1:14" x14ac:dyDescent="0.3">
      <c r="B11" t="s">
        <v>23</v>
      </c>
      <c r="C11" s="4">
        <f>SUM(C5:C10)</f>
        <v>655.84506812845473</v>
      </c>
      <c r="J11" t="s">
        <v>23</v>
      </c>
      <c r="K11" s="4">
        <f>SUM(K5:K10)</f>
        <v>87.169159831842478</v>
      </c>
      <c r="L11" s="4"/>
      <c r="M11" s="4">
        <f>SUM(M5:M10)</f>
        <v>531.17947112442232</v>
      </c>
      <c r="N11">
        <f>M11/5</f>
        <v>106.23589422488446</v>
      </c>
    </row>
    <row r="12" spans="1:14" x14ac:dyDescent="0.3">
      <c r="B12" t="s">
        <v>24</v>
      </c>
      <c r="C12" s="4">
        <f>C11/6</f>
        <v>109.30751135474246</v>
      </c>
      <c r="J12" t="s">
        <v>24</v>
      </c>
      <c r="K12" s="4">
        <f>K11/6</f>
        <v>14.528193305307079</v>
      </c>
      <c r="L12" s="4"/>
      <c r="M12" s="18"/>
    </row>
    <row r="13" spans="1:14" x14ac:dyDescent="0.3">
      <c r="J13" t="s">
        <v>117</v>
      </c>
      <c r="K13">
        <f>_xlfn.STDEV.P(K5:K10)</f>
        <v>9.4090335239104377</v>
      </c>
      <c r="L13">
        <f>K13^2</f>
        <v>88.529911854070463</v>
      </c>
    </row>
    <row r="14" spans="1:14" x14ac:dyDescent="0.3">
      <c r="A14" s="5" t="s">
        <v>28</v>
      </c>
      <c r="B14" s="5"/>
      <c r="K14" s="4">
        <f>STDEVP(K5:K10)</f>
        <v>9.4090335239104377</v>
      </c>
    </row>
    <row r="15" spans="1:14" x14ac:dyDescent="0.3">
      <c r="A15" t="s">
        <v>20</v>
      </c>
      <c r="B15" t="s">
        <v>21</v>
      </c>
      <c r="C15" t="s">
        <v>22</v>
      </c>
      <c r="D15">
        <f>_xlfn.VAR.P(C17:C22)</f>
        <v>1793.6478404196771</v>
      </c>
    </row>
    <row r="16" spans="1:14" x14ac:dyDescent="0.3">
      <c r="A16">
        <v>2016</v>
      </c>
      <c r="B16">
        <v>1179.9000000000001</v>
      </c>
    </row>
    <row r="17" spans="1:4" x14ac:dyDescent="0.3">
      <c r="A17">
        <v>2017</v>
      </c>
      <c r="B17">
        <v>1204.8</v>
      </c>
      <c r="C17" s="4">
        <f>((B17-B16)/B16)*100</f>
        <v>2.1103483346046157</v>
      </c>
    </row>
    <row r="18" spans="1:4" x14ac:dyDescent="0.3">
      <c r="A18">
        <v>2018</v>
      </c>
      <c r="B18">
        <v>1258.3</v>
      </c>
      <c r="C18" s="4">
        <f>((B18-B17)/B17)*100</f>
        <v>4.4405710491367865</v>
      </c>
    </row>
    <row r="19" spans="1:4" x14ac:dyDescent="0.3">
      <c r="A19">
        <v>2019</v>
      </c>
      <c r="B19">
        <v>1442</v>
      </c>
      <c r="C19" s="4">
        <f t="shared" ref="C19:C22" si="4">((B19-B18)/B18)*100</f>
        <v>14.599062226813961</v>
      </c>
    </row>
    <row r="20" spans="1:4" x14ac:dyDescent="0.3">
      <c r="A20">
        <v>2020</v>
      </c>
      <c r="B20">
        <v>2412.8000000000002</v>
      </c>
      <c r="C20" s="4">
        <f t="shared" si="4"/>
        <v>67.323162274618596</v>
      </c>
    </row>
    <row r="21" spans="1:4" x14ac:dyDescent="0.3">
      <c r="A21">
        <v>2021</v>
      </c>
      <c r="B21">
        <v>5013.3999999999996</v>
      </c>
      <c r="C21" s="4">
        <f t="shared" si="4"/>
        <v>107.78348806366044</v>
      </c>
    </row>
    <row r="22" spans="1:4" x14ac:dyDescent="0.3">
      <c r="A22">
        <v>2022</v>
      </c>
      <c r="B22">
        <v>4477.6000000000004</v>
      </c>
      <c r="C22" s="4">
        <f t="shared" si="4"/>
        <v>-10.68735788087923</v>
      </c>
    </row>
    <row r="23" spans="1:4" x14ac:dyDescent="0.3">
      <c r="B23" t="s">
        <v>23</v>
      </c>
      <c r="C23" s="4">
        <f>SUM(C17:C22)</f>
        <v>185.56927406795518</v>
      </c>
    </row>
    <row r="24" spans="1:4" x14ac:dyDescent="0.3">
      <c r="B24" t="s">
        <v>24</v>
      </c>
      <c r="C24" s="4">
        <f>C23/6</f>
        <v>30.928212344659197</v>
      </c>
    </row>
    <row r="26" spans="1:4" x14ac:dyDescent="0.3">
      <c r="A26" s="5" t="s">
        <v>29</v>
      </c>
    </row>
    <row r="27" spans="1:4" x14ac:dyDescent="0.3">
      <c r="A27" t="s">
        <v>20</v>
      </c>
      <c r="B27" t="s">
        <v>21</v>
      </c>
      <c r="C27" t="s">
        <v>22</v>
      </c>
      <c r="D27">
        <f>_xlfn.VAR.P(C29:C34)</f>
        <v>351.04652106227178</v>
      </c>
    </row>
    <row r="28" spans="1:4" x14ac:dyDescent="0.3">
      <c r="A28">
        <v>2016</v>
      </c>
      <c r="B28">
        <v>891.35</v>
      </c>
    </row>
    <row r="29" spans="1:4" x14ac:dyDescent="0.3">
      <c r="A29">
        <v>2017</v>
      </c>
      <c r="B29">
        <v>1157.9000000000001</v>
      </c>
      <c r="C29" s="4">
        <f>((B29-B28)/B28)*100</f>
        <v>29.904078083805469</v>
      </c>
    </row>
    <row r="30" spans="1:4" x14ac:dyDescent="0.3">
      <c r="A30">
        <v>2018</v>
      </c>
      <c r="B30">
        <v>1373.7</v>
      </c>
      <c r="C30" s="4">
        <f t="shared" ref="C30:C34" si="5">((B30-B29)/B29)*100</f>
        <v>18.637188012781756</v>
      </c>
    </row>
    <row r="31" spans="1:4" x14ac:dyDescent="0.3">
      <c r="A31">
        <v>2019</v>
      </c>
      <c r="B31">
        <v>1786.85</v>
      </c>
      <c r="C31" s="4">
        <f t="shared" si="5"/>
        <v>30.075707942054297</v>
      </c>
    </row>
    <row r="32" spans="1:4" x14ac:dyDescent="0.3">
      <c r="A32">
        <v>2020</v>
      </c>
      <c r="B32">
        <v>2764.45</v>
      </c>
      <c r="C32" s="4">
        <f t="shared" si="5"/>
        <v>54.710803928701345</v>
      </c>
    </row>
    <row r="33" spans="1:4" x14ac:dyDescent="0.3">
      <c r="A33">
        <v>2021</v>
      </c>
      <c r="B33">
        <v>3381.95</v>
      </c>
      <c r="C33" s="4">
        <f t="shared" si="5"/>
        <v>22.337173759699034</v>
      </c>
    </row>
    <row r="34" spans="1:4" x14ac:dyDescent="0.3">
      <c r="A34">
        <v>2022</v>
      </c>
      <c r="B34">
        <v>3091.8</v>
      </c>
      <c r="C34" s="4">
        <f t="shared" si="5"/>
        <v>-8.5793698901521207</v>
      </c>
    </row>
    <row r="35" spans="1:4" x14ac:dyDescent="0.3">
      <c r="B35" t="s">
        <v>23</v>
      </c>
      <c r="C35" s="4">
        <f>SUM(C29:C34)</f>
        <v>147.08558183688976</v>
      </c>
    </row>
    <row r="36" spans="1:4" x14ac:dyDescent="0.3">
      <c r="B36" t="s">
        <v>24</v>
      </c>
      <c r="C36" s="4">
        <f>AVERAGE(C29:C34)</f>
        <v>24.514263639481626</v>
      </c>
    </row>
    <row r="38" spans="1:4" x14ac:dyDescent="0.3">
      <c r="A38" s="5" t="s">
        <v>30</v>
      </c>
      <c r="B38" s="5"/>
    </row>
    <row r="39" spans="1:4" x14ac:dyDescent="0.3">
      <c r="A39" t="s">
        <v>20</v>
      </c>
      <c r="B39" t="s">
        <v>21</v>
      </c>
      <c r="C39" t="s">
        <v>22</v>
      </c>
      <c r="D39">
        <f>_xlfn.VAR.P(C41:C46)</f>
        <v>1242.0452475488532</v>
      </c>
    </row>
    <row r="40" spans="1:4" x14ac:dyDescent="0.3">
      <c r="A40">
        <v>2016</v>
      </c>
      <c r="B40">
        <v>842.2</v>
      </c>
    </row>
    <row r="41" spans="1:4" x14ac:dyDescent="0.3">
      <c r="A41">
        <v>2017</v>
      </c>
      <c r="B41">
        <v>1756.7</v>
      </c>
      <c r="C41" s="4">
        <f>((B41-B40)/B40)*100</f>
        <v>108.58465922583709</v>
      </c>
    </row>
    <row r="42" spans="1:4" x14ac:dyDescent="0.3">
      <c r="A42">
        <v>2018</v>
      </c>
      <c r="B42">
        <v>2645.15</v>
      </c>
      <c r="C42" s="4">
        <f t="shared" ref="C42:C46" si="6">((B42-B41)/B41)*100</f>
        <v>50.574941651961069</v>
      </c>
    </row>
    <row r="43" spans="1:4" x14ac:dyDescent="0.3">
      <c r="A43">
        <v>2019</v>
      </c>
      <c r="B43">
        <v>4234.75</v>
      </c>
      <c r="C43" s="4">
        <f t="shared" si="6"/>
        <v>60.094890648923496</v>
      </c>
    </row>
    <row r="44" spans="1:4" x14ac:dyDescent="0.3">
      <c r="A44">
        <v>2020</v>
      </c>
      <c r="B44">
        <v>5295.2</v>
      </c>
      <c r="C44" s="4">
        <f t="shared" si="6"/>
        <v>25.041619930338264</v>
      </c>
    </row>
    <row r="45" spans="1:4" x14ac:dyDescent="0.3">
      <c r="A45">
        <v>2021</v>
      </c>
      <c r="B45">
        <v>6977.3</v>
      </c>
      <c r="C45" s="4">
        <f t="shared" si="6"/>
        <v>31.766505514428168</v>
      </c>
    </row>
    <row r="46" spans="1:4" x14ac:dyDescent="0.3">
      <c r="A46">
        <v>2022</v>
      </c>
      <c r="B46">
        <v>6575.2</v>
      </c>
      <c r="C46" s="4">
        <f t="shared" si="6"/>
        <v>-5.7629742163874331</v>
      </c>
    </row>
    <row r="47" spans="1:4" x14ac:dyDescent="0.3">
      <c r="B47" t="s">
        <v>23</v>
      </c>
      <c r="C47" s="4">
        <f>SUM(C41:C46)</f>
        <v>270.29964275510065</v>
      </c>
    </row>
    <row r="48" spans="1:4" x14ac:dyDescent="0.3">
      <c r="B48" t="s">
        <v>24</v>
      </c>
      <c r="C48" s="4">
        <f>AVERAGE(C41:C46)</f>
        <v>45.049940459183439</v>
      </c>
    </row>
    <row r="50" spans="1:4" x14ac:dyDescent="0.3">
      <c r="A50" s="5" t="s">
        <v>31</v>
      </c>
      <c r="B50" s="5"/>
    </row>
    <row r="51" spans="1:4" x14ac:dyDescent="0.3">
      <c r="A51" t="s">
        <v>20</v>
      </c>
      <c r="B51" t="s">
        <v>21</v>
      </c>
      <c r="C51" t="s">
        <v>22</v>
      </c>
      <c r="D51">
        <f>_xlfn.VAR.P(C53:C58)</f>
        <v>1364.1038411634354</v>
      </c>
    </row>
    <row r="52" spans="1:4" x14ac:dyDescent="0.3">
      <c r="A52">
        <v>2016</v>
      </c>
      <c r="B52">
        <v>275.47000000000003</v>
      </c>
    </row>
    <row r="53" spans="1:4" x14ac:dyDescent="0.3">
      <c r="A53">
        <v>2017</v>
      </c>
      <c r="B53">
        <v>477.35</v>
      </c>
      <c r="C53" s="4">
        <f>((B53-B52)/B52)*100</f>
        <v>73.285657240352847</v>
      </c>
    </row>
    <row r="54" spans="1:4" x14ac:dyDescent="0.3">
      <c r="A54">
        <v>2018</v>
      </c>
      <c r="B54">
        <v>281.64</v>
      </c>
      <c r="C54" s="4">
        <f t="shared" ref="C54:C58" si="7">((B54-B53)/B53)*100</f>
        <v>-40.999266785377614</v>
      </c>
    </row>
    <row r="55" spans="1:4" x14ac:dyDescent="0.3">
      <c r="A55">
        <v>2019</v>
      </c>
      <c r="B55">
        <v>447.4</v>
      </c>
      <c r="C55" s="4">
        <f t="shared" si="7"/>
        <v>58.855276239170571</v>
      </c>
    </row>
    <row r="56" spans="1:4" x14ac:dyDescent="0.3">
      <c r="A56">
        <v>2020</v>
      </c>
      <c r="B56">
        <v>500.31</v>
      </c>
      <c r="C56" s="4">
        <f t="shared" si="7"/>
        <v>11.826106392489947</v>
      </c>
    </row>
    <row r="57" spans="1:4" x14ac:dyDescent="0.3">
      <c r="A57">
        <v>2021</v>
      </c>
      <c r="B57">
        <v>683.8</v>
      </c>
      <c r="C57" s="4">
        <f t="shared" si="7"/>
        <v>36.675261337970447</v>
      </c>
    </row>
    <row r="58" spans="1:4" x14ac:dyDescent="0.3">
      <c r="A58">
        <v>2022</v>
      </c>
      <c r="B58">
        <v>806.1</v>
      </c>
      <c r="C58" s="4">
        <f t="shared" si="7"/>
        <v>17.88534659257094</v>
      </c>
    </row>
    <row r="59" spans="1:4" x14ac:dyDescent="0.3">
      <c r="B59" t="s">
        <v>23</v>
      </c>
      <c r="C59" s="4">
        <f>SUM(C53:C58)</f>
        <v>157.52838101717714</v>
      </c>
    </row>
    <row r="60" spans="1:4" x14ac:dyDescent="0.3">
      <c r="B60" t="s">
        <v>24</v>
      </c>
      <c r="C60" s="4">
        <f>AVERAGE(C53:C58)</f>
        <v>26.254730169529523</v>
      </c>
    </row>
    <row r="62" spans="1:4" x14ac:dyDescent="0.3">
      <c r="A62" s="5" t="s">
        <v>9</v>
      </c>
    </row>
    <row r="63" spans="1:4" x14ac:dyDescent="0.3">
      <c r="A63" t="s">
        <v>20</v>
      </c>
      <c r="B63" t="s">
        <v>21</v>
      </c>
      <c r="C63" t="s">
        <v>22</v>
      </c>
      <c r="D63">
        <f>_xlfn.VAR.P(C65:C70)</f>
        <v>775.66957726121495</v>
      </c>
    </row>
    <row r="64" spans="1:4" x14ac:dyDescent="0.3">
      <c r="A64">
        <v>2016</v>
      </c>
      <c r="B64">
        <v>568.79999999999995</v>
      </c>
    </row>
    <row r="65" spans="1:4" x14ac:dyDescent="0.3">
      <c r="A65">
        <v>2017</v>
      </c>
      <c r="B65">
        <v>608.5</v>
      </c>
      <c r="C65" s="4">
        <f>((B65-B64)/B64)*100</f>
        <v>6.9796061884669562</v>
      </c>
    </row>
    <row r="66" spans="1:4" x14ac:dyDescent="0.3">
      <c r="A66">
        <v>2018</v>
      </c>
      <c r="B66">
        <v>519.5</v>
      </c>
      <c r="C66" s="4">
        <f t="shared" ref="C66:C70" si="8">((B66-B65)/B65)*100</f>
        <v>-14.626129827444537</v>
      </c>
    </row>
    <row r="67" spans="1:4" x14ac:dyDescent="0.3">
      <c r="A67">
        <v>2019</v>
      </c>
      <c r="B67">
        <v>478.2</v>
      </c>
      <c r="C67" s="4">
        <f t="shared" si="8"/>
        <v>-7.9499518768046213</v>
      </c>
    </row>
    <row r="68" spans="1:4" x14ac:dyDescent="0.3">
      <c r="A68">
        <v>2020</v>
      </c>
      <c r="B68">
        <v>819.95</v>
      </c>
      <c r="C68" s="4">
        <f t="shared" si="8"/>
        <v>71.465913843580111</v>
      </c>
    </row>
    <row r="69" spans="1:4" x14ac:dyDescent="0.3">
      <c r="A69">
        <v>2021</v>
      </c>
      <c r="B69">
        <v>944.1</v>
      </c>
      <c r="C69" s="4">
        <f t="shared" si="8"/>
        <v>15.141167144338066</v>
      </c>
    </row>
    <row r="70" spans="1:4" x14ac:dyDescent="0.3">
      <c r="A70">
        <v>2022</v>
      </c>
      <c r="B70">
        <v>1075.95</v>
      </c>
      <c r="C70" s="4">
        <f t="shared" si="8"/>
        <v>13.965681601525265</v>
      </c>
    </row>
    <row r="71" spans="1:4" x14ac:dyDescent="0.3">
      <c r="B71" t="s">
        <v>23</v>
      </c>
      <c r="C71" s="4">
        <f>SUM(C65:C70)</f>
        <v>84.97628707366124</v>
      </c>
    </row>
    <row r="72" spans="1:4" x14ac:dyDescent="0.3">
      <c r="B72" t="s">
        <v>24</v>
      </c>
      <c r="C72" s="4">
        <f>AVERAGE(C65:C70)</f>
        <v>14.162714512276873</v>
      </c>
    </row>
    <row r="74" spans="1:4" x14ac:dyDescent="0.3">
      <c r="A74" s="5" t="s">
        <v>16</v>
      </c>
      <c r="B74" s="5"/>
    </row>
    <row r="75" spans="1:4" x14ac:dyDescent="0.3">
      <c r="A75" t="s">
        <v>20</v>
      </c>
      <c r="B75" t="s">
        <v>21</v>
      </c>
      <c r="C75" t="s">
        <v>22</v>
      </c>
      <c r="D75">
        <f>_xlfn.VAR.P(C77:C82)</f>
        <v>773.58691489498381</v>
      </c>
    </row>
    <row r="76" spans="1:4" x14ac:dyDescent="0.3">
      <c r="A76">
        <v>2016</v>
      </c>
      <c r="B76">
        <v>300</v>
      </c>
    </row>
    <row r="77" spans="1:4" x14ac:dyDescent="0.3">
      <c r="A77">
        <v>2017</v>
      </c>
      <c r="B77">
        <v>262.95</v>
      </c>
      <c r="C77" s="4">
        <f>((B77-B76)/B76)*100</f>
        <v>-12.350000000000003</v>
      </c>
    </row>
    <row r="78" spans="1:4" x14ac:dyDescent="0.3">
      <c r="A78">
        <v>2018</v>
      </c>
      <c r="B78">
        <v>240.75</v>
      </c>
      <c r="C78" s="4">
        <f t="shared" ref="C78:C82" si="9">((B78-B77)/B77)*100</f>
        <v>-8.4426697090701612</v>
      </c>
    </row>
    <row r="79" spans="1:4" x14ac:dyDescent="0.3">
      <c r="A79">
        <v>2019</v>
      </c>
      <c r="B79">
        <v>211.35</v>
      </c>
      <c r="C79" s="4">
        <f t="shared" si="9"/>
        <v>-12.211838006230533</v>
      </c>
    </row>
    <row r="80" spans="1:4" x14ac:dyDescent="0.3">
      <c r="A80">
        <v>2020</v>
      </c>
      <c r="B80">
        <v>135.44999999999999</v>
      </c>
      <c r="C80" s="4">
        <f t="shared" si="9"/>
        <v>-35.911994322214341</v>
      </c>
    </row>
    <row r="81" spans="1:4" x14ac:dyDescent="0.3">
      <c r="A81">
        <v>2021</v>
      </c>
      <c r="B81">
        <v>146.05000000000001</v>
      </c>
      <c r="C81" s="4">
        <f t="shared" si="9"/>
        <v>7.8257659653008664</v>
      </c>
    </row>
    <row r="82" spans="1:4" x14ac:dyDescent="0.3">
      <c r="A82">
        <v>2022</v>
      </c>
      <c r="B82">
        <v>225.05</v>
      </c>
      <c r="C82" s="4">
        <f t="shared" si="9"/>
        <v>54.091064703868533</v>
      </c>
    </row>
    <row r="83" spans="1:4" x14ac:dyDescent="0.3">
      <c r="B83" t="s">
        <v>23</v>
      </c>
      <c r="C83" s="4">
        <f>SUM(C77:C82)</f>
        <v>-6.9996713683456449</v>
      </c>
    </row>
    <row r="84" spans="1:4" x14ac:dyDescent="0.3">
      <c r="B84" t="s">
        <v>24</v>
      </c>
      <c r="C84" s="4">
        <f>AVERAGE(C77:C82)</f>
        <v>-1.1666118947242741</v>
      </c>
    </row>
    <row r="86" spans="1:4" x14ac:dyDescent="0.3">
      <c r="A86" s="5" t="s">
        <v>10</v>
      </c>
      <c r="B86" s="5"/>
    </row>
    <row r="87" spans="1:4" x14ac:dyDescent="0.3">
      <c r="A87" t="s">
        <v>20</v>
      </c>
      <c r="B87" t="s">
        <v>21</v>
      </c>
      <c r="C87" t="s">
        <v>22</v>
      </c>
      <c r="D87">
        <f>_xlfn.VAR.P(C89:C94)</f>
        <v>286.49085184923746</v>
      </c>
    </row>
    <row r="88" spans="1:4" x14ac:dyDescent="0.3">
      <c r="A88">
        <v>2016</v>
      </c>
      <c r="B88">
        <v>603.1</v>
      </c>
    </row>
    <row r="89" spans="1:4" x14ac:dyDescent="0.3">
      <c r="A89">
        <v>2017</v>
      </c>
      <c r="B89">
        <v>936.2</v>
      </c>
      <c r="C89" s="4">
        <f>((B89-B88)/B88)*100</f>
        <v>55.231304924556454</v>
      </c>
    </row>
    <row r="90" spans="1:4" x14ac:dyDescent="0.3">
      <c r="A90">
        <v>2018</v>
      </c>
      <c r="B90">
        <v>1060.8499999999999</v>
      </c>
      <c r="C90" s="4">
        <f t="shared" ref="C90:C94" si="10">((B90-B89)/B89)*100</f>
        <v>13.314462721640661</v>
      </c>
    </row>
    <row r="91" spans="1:4" x14ac:dyDescent="0.3">
      <c r="A91">
        <v>2019</v>
      </c>
      <c r="B91">
        <v>1272.0999999999999</v>
      </c>
      <c r="C91" s="4">
        <f t="shared" si="10"/>
        <v>19.913277089126645</v>
      </c>
    </row>
    <row r="92" spans="1:4" x14ac:dyDescent="0.3">
      <c r="A92">
        <v>2020</v>
      </c>
      <c r="B92">
        <v>1436.3</v>
      </c>
      <c r="C92" s="4">
        <f t="shared" si="10"/>
        <v>12.907790268060692</v>
      </c>
    </row>
    <row r="93" spans="1:4" x14ac:dyDescent="0.3">
      <c r="A93">
        <v>2021</v>
      </c>
      <c r="B93">
        <v>1479.4</v>
      </c>
      <c r="C93" s="4">
        <f t="shared" si="10"/>
        <v>3.0007658567151805</v>
      </c>
    </row>
    <row r="94" spans="1:4" x14ac:dyDescent="0.3">
      <c r="A94">
        <v>2022</v>
      </c>
      <c r="B94">
        <v>1628.15</v>
      </c>
      <c r="C94" s="4">
        <f t="shared" si="10"/>
        <v>10.054751926456671</v>
      </c>
    </row>
    <row r="95" spans="1:4" x14ac:dyDescent="0.3">
      <c r="B95" t="s">
        <v>23</v>
      </c>
      <c r="C95" s="4">
        <f>SUM(C89:C94)</f>
        <v>114.42235278655632</v>
      </c>
    </row>
    <row r="96" spans="1:4" x14ac:dyDescent="0.3">
      <c r="B96" t="s">
        <v>32</v>
      </c>
      <c r="C96" s="4">
        <f>AVERAGE(C89:C94)</f>
        <v>19.070392131092721</v>
      </c>
    </row>
    <row r="98" spans="1:4" x14ac:dyDescent="0.3">
      <c r="A98" s="5" t="s">
        <v>7</v>
      </c>
    </row>
    <row r="99" spans="1:4" x14ac:dyDescent="0.3">
      <c r="A99" t="s">
        <v>20</v>
      </c>
      <c r="B99" t="s">
        <v>21</v>
      </c>
      <c r="C99" t="s">
        <v>22</v>
      </c>
      <c r="D99">
        <f>_xlfn.VAR.P(C101:C106)</f>
        <v>921.84162445563948</v>
      </c>
    </row>
    <row r="100" spans="1:4" x14ac:dyDescent="0.3">
      <c r="A100">
        <v>2016</v>
      </c>
      <c r="B100">
        <v>505.3</v>
      </c>
    </row>
    <row r="101" spans="1:4" x14ac:dyDescent="0.3">
      <c r="A101">
        <v>2017</v>
      </c>
      <c r="B101">
        <v>521.03</v>
      </c>
      <c r="C101" s="4">
        <f>((B101-B100)/B100)*100</f>
        <v>3.1130021769245912</v>
      </c>
    </row>
    <row r="102" spans="1:4" x14ac:dyDescent="0.3">
      <c r="A102">
        <v>2018</v>
      </c>
      <c r="B102">
        <v>658.95</v>
      </c>
      <c r="C102" s="4">
        <f t="shared" ref="C102:C106" si="11">((B102-B101)/B101)*100</f>
        <v>26.470644684567123</v>
      </c>
    </row>
    <row r="103" spans="1:4" x14ac:dyDescent="0.3">
      <c r="A103">
        <v>2019</v>
      </c>
      <c r="B103">
        <v>731.15</v>
      </c>
      <c r="C103" s="4">
        <f t="shared" si="11"/>
        <v>10.956825252295307</v>
      </c>
    </row>
    <row r="104" spans="1:4" x14ac:dyDescent="0.3">
      <c r="A104">
        <v>2020</v>
      </c>
      <c r="B104">
        <v>1255.8</v>
      </c>
      <c r="C104" s="4">
        <f t="shared" si="11"/>
        <v>71.756821445667782</v>
      </c>
    </row>
    <row r="105" spans="1:4" x14ac:dyDescent="0.3">
      <c r="A105">
        <v>2021</v>
      </c>
      <c r="B105">
        <v>1887.75</v>
      </c>
      <c r="C105" s="4">
        <f t="shared" si="11"/>
        <v>50.322503583373155</v>
      </c>
    </row>
    <row r="106" spans="1:4" x14ac:dyDescent="0.3">
      <c r="A106">
        <v>2022</v>
      </c>
      <c r="B106">
        <v>1508.2</v>
      </c>
      <c r="C106" s="4">
        <f t="shared" si="11"/>
        <v>-20.10594623228711</v>
      </c>
    </row>
    <row r="107" spans="1:4" x14ac:dyDescent="0.3">
      <c r="B107" t="s">
        <v>23</v>
      </c>
      <c r="C107" s="4">
        <f>SUM(C101:C106)</f>
        <v>142.51385091054084</v>
      </c>
    </row>
    <row r="108" spans="1:4" x14ac:dyDescent="0.3">
      <c r="B108" t="s">
        <v>24</v>
      </c>
      <c r="C108" s="4">
        <f>AVERAGE(C101:C106)</f>
        <v>23.75230848509014</v>
      </c>
    </row>
    <row r="110" spans="1:4" x14ac:dyDescent="0.3">
      <c r="A110" s="5" t="s">
        <v>11</v>
      </c>
    </row>
    <row r="111" spans="1:4" x14ac:dyDescent="0.3">
      <c r="A111" t="s">
        <v>20</v>
      </c>
      <c r="B111" t="s">
        <v>21</v>
      </c>
      <c r="C111" t="s">
        <v>22</v>
      </c>
      <c r="D111">
        <f>_xlfn.VAR.P(C113:C118)</f>
        <v>485.70350789719589</v>
      </c>
    </row>
    <row r="112" spans="1:4" x14ac:dyDescent="0.3">
      <c r="A112">
        <v>2016</v>
      </c>
      <c r="B112">
        <v>241.65</v>
      </c>
    </row>
    <row r="113" spans="1:4" x14ac:dyDescent="0.3">
      <c r="A113">
        <v>2017</v>
      </c>
      <c r="B113">
        <v>263.25</v>
      </c>
      <c r="C113" s="4">
        <f>((B113-B112)/B112)*100</f>
        <v>8.9385474860335172</v>
      </c>
    </row>
    <row r="114" spans="1:4" x14ac:dyDescent="0.3">
      <c r="A114">
        <v>2018</v>
      </c>
      <c r="B114">
        <v>281.64999999999998</v>
      </c>
      <c r="C114" s="4">
        <f t="shared" ref="C114:C118" si="12">((B114-B113)/B113)*100</f>
        <v>6.9895536562203135</v>
      </c>
    </row>
    <row r="115" spans="1:4" x14ac:dyDescent="0.3">
      <c r="A115">
        <v>2019</v>
      </c>
      <c r="B115">
        <v>237.7</v>
      </c>
      <c r="C115" s="4">
        <f t="shared" si="12"/>
        <v>-15.60447363749334</v>
      </c>
    </row>
    <row r="116" spans="1:4" x14ac:dyDescent="0.3">
      <c r="A116">
        <v>2020</v>
      </c>
      <c r="B116">
        <v>209</v>
      </c>
      <c r="C116" s="4">
        <f t="shared" si="12"/>
        <v>-12.074042911232642</v>
      </c>
    </row>
    <row r="117" spans="1:4" x14ac:dyDescent="0.3">
      <c r="A117">
        <v>2021</v>
      </c>
      <c r="B117">
        <v>218.05</v>
      </c>
      <c r="C117" s="4">
        <f t="shared" si="12"/>
        <v>4.3301435406698623</v>
      </c>
    </row>
    <row r="118" spans="1:4" x14ac:dyDescent="0.3">
      <c r="A118">
        <v>2022</v>
      </c>
      <c r="B118">
        <v>331.55</v>
      </c>
      <c r="C118" s="4">
        <f t="shared" si="12"/>
        <v>52.052281586792013</v>
      </c>
    </row>
    <row r="119" spans="1:4" x14ac:dyDescent="0.3">
      <c r="B119" t="s">
        <v>23</v>
      </c>
      <c r="C119" s="4">
        <f>SUM(C113:C118)</f>
        <v>44.632009720989721</v>
      </c>
    </row>
    <row r="120" spans="1:4" x14ac:dyDescent="0.3">
      <c r="B120" t="s">
        <v>24</v>
      </c>
      <c r="C120" s="4">
        <f>AVERAGE(C113:C118)</f>
        <v>7.4386682868316205</v>
      </c>
    </row>
    <row r="122" spans="1:4" x14ac:dyDescent="0.3">
      <c r="A122" s="5" t="s">
        <v>15</v>
      </c>
      <c r="B122" s="5"/>
    </row>
    <row r="123" spans="1:4" x14ac:dyDescent="0.3">
      <c r="A123" t="s">
        <v>20</v>
      </c>
      <c r="B123" t="s">
        <v>21</v>
      </c>
      <c r="C123" t="s">
        <v>22</v>
      </c>
      <c r="D123">
        <f>_xlfn.VAR.P(C125:C130)</f>
        <v>859.1855618896019</v>
      </c>
    </row>
    <row r="124" spans="1:4" x14ac:dyDescent="0.3">
      <c r="A124">
        <v>2016</v>
      </c>
      <c r="B124">
        <v>162.75</v>
      </c>
    </row>
    <row r="125" spans="1:4" x14ac:dyDescent="0.3">
      <c r="A125">
        <v>2017</v>
      </c>
      <c r="B125">
        <v>269.8</v>
      </c>
      <c r="C125" s="4">
        <f>((B125-B124)/B124)*100</f>
        <v>65.7757296466974</v>
      </c>
    </row>
    <row r="126" spans="1:4" x14ac:dyDescent="0.3">
      <c r="A126">
        <v>2018</v>
      </c>
      <c r="B126">
        <v>306.75</v>
      </c>
      <c r="C126" s="4">
        <f t="shared" ref="C126:C130" si="13">((B126-B125)/B125)*100</f>
        <v>13.695329873980722</v>
      </c>
    </row>
    <row r="127" spans="1:4" x14ac:dyDescent="0.3">
      <c r="A127">
        <v>2019</v>
      </c>
      <c r="B127">
        <v>270.05</v>
      </c>
      <c r="C127" s="4">
        <f t="shared" si="13"/>
        <v>-11.9641401792991</v>
      </c>
    </row>
    <row r="128" spans="1:4" x14ac:dyDescent="0.3">
      <c r="A128">
        <v>2020</v>
      </c>
      <c r="B128">
        <v>387.2</v>
      </c>
      <c r="C128" s="4">
        <f t="shared" si="13"/>
        <v>43.380855397148665</v>
      </c>
    </row>
    <row r="129" spans="1:4" x14ac:dyDescent="0.3">
      <c r="A129">
        <v>2021</v>
      </c>
      <c r="B129">
        <v>655.95</v>
      </c>
      <c r="C129" s="4">
        <f t="shared" si="13"/>
        <v>69.408574380165305</v>
      </c>
    </row>
    <row r="130" spans="1:4" x14ac:dyDescent="0.3">
      <c r="A130">
        <v>2022</v>
      </c>
      <c r="B130">
        <v>768.05</v>
      </c>
      <c r="C130" s="4">
        <f t="shared" si="13"/>
        <v>17.089717204055173</v>
      </c>
    </row>
    <row r="131" spans="1:4" x14ac:dyDescent="0.3">
      <c r="B131" t="s">
        <v>23</v>
      </c>
      <c r="C131" s="4">
        <f>SUM(C125:C130)</f>
        <v>197.38606632274818</v>
      </c>
    </row>
    <row r="132" spans="1:4" x14ac:dyDescent="0.3">
      <c r="B132" t="s">
        <v>24</v>
      </c>
      <c r="C132" s="4">
        <f>AVERAGE(C125:C130)</f>
        <v>32.897677720458027</v>
      </c>
    </row>
    <row r="134" spans="1:4" x14ac:dyDescent="0.3">
      <c r="A134" s="5" t="s">
        <v>8</v>
      </c>
      <c r="B134" s="5"/>
      <c r="C134" s="5"/>
    </row>
    <row r="135" spans="1:4" x14ac:dyDescent="0.3">
      <c r="A135" t="s">
        <v>20</v>
      </c>
      <c r="B135" t="s">
        <v>21</v>
      </c>
      <c r="C135" t="s">
        <v>22</v>
      </c>
      <c r="D135">
        <f>_xlfn.VAR.P(C137:C142)</f>
        <v>1123.0763374350502</v>
      </c>
    </row>
    <row r="136" spans="1:4" x14ac:dyDescent="0.3">
      <c r="A136">
        <v>2016</v>
      </c>
      <c r="B136">
        <v>5319.55</v>
      </c>
    </row>
    <row r="137" spans="1:4" x14ac:dyDescent="0.3">
      <c r="A137">
        <v>2017</v>
      </c>
      <c r="B137">
        <v>9729.5499999999993</v>
      </c>
      <c r="C137" s="4">
        <f>((B137-B136)/B136)*100</f>
        <v>82.901749208109692</v>
      </c>
    </row>
    <row r="138" spans="1:4" x14ac:dyDescent="0.3">
      <c r="A138">
        <v>2018</v>
      </c>
      <c r="B138">
        <v>7465.5</v>
      </c>
      <c r="C138" s="4">
        <f t="shared" ref="C138:C142" si="14">((B138-B137)/B137)*100</f>
        <v>-23.269832623297063</v>
      </c>
    </row>
    <row r="139" spans="1:4" x14ac:dyDescent="0.3">
      <c r="A139">
        <v>2019</v>
      </c>
      <c r="B139">
        <v>7368.6</v>
      </c>
      <c r="C139" s="4">
        <f t="shared" si="14"/>
        <v>-1.2979706650592677</v>
      </c>
    </row>
    <row r="140" spans="1:4" x14ac:dyDescent="0.3">
      <c r="A140">
        <v>2020</v>
      </c>
      <c r="B140">
        <v>7649.6</v>
      </c>
      <c r="C140" s="4">
        <f t="shared" si="14"/>
        <v>3.8134788155144803</v>
      </c>
    </row>
    <row r="141" spans="1:4" x14ac:dyDescent="0.3">
      <c r="A141">
        <v>2021</v>
      </c>
      <c r="B141">
        <v>7426.45</v>
      </c>
      <c r="C141" s="4">
        <f t="shared" si="14"/>
        <v>-2.9171459945618143</v>
      </c>
    </row>
    <row r="142" spans="1:4" x14ac:dyDescent="0.3">
      <c r="A142">
        <v>2022</v>
      </c>
      <c r="B142">
        <v>8394.6</v>
      </c>
      <c r="C142" s="4">
        <f t="shared" si="14"/>
        <v>13.036511388348412</v>
      </c>
    </row>
    <row r="143" spans="1:4" x14ac:dyDescent="0.3">
      <c r="B143" t="s">
        <v>23</v>
      </c>
      <c r="C143" s="4">
        <f>SUM(C137:C142)</f>
        <v>72.266790129054442</v>
      </c>
    </row>
    <row r="144" spans="1:4" x14ac:dyDescent="0.3">
      <c r="B144" t="s">
        <v>24</v>
      </c>
      <c r="C144" s="4">
        <f>AVERAGE(C137:C142)</f>
        <v>12.044465021509074</v>
      </c>
    </row>
    <row r="146" spans="1:4" x14ac:dyDescent="0.3">
      <c r="A146" s="5" t="s">
        <v>17</v>
      </c>
      <c r="B146" s="5"/>
    </row>
    <row r="147" spans="1:4" x14ac:dyDescent="0.3">
      <c r="A147" t="s">
        <v>20</v>
      </c>
      <c r="B147" t="s">
        <v>21</v>
      </c>
      <c r="C147" t="s">
        <v>22</v>
      </c>
      <c r="D147">
        <f>_xlfn.VAR.P(C149:C154)</f>
        <v>370.73804884739138</v>
      </c>
    </row>
    <row r="148" spans="1:4" x14ac:dyDescent="0.3">
      <c r="A148">
        <v>2016</v>
      </c>
      <c r="B148">
        <v>137.29</v>
      </c>
    </row>
    <row r="149" spans="1:4" x14ac:dyDescent="0.3">
      <c r="A149">
        <v>2017</v>
      </c>
      <c r="B149">
        <v>147.5</v>
      </c>
      <c r="C149" s="4">
        <f>((B149-B148)/B148)*100</f>
        <v>7.4368125864957442</v>
      </c>
    </row>
    <row r="150" spans="1:4" x14ac:dyDescent="0.3">
      <c r="A150">
        <v>2018</v>
      </c>
      <c r="B150">
        <v>124.21</v>
      </c>
      <c r="C150" s="4">
        <f t="shared" ref="C150:C154" si="15">((B150-B149)/B149)*100</f>
        <v>-15.789830508474582</v>
      </c>
    </row>
    <row r="151" spans="1:4" x14ac:dyDescent="0.3">
      <c r="A151">
        <v>2019</v>
      </c>
      <c r="B151">
        <v>119.05</v>
      </c>
      <c r="C151" s="4">
        <f t="shared" si="15"/>
        <v>-4.1542548909105514</v>
      </c>
    </row>
    <row r="152" spans="1:4" x14ac:dyDescent="0.3">
      <c r="A152">
        <v>2020</v>
      </c>
      <c r="B152">
        <v>99.35</v>
      </c>
      <c r="C152" s="4">
        <f t="shared" si="15"/>
        <v>-16.54766904661907</v>
      </c>
    </row>
    <row r="153" spans="1:4" x14ac:dyDescent="0.3">
      <c r="A153">
        <v>2021</v>
      </c>
      <c r="B153">
        <v>124.4</v>
      </c>
      <c r="C153" s="4">
        <f t="shared" si="15"/>
        <v>25.213890286864633</v>
      </c>
    </row>
    <row r="154" spans="1:4" x14ac:dyDescent="0.3">
      <c r="A154">
        <v>2022</v>
      </c>
      <c r="B154">
        <v>166.45</v>
      </c>
      <c r="C154" s="4">
        <f t="shared" si="15"/>
        <v>33.802250803858506</v>
      </c>
    </row>
    <row r="155" spans="1:4" x14ac:dyDescent="0.3">
      <c r="B155" t="s">
        <v>23</v>
      </c>
      <c r="C155" s="4">
        <f>SUM(C149:C154)</f>
        <v>29.961199231214678</v>
      </c>
    </row>
    <row r="156" spans="1:4" x14ac:dyDescent="0.3">
      <c r="B156" t="s">
        <v>24</v>
      </c>
      <c r="C156" s="4">
        <f>AVERAGE(C149:C154)</f>
        <v>4.9935332052024464</v>
      </c>
    </row>
    <row r="158" spans="1:4" x14ac:dyDescent="0.3">
      <c r="A158" s="5" t="s">
        <v>6</v>
      </c>
      <c r="B158" s="5"/>
      <c r="C158" s="5"/>
    </row>
    <row r="159" spans="1:4" x14ac:dyDescent="0.3">
      <c r="A159" t="s">
        <v>20</v>
      </c>
      <c r="B159" t="s">
        <v>21</v>
      </c>
      <c r="C159" t="s">
        <v>22</v>
      </c>
      <c r="D159">
        <f>_xlfn.VAR.P(C161:C166)</f>
        <v>720.88069586397592</v>
      </c>
    </row>
    <row r="160" spans="1:4" x14ac:dyDescent="0.3">
      <c r="A160">
        <v>2016</v>
      </c>
      <c r="B160">
        <v>191.35</v>
      </c>
    </row>
    <row r="161" spans="1:4" x14ac:dyDescent="0.3">
      <c r="A161">
        <v>2017</v>
      </c>
      <c r="B161">
        <v>195.2</v>
      </c>
      <c r="C161" s="4">
        <f>((B161-B160)/B160)*100</f>
        <v>2.0120198588973057</v>
      </c>
    </row>
    <row r="162" spans="1:4" x14ac:dyDescent="0.3">
      <c r="A162">
        <v>2018</v>
      </c>
      <c r="B162">
        <v>149.9</v>
      </c>
      <c r="C162" s="4">
        <f t="shared" ref="C162:C166" si="16">((B162-B161)/B161)*100</f>
        <v>-23.206967213114744</v>
      </c>
    </row>
    <row r="163" spans="1:4" x14ac:dyDescent="0.3">
      <c r="A163">
        <v>2019</v>
      </c>
      <c r="B163">
        <v>128.80000000000001</v>
      </c>
      <c r="C163" s="4">
        <f t="shared" si="16"/>
        <v>-14.076050700466974</v>
      </c>
    </row>
    <row r="164" spans="1:4" x14ac:dyDescent="0.3">
      <c r="A164">
        <v>2020</v>
      </c>
      <c r="B164">
        <v>93.05</v>
      </c>
      <c r="C164" s="4">
        <f t="shared" si="16"/>
        <v>-27.756211180124229</v>
      </c>
    </row>
    <row r="165" spans="1:4" x14ac:dyDescent="0.3">
      <c r="A165">
        <v>2021</v>
      </c>
      <c r="B165">
        <v>142.4</v>
      </c>
      <c r="C165" s="4">
        <f t="shared" si="16"/>
        <v>53.036002149382064</v>
      </c>
    </row>
    <row r="166" spans="1:4" x14ac:dyDescent="0.3">
      <c r="A166">
        <v>2022</v>
      </c>
      <c r="B166">
        <v>146.75</v>
      </c>
      <c r="C166" s="4">
        <f t="shared" si="16"/>
        <v>3.0547752808988724</v>
      </c>
    </row>
    <row r="167" spans="1:4" x14ac:dyDescent="0.3">
      <c r="B167" t="s">
        <v>23</v>
      </c>
      <c r="C167" s="4">
        <f>SUM(C161:C166)</f>
        <v>-6.9364318045277011</v>
      </c>
    </row>
    <row r="168" spans="1:4" x14ac:dyDescent="0.3">
      <c r="B168" t="s">
        <v>24</v>
      </c>
      <c r="C168" s="4">
        <f>AVERAGE(C161:C166)</f>
        <v>-1.1560719674212836</v>
      </c>
    </row>
    <row r="170" spans="1:4" x14ac:dyDescent="0.3">
      <c r="A170" s="5" t="s">
        <v>14</v>
      </c>
      <c r="B170" s="5"/>
      <c r="C170" s="5"/>
    </row>
    <row r="171" spans="1:4" x14ac:dyDescent="0.3">
      <c r="A171" t="s">
        <v>20</v>
      </c>
      <c r="B171" t="s">
        <v>21</v>
      </c>
      <c r="C171" t="s">
        <v>22</v>
      </c>
      <c r="D171">
        <f>_xlfn.VAR.P(C173:C178)</f>
        <v>392.23460151886047</v>
      </c>
    </row>
    <row r="172" spans="1:4" x14ac:dyDescent="0.3">
      <c r="A172">
        <v>2016</v>
      </c>
      <c r="B172">
        <v>3520.2</v>
      </c>
    </row>
    <row r="173" spans="1:4" x14ac:dyDescent="0.3">
      <c r="A173">
        <v>2017</v>
      </c>
      <c r="B173">
        <v>4320.6000000000004</v>
      </c>
      <c r="C173" s="4">
        <f>((B173-B172)/B172)*100</f>
        <v>22.737344469064276</v>
      </c>
    </row>
    <row r="174" spans="1:4" x14ac:dyDescent="0.3">
      <c r="A174">
        <v>2018</v>
      </c>
      <c r="B174">
        <v>3990.95</v>
      </c>
      <c r="C174" s="4">
        <f t="shared" ref="C174:C178" si="17">((B174-B173)/B173)*100</f>
        <v>-7.6297273526825098</v>
      </c>
    </row>
    <row r="175" spans="1:4" x14ac:dyDescent="0.3">
      <c r="A175">
        <v>2019</v>
      </c>
      <c r="B175">
        <v>4046.05</v>
      </c>
      <c r="C175" s="4">
        <f t="shared" si="17"/>
        <v>1.3806236610330966</v>
      </c>
    </row>
    <row r="176" spans="1:4" x14ac:dyDescent="0.3">
      <c r="A176">
        <v>2020</v>
      </c>
      <c r="B176">
        <v>5288.15</v>
      </c>
      <c r="C176" s="4">
        <f t="shared" si="17"/>
        <v>30.699076877448363</v>
      </c>
    </row>
    <row r="177" spans="1:3" x14ac:dyDescent="0.3">
      <c r="A177">
        <v>2021</v>
      </c>
      <c r="B177">
        <v>7591.05</v>
      </c>
      <c r="C177" s="4">
        <f t="shared" si="17"/>
        <v>43.548310845948031</v>
      </c>
    </row>
    <row r="178" spans="1:3" x14ac:dyDescent="0.3">
      <c r="A178">
        <v>2022</v>
      </c>
      <c r="B178">
        <v>6959.05</v>
      </c>
      <c r="C178" s="4">
        <f t="shared" si="17"/>
        <v>-8.3255939560403363</v>
      </c>
    </row>
    <row r="179" spans="1:3" x14ac:dyDescent="0.3">
      <c r="B179" t="s">
        <v>23</v>
      </c>
      <c r="C179" s="4">
        <f>SUM(C173:C178)</f>
        <v>82.410034544770923</v>
      </c>
    </row>
    <row r="180" spans="1:3" x14ac:dyDescent="0.3">
      <c r="B180" t="s">
        <v>24</v>
      </c>
      <c r="C180" s="4">
        <f>AVERAGE(C173:C178)</f>
        <v>13.735005757461821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EE5B-ECDC-4EA9-8BC4-1F02D1ED2E9E}">
  <dimension ref="A1:E17"/>
  <sheetViews>
    <sheetView workbookViewId="0">
      <selection activeCell="C4" sqref="C4"/>
    </sheetView>
  </sheetViews>
  <sheetFormatPr defaultRowHeight="14.4" x14ac:dyDescent="0.3"/>
  <cols>
    <col min="2" max="2" width="37.77734375" bestFit="1" customWidth="1"/>
    <col min="3" max="3" width="21.88671875" bestFit="1" customWidth="1"/>
  </cols>
  <sheetData>
    <row r="1" spans="1:5" ht="17.399999999999999" x14ac:dyDescent="0.3">
      <c r="A1" s="7" t="s">
        <v>33</v>
      </c>
      <c r="B1" s="7"/>
      <c r="C1" s="7"/>
      <c r="D1" s="7"/>
      <c r="E1" s="5"/>
    </row>
    <row r="2" spans="1:5" ht="18" x14ac:dyDescent="0.35">
      <c r="A2" s="3" t="s">
        <v>34</v>
      </c>
      <c r="B2" s="3" t="s">
        <v>35</v>
      </c>
      <c r="C2" s="3" t="s">
        <v>36</v>
      </c>
      <c r="D2" s="8"/>
    </row>
    <row r="3" spans="1:5" ht="18" x14ac:dyDescent="0.35">
      <c r="A3" s="3">
        <v>1</v>
      </c>
      <c r="B3" s="3" t="s">
        <v>13</v>
      </c>
      <c r="C3" s="9">
        <v>109.30751135474246</v>
      </c>
      <c r="D3" s="4">
        <f>MAX(C3:C17)</f>
        <v>109.30751135474246</v>
      </c>
    </row>
    <row r="4" spans="1:5" ht="18" x14ac:dyDescent="0.35">
      <c r="A4" s="3">
        <v>2</v>
      </c>
      <c r="B4" s="3" t="s">
        <v>12</v>
      </c>
      <c r="C4" s="9">
        <v>30.928212344659197</v>
      </c>
    </row>
    <row r="5" spans="1:5" ht="18" x14ac:dyDescent="0.35">
      <c r="A5" s="3">
        <v>3</v>
      </c>
      <c r="B5" s="3" t="s">
        <v>4</v>
      </c>
      <c r="C5" s="9">
        <v>24.514263639481626</v>
      </c>
    </row>
    <row r="6" spans="1:5" ht="18" x14ac:dyDescent="0.35">
      <c r="A6" s="3">
        <v>4</v>
      </c>
      <c r="B6" s="3" t="s">
        <v>5</v>
      </c>
      <c r="C6" s="9">
        <v>45.049940459183439</v>
      </c>
    </row>
    <row r="7" spans="1:5" ht="18" x14ac:dyDescent="0.35">
      <c r="A7" s="3">
        <v>5</v>
      </c>
      <c r="B7" s="3" t="s">
        <v>18</v>
      </c>
      <c r="C7" s="9">
        <v>26.254730169529523</v>
      </c>
    </row>
    <row r="8" spans="1:5" ht="18" x14ac:dyDescent="0.35">
      <c r="A8" s="3">
        <v>6</v>
      </c>
      <c r="B8" s="3" t="s">
        <v>9</v>
      </c>
      <c r="C8" s="9">
        <v>14.162714512276873</v>
      </c>
    </row>
    <row r="9" spans="1:5" ht="18" x14ac:dyDescent="0.35">
      <c r="A9" s="3">
        <v>7</v>
      </c>
      <c r="B9" s="3" t="s">
        <v>16</v>
      </c>
      <c r="C9" s="9">
        <v>-1.1666118947242741</v>
      </c>
    </row>
    <row r="10" spans="1:5" ht="18" x14ac:dyDescent="0.35">
      <c r="A10" s="3">
        <v>8</v>
      </c>
      <c r="B10" s="3" t="s">
        <v>10</v>
      </c>
      <c r="C10" s="9">
        <v>19.070392131092721</v>
      </c>
    </row>
    <row r="11" spans="1:5" ht="18" x14ac:dyDescent="0.35">
      <c r="A11" s="3">
        <v>9</v>
      </c>
      <c r="B11" s="3" t="s">
        <v>7</v>
      </c>
      <c r="C11" s="9">
        <v>23.75230848509014</v>
      </c>
    </row>
    <row r="12" spans="1:5" ht="18" x14ac:dyDescent="0.35">
      <c r="A12" s="3">
        <v>10</v>
      </c>
      <c r="B12" s="3" t="s">
        <v>11</v>
      </c>
      <c r="C12" s="9">
        <v>7.4386682868316205</v>
      </c>
    </row>
    <row r="13" spans="1:5" ht="18" x14ac:dyDescent="0.35">
      <c r="A13" s="3">
        <v>11</v>
      </c>
      <c r="B13" s="3" t="s">
        <v>15</v>
      </c>
      <c r="C13" s="9">
        <v>32.897677720458027</v>
      </c>
    </row>
    <row r="14" spans="1:5" ht="18" x14ac:dyDescent="0.35">
      <c r="A14" s="3">
        <v>12</v>
      </c>
      <c r="B14" s="3" t="s">
        <v>8</v>
      </c>
      <c r="C14" s="9">
        <v>12.044465021509074</v>
      </c>
    </row>
    <row r="15" spans="1:5" ht="18" x14ac:dyDescent="0.35">
      <c r="A15" s="3">
        <v>13</v>
      </c>
      <c r="B15" s="3" t="s">
        <v>17</v>
      </c>
      <c r="C15" s="9">
        <v>4.9935332052024464</v>
      </c>
    </row>
    <row r="16" spans="1:5" ht="18" x14ac:dyDescent="0.35">
      <c r="A16" s="3">
        <v>14</v>
      </c>
      <c r="B16" s="3" t="s">
        <v>6</v>
      </c>
      <c r="C16" s="9">
        <v>-1.1560719674212836</v>
      </c>
    </row>
    <row r="17" spans="1:3" ht="18" x14ac:dyDescent="0.35">
      <c r="A17" s="3">
        <v>15</v>
      </c>
      <c r="B17" s="3" t="s">
        <v>14</v>
      </c>
      <c r="C17" s="9">
        <v>13.735005757461821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C1B3-4781-40D1-8ACE-15B8A29194D7}">
  <dimension ref="A1:H139"/>
  <sheetViews>
    <sheetView topLeftCell="A4" workbookViewId="0">
      <selection activeCell="A18" sqref="A18"/>
    </sheetView>
  </sheetViews>
  <sheetFormatPr defaultRowHeight="14.4" x14ac:dyDescent="0.3"/>
  <cols>
    <col min="1" max="1" width="10.44140625" customWidth="1"/>
    <col min="2" max="3" width="9.5546875" bestFit="1" customWidth="1"/>
    <col min="5" max="5" width="12.21875" bestFit="1" customWidth="1"/>
    <col min="7" max="7" width="12.77734375" bestFit="1" customWidth="1"/>
    <col min="8" max="8" width="18.5546875" bestFit="1" customWidth="1"/>
  </cols>
  <sheetData>
    <row r="1" spans="1:8" ht="15.6" x14ac:dyDescent="0.3">
      <c r="A1" s="10" t="s">
        <v>37</v>
      </c>
      <c r="B1" s="10"/>
    </row>
    <row r="3" spans="1:8" x14ac:dyDescent="0.3">
      <c r="A3" s="5" t="s">
        <v>26</v>
      </c>
      <c r="B3" s="5"/>
    </row>
    <row r="4" spans="1:8" x14ac:dyDescent="0.3">
      <c r="A4" t="s">
        <v>38</v>
      </c>
      <c r="B4" t="s">
        <v>41</v>
      </c>
      <c r="C4" t="s">
        <v>39</v>
      </c>
      <c r="D4" t="s">
        <v>40</v>
      </c>
      <c r="E4" t="s">
        <v>42</v>
      </c>
      <c r="F4" t="s">
        <v>43</v>
      </c>
      <c r="G4" t="s">
        <v>44</v>
      </c>
      <c r="H4" t="s">
        <v>45</v>
      </c>
    </row>
    <row r="5" spans="1:8" x14ac:dyDescent="0.3">
      <c r="A5" s="4">
        <v>28.645947860929908</v>
      </c>
      <c r="B5" s="4">
        <v>14.528193305307079</v>
      </c>
      <c r="C5" s="4">
        <v>117.30894839973899</v>
      </c>
      <c r="D5" s="4">
        <v>109.30751135474246</v>
      </c>
      <c r="E5" s="4">
        <f>A5-B5</f>
        <v>14.117754555622829</v>
      </c>
      <c r="F5" s="4">
        <f>C5-D5</f>
        <v>8.0014370449965355</v>
      </c>
      <c r="G5" s="4">
        <f>(E5)^2</f>
        <v>199.31099369280915</v>
      </c>
      <c r="H5" s="4">
        <f>E5*F5</f>
        <v>112.96232429352911</v>
      </c>
    </row>
    <row r="6" spans="1:8" x14ac:dyDescent="0.3">
      <c r="A6" s="4">
        <v>3.1512624991690821</v>
      </c>
      <c r="B6" s="4">
        <v>14.528193305307079</v>
      </c>
      <c r="C6" s="4">
        <v>-3.2161106101592991</v>
      </c>
      <c r="D6" s="4">
        <v>109.30751135474246</v>
      </c>
      <c r="E6" s="4">
        <f t="shared" ref="E6:E10" si="0">A6-B6</f>
        <v>-11.376930806137997</v>
      </c>
      <c r="F6" s="4">
        <f t="shared" ref="F6:F10" si="1">C6-D6</f>
        <v>-112.52362196490176</v>
      </c>
      <c r="G6" s="4">
        <f t="shared" ref="G6:G10" si="2">(E6)^2</f>
        <v>129.43455456765179</v>
      </c>
      <c r="H6" s="4">
        <f t="shared" ref="H6:H10" si="3">E6*F6</f>
        <v>1280.173461150717</v>
      </c>
    </row>
    <row r="7" spans="1:8" x14ac:dyDescent="0.3">
      <c r="A7" s="4">
        <v>12.022039023986094</v>
      </c>
      <c r="B7" s="4">
        <v>14.528193305307079</v>
      </c>
      <c r="C7" s="4">
        <v>29.409937888198755</v>
      </c>
      <c r="D7" s="4">
        <v>109.30751135474246</v>
      </c>
      <c r="E7" s="4">
        <f t="shared" si="0"/>
        <v>-2.5061542813209847</v>
      </c>
      <c r="F7" s="4">
        <f t="shared" si="1"/>
        <v>-79.897573466543705</v>
      </c>
      <c r="G7" s="4">
        <f t="shared" si="2"/>
        <v>6.2808092817835011</v>
      </c>
      <c r="H7" s="4">
        <f t="shared" si="3"/>
        <v>200.23564581033642</v>
      </c>
    </row>
    <row r="8" spans="1:8" x14ac:dyDescent="0.3">
      <c r="A8" s="4">
        <v>14.901651401780827</v>
      </c>
      <c r="B8" s="4">
        <v>14.528193305307079</v>
      </c>
      <c r="C8" s="4">
        <v>130.16558675305978</v>
      </c>
      <c r="D8" s="4">
        <v>109.30751135474246</v>
      </c>
      <c r="E8" s="4">
        <f t="shared" si="0"/>
        <v>0.3734580964737475</v>
      </c>
      <c r="F8" s="4">
        <f t="shared" si="1"/>
        <v>20.858075398317325</v>
      </c>
      <c r="G8" s="4">
        <f t="shared" si="2"/>
        <v>0.13947094982179489</v>
      </c>
      <c r="H8" s="4">
        <f t="shared" si="3"/>
        <v>7.7896171343614906</v>
      </c>
    </row>
    <row r="9" spans="1:8" x14ac:dyDescent="0.3">
      <c r="A9" s="4">
        <v>24.119298371090881</v>
      </c>
      <c r="B9" s="4">
        <v>14.528193305307079</v>
      </c>
      <c r="C9" s="4">
        <v>256.46960692315713</v>
      </c>
      <c r="D9" s="4">
        <v>109.30751135474246</v>
      </c>
      <c r="E9" s="4">
        <f t="shared" si="0"/>
        <v>9.5911050657838022</v>
      </c>
      <c r="F9" s="4">
        <f t="shared" si="1"/>
        <v>147.16209556841466</v>
      </c>
      <c r="G9" s="4">
        <f t="shared" si="2"/>
        <v>91.989296382903717</v>
      </c>
      <c r="H9" s="4">
        <f t="shared" si="3"/>
        <v>1411.4471202975819</v>
      </c>
    </row>
    <row r="10" spans="1:8" x14ac:dyDescent="0.3">
      <c r="A10" s="4">
        <v>4.328960674885689</v>
      </c>
      <c r="B10" s="4">
        <v>14.528193305307079</v>
      </c>
      <c r="C10" s="4">
        <v>125.70709877445961</v>
      </c>
      <c r="D10" s="4">
        <v>109.30751135474246</v>
      </c>
      <c r="E10" s="4">
        <f t="shared" si="0"/>
        <v>-10.19923263042139</v>
      </c>
      <c r="F10" s="4">
        <f t="shared" si="1"/>
        <v>16.39958741971715</v>
      </c>
      <c r="G10" s="4">
        <f t="shared" si="2"/>
        <v>104.02434624945242</v>
      </c>
      <c r="H10" s="4">
        <f t="shared" si="3"/>
        <v>-167.2632071366273</v>
      </c>
    </row>
    <row r="11" spans="1:8" x14ac:dyDescent="0.3">
      <c r="F11" s="4"/>
      <c r="G11" s="4">
        <f>SUM(G5:G10)</f>
        <v>531.17947112442232</v>
      </c>
      <c r="H11" s="4">
        <f>SUM(H5:H10)</f>
        <v>2845.344961549898</v>
      </c>
    </row>
    <row r="13" spans="1:8" ht="43.2" x14ac:dyDescent="0.3">
      <c r="A13" s="11" t="s">
        <v>48</v>
      </c>
      <c r="B13" s="4">
        <f>H11/G11</f>
        <v>5.3566546077670436</v>
      </c>
      <c r="C13" s="4">
        <f>SLOPE(C5:C10,A5:A10)</f>
        <v>5.3566546077670463</v>
      </c>
    </row>
    <row r="15" spans="1:8" x14ac:dyDescent="0.3">
      <c r="A15" t="s">
        <v>46</v>
      </c>
    </row>
    <row r="16" spans="1:8" x14ac:dyDescent="0.3">
      <c r="A16" t="s">
        <v>39</v>
      </c>
      <c r="B16" t="s">
        <v>38</v>
      </c>
    </row>
    <row r="17" spans="1:5" x14ac:dyDescent="0.3">
      <c r="A17" s="4">
        <v>2.1103483346046201</v>
      </c>
      <c r="B17" s="4">
        <v>28.645947860929908</v>
      </c>
      <c r="C17" t="s">
        <v>47</v>
      </c>
      <c r="E17" s="4">
        <f>SLOPE(A17:A22,B17:B22)</f>
        <v>2.0908070736123205</v>
      </c>
    </row>
    <row r="18" spans="1:5" x14ac:dyDescent="0.3">
      <c r="A18" s="4">
        <v>4.4405710491367865</v>
      </c>
      <c r="B18" s="4">
        <v>3.1512624991690821</v>
      </c>
    </row>
    <row r="19" spans="1:5" x14ac:dyDescent="0.3">
      <c r="A19" s="4">
        <v>14.599062226813961</v>
      </c>
      <c r="B19" s="4">
        <v>12.022039023986094</v>
      </c>
    </row>
    <row r="20" spans="1:5" x14ac:dyDescent="0.3">
      <c r="A20" s="4">
        <v>67.323162274618596</v>
      </c>
      <c r="B20" s="4">
        <v>14.901651401780827</v>
      </c>
    </row>
    <row r="21" spans="1:5" x14ac:dyDescent="0.3">
      <c r="A21" s="4">
        <v>107.78348806366044</v>
      </c>
      <c r="B21" s="4">
        <v>24.119298371090881</v>
      </c>
    </row>
    <row r="22" spans="1:5" x14ac:dyDescent="0.3">
      <c r="A22" s="4">
        <v>-10.68735788087923</v>
      </c>
      <c r="B22" s="4">
        <v>4.328960674885689</v>
      </c>
    </row>
    <row r="24" spans="1:5" x14ac:dyDescent="0.3">
      <c r="A24" t="s">
        <v>29</v>
      </c>
    </row>
    <row r="25" spans="1:5" x14ac:dyDescent="0.3">
      <c r="A25" t="s">
        <v>39</v>
      </c>
      <c r="B25" t="s">
        <v>38</v>
      </c>
    </row>
    <row r="26" spans="1:5" x14ac:dyDescent="0.3">
      <c r="A26" s="4">
        <v>29.904078083805469</v>
      </c>
      <c r="B26" s="4">
        <v>28.645947860929908</v>
      </c>
      <c r="C26" t="s">
        <v>49</v>
      </c>
      <c r="E26" s="4">
        <f>SLOPE(A26:A31,B26:B31)</f>
        <v>0.86024302368599703</v>
      </c>
    </row>
    <row r="27" spans="1:5" x14ac:dyDescent="0.3">
      <c r="A27" s="4">
        <v>18.637188012781756</v>
      </c>
      <c r="B27" s="4">
        <v>3.1512624991690821</v>
      </c>
    </row>
    <row r="28" spans="1:5" x14ac:dyDescent="0.3">
      <c r="A28" s="4">
        <v>30.075707942054297</v>
      </c>
      <c r="B28" s="4">
        <v>12.022039023986094</v>
      </c>
    </row>
    <row r="29" spans="1:5" x14ac:dyDescent="0.3">
      <c r="A29" s="4">
        <v>54.710803928701345</v>
      </c>
      <c r="B29" s="4">
        <v>14.901651401780827</v>
      </c>
    </row>
    <row r="30" spans="1:5" x14ac:dyDescent="0.3">
      <c r="A30" s="4">
        <v>22.337173759699034</v>
      </c>
      <c r="B30" s="4">
        <v>24.119298371090881</v>
      </c>
    </row>
    <row r="31" spans="1:5" x14ac:dyDescent="0.3">
      <c r="A31" s="4">
        <v>-8.5793698901521207</v>
      </c>
      <c r="B31" s="4">
        <v>4.328960674885689</v>
      </c>
    </row>
    <row r="33" spans="1:5" x14ac:dyDescent="0.3">
      <c r="A33" t="s">
        <v>30</v>
      </c>
    </row>
    <row r="34" spans="1:5" x14ac:dyDescent="0.3">
      <c r="A34" t="s">
        <v>39</v>
      </c>
      <c r="B34" t="s">
        <v>38</v>
      </c>
    </row>
    <row r="35" spans="1:5" x14ac:dyDescent="0.3">
      <c r="A35" s="4">
        <v>108.58465922583709</v>
      </c>
      <c r="B35" s="4">
        <v>28.645947860929908</v>
      </c>
      <c r="C35" t="s">
        <v>50</v>
      </c>
      <c r="E35" s="4">
        <f>SLOPE(A35:A40,B35:B40)</f>
        <v>2.2210622863950258</v>
      </c>
    </row>
    <row r="36" spans="1:5" x14ac:dyDescent="0.3">
      <c r="A36" s="4">
        <v>50.574941651961069</v>
      </c>
      <c r="B36" s="4">
        <v>3.1512624991690821</v>
      </c>
    </row>
    <row r="37" spans="1:5" x14ac:dyDescent="0.3">
      <c r="A37" s="4">
        <v>60.094890648923496</v>
      </c>
      <c r="B37" s="4">
        <v>12.022039023986094</v>
      </c>
    </row>
    <row r="38" spans="1:5" x14ac:dyDescent="0.3">
      <c r="A38" s="4">
        <v>25.041619930338264</v>
      </c>
      <c r="B38" s="4">
        <v>14.901651401780827</v>
      </c>
    </row>
    <row r="39" spans="1:5" x14ac:dyDescent="0.3">
      <c r="A39" s="4">
        <v>31.766505514428168</v>
      </c>
      <c r="B39" s="4">
        <v>24.119298371090881</v>
      </c>
    </row>
    <row r="40" spans="1:5" x14ac:dyDescent="0.3">
      <c r="A40" s="4">
        <v>-5.7629742163874331</v>
      </c>
      <c r="B40" s="4">
        <v>4.328960674885689</v>
      </c>
    </row>
    <row r="42" spans="1:5" x14ac:dyDescent="0.3">
      <c r="A42" t="s">
        <v>31</v>
      </c>
    </row>
    <row r="43" spans="1:5" x14ac:dyDescent="0.3">
      <c r="A43" t="s">
        <v>39</v>
      </c>
      <c r="B43" t="s">
        <v>38</v>
      </c>
    </row>
    <row r="44" spans="1:5" x14ac:dyDescent="0.3">
      <c r="A44" s="4">
        <v>73.285657240352847</v>
      </c>
      <c r="B44" s="4">
        <v>28.645947860929908</v>
      </c>
      <c r="C44" t="s">
        <v>51</v>
      </c>
      <c r="E44" s="4">
        <f>SLOPE(A44:A49,B44:B49)</f>
        <v>2.875356546337227</v>
      </c>
    </row>
    <row r="45" spans="1:5" x14ac:dyDescent="0.3">
      <c r="A45" s="4">
        <v>-40.999266785377614</v>
      </c>
      <c r="B45" s="4">
        <v>3.1512624991690821</v>
      </c>
    </row>
    <row r="46" spans="1:5" x14ac:dyDescent="0.3">
      <c r="A46" s="4">
        <v>58.855276239170571</v>
      </c>
      <c r="B46" s="4">
        <v>12.022039023986094</v>
      </c>
    </row>
    <row r="47" spans="1:5" x14ac:dyDescent="0.3">
      <c r="A47" s="4">
        <v>11.826106392489947</v>
      </c>
      <c r="B47" s="4">
        <v>14.901651401780827</v>
      </c>
    </row>
    <row r="48" spans="1:5" x14ac:dyDescent="0.3">
      <c r="A48" s="4">
        <v>36.675261337970447</v>
      </c>
      <c r="B48" s="4">
        <v>24.119298371090881</v>
      </c>
    </row>
    <row r="49" spans="1:5" x14ac:dyDescent="0.3">
      <c r="A49" s="4">
        <v>17.88534659257094</v>
      </c>
      <c r="B49" s="4">
        <v>4.328960674885689</v>
      </c>
    </row>
    <row r="51" spans="1:5" x14ac:dyDescent="0.3">
      <c r="A51" t="s">
        <v>9</v>
      </c>
    </row>
    <row r="52" spans="1:5" x14ac:dyDescent="0.3">
      <c r="A52" t="s">
        <v>39</v>
      </c>
      <c r="B52" t="s">
        <v>38</v>
      </c>
    </row>
    <row r="53" spans="1:5" x14ac:dyDescent="0.3">
      <c r="A53" s="4">
        <v>6.9796061884669562</v>
      </c>
      <c r="B53" s="4">
        <v>28.645947860929908</v>
      </c>
      <c r="C53" t="s">
        <v>52</v>
      </c>
      <c r="E53" s="4">
        <f>SLOPE(A53:A58,B53:B58)</f>
        <v>0.59176129847307246</v>
      </c>
    </row>
    <row r="54" spans="1:5" x14ac:dyDescent="0.3">
      <c r="A54" s="4">
        <v>-14.626129827444537</v>
      </c>
      <c r="B54" s="4">
        <v>3.1512624991690821</v>
      </c>
    </row>
    <row r="55" spans="1:5" x14ac:dyDescent="0.3">
      <c r="A55" s="4">
        <v>-7.9499518768046213</v>
      </c>
      <c r="B55" s="4">
        <v>12.022039023986094</v>
      </c>
    </row>
    <row r="56" spans="1:5" x14ac:dyDescent="0.3">
      <c r="A56" s="4">
        <v>71.465913843580111</v>
      </c>
      <c r="B56" s="4">
        <v>14.901651401780827</v>
      </c>
    </row>
    <row r="57" spans="1:5" x14ac:dyDescent="0.3">
      <c r="A57" s="4">
        <v>15.141167144338066</v>
      </c>
      <c r="B57" s="4">
        <v>24.119298371090881</v>
      </c>
    </row>
    <row r="58" spans="1:5" x14ac:dyDescent="0.3">
      <c r="A58" s="4">
        <v>13.965681601525265</v>
      </c>
      <c r="B58" s="4">
        <v>4.328960674885689</v>
      </c>
    </row>
    <row r="60" spans="1:5" x14ac:dyDescent="0.3">
      <c r="A60" t="s">
        <v>16</v>
      </c>
    </row>
    <row r="61" spans="1:5" x14ac:dyDescent="0.3">
      <c r="A61" t="s">
        <v>39</v>
      </c>
      <c r="B61" t="s">
        <v>38</v>
      </c>
    </row>
    <row r="62" spans="1:5" x14ac:dyDescent="0.3">
      <c r="A62" s="4">
        <v>-12.350000000000003</v>
      </c>
      <c r="B62" s="4">
        <v>28.645947860929908</v>
      </c>
      <c r="C62" t="s">
        <v>53</v>
      </c>
      <c r="E62" s="4">
        <f>SLOPE(A62:A67,B62:B67)</f>
        <v>-1.0123491444633541</v>
      </c>
    </row>
    <row r="63" spans="1:5" x14ac:dyDescent="0.3">
      <c r="A63" s="4">
        <v>-8.4426697090701612</v>
      </c>
      <c r="B63" s="4">
        <v>3.1512624991690821</v>
      </c>
    </row>
    <row r="64" spans="1:5" x14ac:dyDescent="0.3">
      <c r="A64" s="4">
        <v>-12.211838006230533</v>
      </c>
      <c r="B64" s="4">
        <v>12.022039023986094</v>
      </c>
    </row>
    <row r="65" spans="1:5" x14ac:dyDescent="0.3">
      <c r="A65" s="4">
        <v>-35.911994322214341</v>
      </c>
      <c r="B65" s="4">
        <v>14.901651401780827</v>
      </c>
    </row>
    <row r="66" spans="1:5" x14ac:dyDescent="0.3">
      <c r="A66" s="4">
        <v>7.8257659653008664</v>
      </c>
      <c r="B66" s="4">
        <v>24.119298371090881</v>
      </c>
    </row>
    <row r="67" spans="1:5" x14ac:dyDescent="0.3">
      <c r="A67" s="4">
        <v>54.091064703868533</v>
      </c>
      <c r="B67" s="4">
        <v>4.328960674885689</v>
      </c>
    </row>
    <row r="69" spans="1:5" x14ac:dyDescent="0.3">
      <c r="A69" t="s">
        <v>54</v>
      </c>
    </row>
    <row r="70" spans="1:5" x14ac:dyDescent="0.3">
      <c r="A70" t="s">
        <v>39</v>
      </c>
      <c r="B70" t="s">
        <v>38</v>
      </c>
    </row>
    <row r="71" spans="1:5" x14ac:dyDescent="0.3">
      <c r="A71" s="4">
        <v>55.231304924556454</v>
      </c>
      <c r="B71" s="4">
        <v>28.645947860929908</v>
      </c>
      <c r="C71" t="s">
        <v>55</v>
      </c>
      <c r="E71" s="4">
        <f>SLOPE(A71:A76,B71:B76)</f>
        <v>0.9590147852474652</v>
      </c>
    </row>
    <row r="72" spans="1:5" x14ac:dyDescent="0.3">
      <c r="A72" s="4">
        <v>13.314462721640661</v>
      </c>
      <c r="B72" s="4">
        <v>3.1512624991690821</v>
      </c>
    </row>
    <row r="73" spans="1:5" x14ac:dyDescent="0.3">
      <c r="A73" s="4">
        <v>19.913277089126645</v>
      </c>
      <c r="B73" s="4">
        <v>12.022039023986094</v>
      </c>
    </row>
    <row r="74" spans="1:5" x14ac:dyDescent="0.3">
      <c r="A74" s="4">
        <v>12.907790268060692</v>
      </c>
      <c r="B74" s="4">
        <v>14.901651401780827</v>
      </c>
    </row>
    <row r="75" spans="1:5" x14ac:dyDescent="0.3">
      <c r="A75" s="4">
        <v>3.0007658567151805</v>
      </c>
      <c r="B75" s="4">
        <v>24.119298371090881</v>
      </c>
    </row>
    <row r="76" spans="1:5" x14ac:dyDescent="0.3">
      <c r="A76" s="4">
        <v>10.054751926456671</v>
      </c>
      <c r="B76" s="4">
        <v>4.328960674885689</v>
      </c>
    </row>
    <row r="78" spans="1:5" x14ac:dyDescent="0.3">
      <c r="A78" t="s">
        <v>7</v>
      </c>
    </row>
    <row r="79" spans="1:5" x14ac:dyDescent="0.3">
      <c r="A79" t="s">
        <v>39</v>
      </c>
      <c r="B79" t="s">
        <v>38</v>
      </c>
    </row>
    <row r="80" spans="1:5" x14ac:dyDescent="0.3">
      <c r="A80" s="4">
        <v>3.1130021769245912</v>
      </c>
      <c r="B80" s="4">
        <v>28.645947860929908</v>
      </c>
      <c r="C80" t="s">
        <v>56</v>
      </c>
      <c r="E80" s="4">
        <f>SLOPE(A80:A85,B80:B85)</f>
        <v>0.80922973196700265</v>
      </c>
    </row>
    <row r="81" spans="1:5" x14ac:dyDescent="0.3">
      <c r="A81" s="4">
        <v>26.470644684567123</v>
      </c>
      <c r="B81" s="4">
        <v>3.1512624991690821</v>
      </c>
    </row>
    <row r="82" spans="1:5" x14ac:dyDescent="0.3">
      <c r="A82" s="4">
        <v>10.956825252295307</v>
      </c>
      <c r="B82" s="4">
        <v>12.022039023986094</v>
      </c>
    </row>
    <row r="83" spans="1:5" x14ac:dyDescent="0.3">
      <c r="A83" s="4">
        <v>71.756821445667782</v>
      </c>
      <c r="B83" s="4">
        <v>14.901651401780827</v>
      </c>
    </row>
    <row r="84" spans="1:5" x14ac:dyDescent="0.3">
      <c r="A84" s="4">
        <v>50.322503583373155</v>
      </c>
      <c r="B84" s="4">
        <v>24.119298371090881</v>
      </c>
    </row>
    <row r="85" spans="1:5" x14ac:dyDescent="0.3">
      <c r="A85" s="4">
        <v>-20.10594623228711</v>
      </c>
      <c r="B85" s="4">
        <v>4.328960674885689</v>
      </c>
    </row>
    <row r="87" spans="1:5" x14ac:dyDescent="0.3">
      <c r="A87" t="s">
        <v>11</v>
      </c>
    </row>
    <row r="88" spans="1:5" x14ac:dyDescent="0.3">
      <c r="A88" t="s">
        <v>39</v>
      </c>
      <c r="B88" t="s">
        <v>38</v>
      </c>
    </row>
    <row r="89" spans="1:5" x14ac:dyDescent="0.3">
      <c r="A89" s="4">
        <v>8.9385474860335172</v>
      </c>
      <c r="B89" s="4">
        <v>28.645947860929908</v>
      </c>
      <c r="C89" t="s">
        <v>57</v>
      </c>
      <c r="E89" s="4">
        <f>SLOPE(A89:A94,B89:B94)</f>
        <v>-0.76827488423931389</v>
      </c>
    </row>
    <row r="90" spans="1:5" x14ac:dyDescent="0.3">
      <c r="A90" s="4">
        <v>6.9895536562203135</v>
      </c>
      <c r="B90" s="4">
        <v>3.1512624991690821</v>
      </c>
    </row>
    <row r="91" spans="1:5" x14ac:dyDescent="0.3">
      <c r="A91" s="4">
        <v>-15.60447363749334</v>
      </c>
      <c r="B91" s="4">
        <v>12.022039023986094</v>
      </c>
    </row>
    <row r="92" spans="1:5" x14ac:dyDescent="0.3">
      <c r="A92" s="4">
        <v>-12.074042911232642</v>
      </c>
      <c r="B92" s="4">
        <v>14.901651401780827</v>
      </c>
    </row>
    <row r="93" spans="1:5" x14ac:dyDescent="0.3">
      <c r="A93" s="4">
        <v>4.3301435406698623</v>
      </c>
      <c r="B93" s="4">
        <v>24.119298371090881</v>
      </c>
    </row>
    <row r="94" spans="1:5" x14ac:dyDescent="0.3">
      <c r="A94" s="4">
        <v>52.052281586792013</v>
      </c>
      <c r="B94" s="4">
        <v>4.328960674885689</v>
      </c>
    </row>
    <row r="96" spans="1:5" x14ac:dyDescent="0.3">
      <c r="A96" t="s">
        <v>15</v>
      </c>
    </row>
    <row r="97" spans="1:5" x14ac:dyDescent="0.3">
      <c r="A97" t="s">
        <v>39</v>
      </c>
      <c r="B97" t="s">
        <v>38</v>
      </c>
    </row>
    <row r="98" spans="1:5" x14ac:dyDescent="0.3">
      <c r="A98" s="4">
        <v>65.7757296466974</v>
      </c>
      <c r="B98" s="4">
        <v>28.645947860929908</v>
      </c>
      <c r="C98" t="s">
        <v>58</v>
      </c>
      <c r="E98" s="4">
        <f>SLOPE(A98:A103,B98:B103)</f>
        <v>2.4669301028493287</v>
      </c>
    </row>
    <row r="99" spans="1:5" x14ac:dyDescent="0.3">
      <c r="A99" s="4">
        <v>13.695329873980722</v>
      </c>
      <c r="B99" s="4">
        <v>3.1512624991690821</v>
      </c>
    </row>
    <row r="100" spans="1:5" x14ac:dyDescent="0.3">
      <c r="A100" s="4">
        <v>-11.9641401792991</v>
      </c>
      <c r="B100" s="4">
        <v>12.022039023986094</v>
      </c>
    </row>
    <row r="101" spans="1:5" x14ac:dyDescent="0.3">
      <c r="A101" s="4">
        <v>43.380855397148665</v>
      </c>
      <c r="B101" s="4">
        <v>14.901651401780827</v>
      </c>
    </row>
    <row r="102" spans="1:5" x14ac:dyDescent="0.3">
      <c r="A102" s="4">
        <v>69.408574380165305</v>
      </c>
      <c r="B102" s="4">
        <v>24.119298371090881</v>
      </c>
    </row>
    <row r="103" spans="1:5" x14ac:dyDescent="0.3">
      <c r="A103" s="4">
        <v>17.089717204055173</v>
      </c>
      <c r="B103" s="4">
        <v>4.328960674885689</v>
      </c>
    </row>
    <row r="105" spans="1:5" x14ac:dyDescent="0.3">
      <c r="A105" t="s">
        <v>8</v>
      </c>
    </row>
    <row r="106" spans="1:5" x14ac:dyDescent="0.3">
      <c r="A106" t="s">
        <v>39</v>
      </c>
      <c r="B106" t="s">
        <v>38</v>
      </c>
    </row>
    <row r="107" spans="1:5" x14ac:dyDescent="0.3">
      <c r="A107" s="4">
        <v>82.901749208109692</v>
      </c>
      <c r="B107" s="4">
        <v>28.645947860929908</v>
      </c>
      <c r="C107" t="s">
        <v>59</v>
      </c>
      <c r="E107" s="4">
        <f>SLOPE(A107:A112,B107:B112)</f>
        <v>2.4075889899963276</v>
      </c>
    </row>
    <row r="108" spans="1:5" x14ac:dyDescent="0.3">
      <c r="A108" s="4">
        <v>-23.269832623297063</v>
      </c>
      <c r="B108" s="4">
        <v>3.1512624991690821</v>
      </c>
    </row>
    <row r="109" spans="1:5" x14ac:dyDescent="0.3">
      <c r="A109" s="4">
        <v>-1.2979706650592677</v>
      </c>
      <c r="B109" s="4">
        <v>12.022039023986094</v>
      </c>
    </row>
    <row r="110" spans="1:5" x14ac:dyDescent="0.3">
      <c r="A110" s="4">
        <v>3.8134788155144803</v>
      </c>
      <c r="B110" s="4">
        <v>14.901651401780827</v>
      </c>
    </row>
    <row r="111" spans="1:5" x14ac:dyDescent="0.3">
      <c r="A111" s="4">
        <v>-2.9171459945618143</v>
      </c>
      <c r="B111" s="4">
        <v>24.119298371090881</v>
      </c>
    </row>
    <row r="112" spans="1:5" x14ac:dyDescent="0.3">
      <c r="A112" s="4">
        <v>13.036511388348412</v>
      </c>
      <c r="B112" s="4">
        <v>4.328960674885689</v>
      </c>
    </row>
    <row r="114" spans="1:5" x14ac:dyDescent="0.3">
      <c r="A114" t="s">
        <v>17</v>
      </c>
    </row>
    <row r="115" spans="1:5" x14ac:dyDescent="0.3">
      <c r="A115" t="s">
        <v>39</v>
      </c>
      <c r="B115" t="s">
        <v>38</v>
      </c>
    </row>
    <row r="116" spans="1:5" x14ac:dyDescent="0.3">
      <c r="A116" s="4">
        <v>7.4368125864957442</v>
      </c>
      <c r="B116" s="4">
        <v>28.645947860929908</v>
      </c>
      <c r="C116" t="s">
        <v>60</v>
      </c>
      <c r="E116" s="4">
        <f>SLOPE(A116:A121,B116:B121)</f>
        <v>0.35004044431474624</v>
      </c>
    </row>
    <row r="117" spans="1:5" x14ac:dyDescent="0.3">
      <c r="A117" s="4">
        <v>-15.789830508474582</v>
      </c>
      <c r="B117" s="4">
        <v>3.1512624991690821</v>
      </c>
    </row>
    <row r="118" spans="1:5" x14ac:dyDescent="0.3">
      <c r="A118" s="4">
        <v>-4.1542548909105514</v>
      </c>
      <c r="B118" s="4">
        <v>12.022039023986094</v>
      </c>
    </row>
    <row r="119" spans="1:5" x14ac:dyDescent="0.3">
      <c r="A119" s="4">
        <v>-16.54766904661907</v>
      </c>
      <c r="B119" s="4">
        <v>14.901651401780827</v>
      </c>
    </row>
    <row r="120" spans="1:5" x14ac:dyDescent="0.3">
      <c r="A120" s="4">
        <v>25.213890286864633</v>
      </c>
      <c r="B120" s="4">
        <v>24.119298371090881</v>
      </c>
    </row>
    <row r="121" spans="1:5" x14ac:dyDescent="0.3">
      <c r="A121" s="4">
        <v>33.802250803858506</v>
      </c>
      <c r="B121" s="4">
        <v>4.328960674885689</v>
      </c>
    </row>
    <row r="123" spans="1:5" x14ac:dyDescent="0.3">
      <c r="A123" t="s">
        <v>61</v>
      </c>
    </row>
    <row r="124" spans="1:5" x14ac:dyDescent="0.3">
      <c r="A124" t="s">
        <v>39</v>
      </c>
      <c r="B124" t="s">
        <v>38</v>
      </c>
    </row>
    <row r="125" spans="1:5" x14ac:dyDescent="0.3">
      <c r="A125" s="4">
        <v>2.0120198588973057</v>
      </c>
      <c r="B125" s="4">
        <v>28.645947860929908</v>
      </c>
      <c r="C125" t="s">
        <v>62</v>
      </c>
      <c r="E125" s="4">
        <f>SLOPE(A125:A130,B125:B130)</f>
        <v>1.496401468876438</v>
      </c>
    </row>
    <row r="126" spans="1:5" x14ac:dyDescent="0.3">
      <c r="A126" s="4">
        <v>-23.206967213114744</v>
      </c>
      <c r="B126" s="4">
        <v>3.1512624991690821</v>
      </c>
    </row>
    <row r="127" spans="1:5" x14ac:dyDescent="0.3">
      <c r="A127" s="4">
        <v>-14.076050700466974</v>
      </c>
      <c r="B127" s="4">
        <v>12.022039023986094</v>
      </c>
    </row>
    <row r="128" spans="1:5" x14ac:dyDescent="0.3">
      <c r="A128" s="4">
        <v>-27.756211180124229</v>
      </c>
      <c r="B128" s="4">
        <v>14.901651401780827</v>
      </c>
    </row>
    <row r="129" spans="1:5" x14ac:dyDescent="0.3">
      <c r="A129" s="4">
        <v>53.036002149382064</v>
      </c>
      <c r="B129" s="4">
        <v>24.119298371090881</v>
      </c>
    </row>
    <row r="130" spans="1:5" x14ac:dyDescent="0.3">
      <c r="A130" s="4">
        <v>3.0547752808988724</v>
      </c>
      <c r="B130" s="4">
        <v>4.328960674885689</v>
      </c>
    </row>
    <row r="132" spans="1:5" x14ac:dyDescent="0.3">
      <c r="A132" t="s">
        <v>63</v>
      </c>
    </row>
    <row r="133" spans="1:5" x14ac:dyDescent="0.3">
      <c r="A133" t="s">
        <v>39</v>
      </c>
      <c r="B133" t="s">
        <v>38</v>
      </c>
    </row>
    <row r="134" spans="1:5" ht="43.2" x14ac:dyDescent="0.3">
      <c r="A134" s="4">
        <v>22.737344469064276</v>
      </c>
      <c r="B134" s="4">
        <v>28.645947860929908</v>
      </c>
      <c r="C134" s="11" t="s">
        <v>64</v>
      </c>
      <c r="D134" s="11"/>
      <c r="E134" s="4">
        <f>SLOPE(A134:A139,B134:B139)</f>
        <v>1.7289805720430198</v>
      </c>
    </row>
    <row r="135" spans="1:5" x14ac:dyDescent="0.3">
      <c r="A135" s="4">
        <v>-7.6297273526825098</v>
      </c>
      <c r="B135" s="4">
        <v>3.1512624991690821</v>
      </c>
    </row>
    <row r="136" spans="1:5" x14ac:dyDescent="0.3">
      <c r="A136" s="4">
        <v>1.3806236610330966</v>
      </c>
      <c r="B136" s="4">
        <v>12.022039023986094</v>
      </c>
    </row>
    <row r="137" spans="1:5" x14ac:dyDescent="0.3">
      <c r="A137" s="4">
        <v>30.699076877448363</v>
      </c>
      <c r="B137" s="4">
        <v>14.901651401780827</v>
      </c>
    </row>
    <row r="138" spans="1:5" x14ac:dyDescent="0.3">
      <c r="A138" s="4">
        <v>43.548310845948031</v>
      </c>
      <c r="B138" s="4">
        <v>24.119298371090881</v>
      </c>
    </row>
    <row r="139" spans="1:5" x14ac:dyDescent="0.3">
      <c r="A139" s="4">
        <v>-8.3255939560403363</v>
      </c>
      <c r="B139" s="4">
        <v>4.328960674885689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A971-B710-4BC4-80BB-8DB0C502C465}">
  <dimension ref="A1:D17"/>
  <sheetViews>
    <sheetView workbookViewId="0">
      <selection activeCell="C22" sqref="C22"/>
    </sheetView>
  </sheetViews>
  <sheetFormatPr defaultRowHeight="14.4" x14ac:dyDescent="0.3"/>
  <cols>
    <col min="1" max="1" width="7.5546875" bestFit="1" customWidth="1"/>
    <col min="2" max="2" width="37.77734375" bestFit="1" customWidth="1"/>
    <col min="3" max="3" width="15.77734375" customWidth="1"/>
  </cols>
  <sheetData>
    <row r="1" spans="1:4" ht="18" x14ac:dyDescent="0.35">
      <c r="A1" s="3" t="s">
        <v>65</v>
      </c>
      <c r="B1" s="3"/>
    </row>
    <row r="2" spans="1:4" ht="18" x14ac:dyDescent="0.35">
      <c r="A2" s="3" t="s">
        <v>34</v>
      </c>
      <c r="B2" s="3" t="s">
        <v>35</v>
      </c>
      <c r="C2" s="3" t="s">
        <v>66</v>
      </c>
    </row>
    <row r="3" spans="1:4" ht="18" x14ac:dyDescent="0.35">
      <c r="A3" s="3">
        <v>1</v>
      </c>
      <c r="B3" s="3" t="s">
        <v>13</v>
      </c>
      <c r="C3" s="12">
        <v>5.36</v>
      </c>
      <c r="D3" s="4">
        <f>MAX(C3:C17)</f>
        <v>5.36</v>
      </c>
    </row>
    <row r="4" spans="1:4" ht="18" x14ac:dyDescent="0.35">
      <c r="A4" s="3">
        <v>2</v>
      </c>
      <c r="B4" s="3" t="s">
        <v>12</v>
      </c>
      <c r="C4" s="12">
        <v>2.09</v>
      </c>
    </row>
    <row r="5" spans="1:4" ht="18" x14ac:dyDescent="0.35">
      <c r="A5" s="3">
        <v>3</v>
      </c>
      <c r="B5" s="3" t="s">
        <v>4</v>
      </c>
      <c r="C5" s="12">
        <v>0.86</v>
      </c>
    </row>
    <row r="6" spans="1:4" ht="18" x14ac:dyDescent="0.35">
      <c r="A6" s="3">
        <v>4</v>
      </c>
      <c r="B6" s="3" t="s">
        <v>5</v>
      </c>
      <c r="C6" s="12">
        <v>2.2200000000000002</v>
      </c>
    </row>
    <row r="7" spans="1:4" ht="18" x14ac:dyDescent="0.35">
      <c r="A7" s="3">
        <v>5</v>
      </c>
      <c r="B7" s="3" t="s">
        <v>18</v>
      </c>
      <c r="C7" s="12">
        <v>2.88</v>
      </c>
    </row>
    <row r="8" spans="1:4" ht="18" x14ac:dyDescent="0.35">
      <c r="A8" s="3">
        <v>6</v>
      </c>
      <c r="B8" s="3" t="s">
        <v>9</v>
      </c>
      <c r="C8" s="12">
        <v>0.59</v>
      </c>
    </row>
    <row r="9" spans="1:4" ht="18" x14ac:dyDescent="0.35">
      <c r="A9" s="3">
        <v>7</v>
      </c>
      <c r="B9" s="3" t="s">
        <v>16</v>
      </c>
      <c r="C9" s="12">
        <v>-1.01</v>
      </c>
    </row>
    <row r="10" spans="1:4" ht="18" x14ac:dyDescent="0.35">
      <c r="A10" s="3">
        <v>8</v>
      </c>
      <c r="B10" s="3" t="s">
        <v>10</v>
      </c>
      <c r="C10" s="12">
        <v>0.96</v>
      </c>
    </row>
    <row r="11" spans="1:4" ht="18" x14ac:dyDescent="0.35">
      <c r="A11" s="3">
        <v>9</v>
      </c>
      <c r="B11" s="3" t="s">
        <v>7</v>
      </c>
      <c r="C11" s="12">
        <v>0.81</v>
      </c>
    </row>
    <row r="12" spans="1:4" ht="18" x14ac:dyDescent="0.35">
      <c r="A12" s="3">
        <v>10</v>
      </c>
      <c r="B12" s="3" t="s">
        <v>11</v>
      </c>
      <c r="C12" s="12">
        <v>-0.77</v>
      </c>
    </row>
    <row r="13" spans="1:4" ht="18" x14ac:dyDescent="0.35">
      <c r="A13" s="3">
        <v>11</v>
      </c>
      <c r="B13" s="3" t="s">
        <v>15</v>
      </c>
      <c r="C13" s="12">
        <v>2.4700000000000002</v>
      </c>
    </row>
    <row r="14" spans="1:4" ht="18" x14ac:dyDescent="0.35">
      <c r="A14" s="3">
        <v>12</v>
      </c>
      <c r="B14" s="3" t="s">
        <v>8</v>
      </c>
      <c r="C14" s="12">
        <v>2.41</v>
      </c>
    </row>
    <row r="15" spans="1:4" ht="18" x14ac:dyDescent="0.35">
      <c r="A15" s="3">
        <v>13</v>
      </c>
      <c r="B15" s="3" t="s">
        <v>17</v>
      </c>
      <c r="C15" s="12">
        <v>0.35</v>
      </c>
    </row>
    <row r="16" spans="1:4" ht="18" x14ac:dyDescent="0.35">
      <c r="A16" s="3">
        <v>14</v>
      </c>
      <c r="B16" s="3" t="s">
        <v>6</v>
      </c>
      <c r="C16" s="12">
        <v>1.5</v>
      </c>
    </row>
    <row r="17" spans="1:3" ht="18" x14ac:dyDescent="0.35">
      <c r="A17" s="3">
        <v>15</v>
      </c>
      <c r="B17" s="3" t="s">
        <v>14</v>
      </c>
      <c r="C17" s="12">
        <v>1.73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38AD-5D63-43D8-8CE1-13BAD4538A40}">
  <dimension ref="A1:I17"/>
  <sheetViews>
    <sheetView zoomScale="115" zoomScaleNormal="115" workbookViewId="0">
      <selection activeCell="C9" sqref="C9"/>
    </sheetView>
  </sheetViews>
  <sheetFormatPr defaultRowHeight="14.4" x14ac:dyDescent="0.3"/>
  <cols>
    <col min="1" max="1" width="9" customWidth="1"/>
    <col min="2" max="2" width="44.77734375" bestFit="1" customWidth="1"/>
    <col min="3" max="3" width="11.33203125" bestFit="1" customWidth="1"/>
    <col min="4" max="4" width="9.6640625" bestFit="1" customWidth="1"/>
    <col min="5" max="5" width="9" bestFit="1" customWidth="1"/>
    <col min="6" max="6" width="11.33203125" bestFit="1" customWidth="1"/>
  </cols>
  <sheetData>
    <row r="1" spans="1:9" ht="18" customHeight="1" x14ac:dyDescent="0.4">
      <c r="A1" s="36">
        <v>1</v>
      </c>
      <c r="B1" s="36" t="s">
        <v>13</v>
      </c>
      <c r="C1" s="37">
        <v>6911.6498149454901</v>
      </c>
      <c r="D1" s="36">
        <v>5.36</v>
      </c>
      <c r="E1" s="37">
        <f t="shared" ref="E1:E15" si="0">D1^2</f>
        <v>28.729600000000005</v>
      </c>
      <c r="F1" s="37">
        <f>C1-(E1*$I$2)</f>
        <v>4368.218326945489</v>
      </c>
      <c r="G1" s="8">
        <v>3</v>
      </c>
    </row>
    <row r="2" spans="1:9" ht="42" customHeight="1" x14ac:dyDescent="0.4">
      <c r="A2" s="19">
        <v>2</v>
      </c>
      <c r="B2" s="19" t="s">
        <v>12</v>
      </c>
      <c r="C2" s="20">
        <v>1793.6478404196771</v>
      </c>
      <c r="D2" s="19">
        <v>2.09</v>
      </c>
      <c r="E2" s="20">
        <f t="shared" si="0"/>
        <v>4.3680999999999992</v>
      </c>
      <c r="F2" s="20">
        <f t="shared" ref="F2:F15" si="1">C2-(E2*$I$2)</f>
        <v>1406.9399474196771</v>
      </c>
      <c r="G2" s="3">
        <v>7</v>
      </c>
      <c r="I2">
        <v>88.53</v>
      </c>
    </row>
    <row r="3" spans="1:9" ht="21" x14ac:dyDescent="0.4">
      <c r="A3" s="19">
        <v>9</v>
      </c>
      <c r="B3" s="19" t="s">
        <v>7</v>
      </c>
      <c r="C3" s="20">
        <v>921.84162445563948</v>
      </c>
      <c r="D3" s="19">
        <v>0.81</v>
      </c>
      <c r="E3" s="20">
        <f t="shared" si="0"/>
        <v>0.65610000000000013</v>
      </c>
      <c r="F3" s="20">
        <f t="shared" si="1"/>
        <v>863.75709145563951</v>
      </c>
      <c r="G3" s="3">
        <v>1</v>
      </c>
    </row>
    <row r="4" spans="1:9" ht="21" x14ac:dyDescent="0.4">
      <c r="A4" s="19">
        <v>4</v>
      </c>
      <c r="B4" s="19" t="s">
        <v>5</v>
      </c>
      <c r="C4" s="20">
        <v>1242.0452475488532</v>
      </c>
      <c r="D4" s="19">
        <v>2.2200000000000002</v>
      </c>
      <c r="E4" s="20">
        <f t="shared" si="0"/>
        <v>4.9284000000000008</v>
      </c>
      <c r="F4" s="20">
        <f t="shared" si="1"/>
        <v>805.73399554885316</v>
      </c>
      <c r="G4" s="3">
        <v>4</v>
      </c>
    </row>
    <row r="5" spans="1:9" ht="21" x14ac:dyDescent="0.4">
      <c r="A5" s="19">
        <v>6</v>
      </c>
      <c r="B5" s="19" t="s">
        <v>9</v>
      </c>
      <c r="C5" s="20">
        <v>775.66957726121495</v>
      </c>
      <c r="D5" s="19">
        <v>0.59</v>
      </c>
      <c r="E5" s="20">
        <f t="shared" si="0"/>
        <v>0.34809999999999997</v>
      </c>
      <c r="F5" s="20">
        <f t="shared" si="1"/>
        <v>744.852284261215</v>
      </c>
      <c r="G5" s="3">
        <v>6</v>
      </c>
    </row>
    <row r="6" spans="1:9" ht="21" x14ac:dyDescent="0.4">
      <c r="A6" s="19">
        <v>7</v>
      </c>
      <c r="B6" s="19" t="s">
        <v>16</v>
      </c>
      <c r="C6" s="20">
        <v>773.58691489498381</v>
      </c>
      <c r="D6" s="19">
        <v>-1.01</v>
      </c>
      <c r="E6" s="20">
        <f t="shared" si="0"/>
        <v>1.0201</v>
      </c>
      <c r="F6" s="20">
        <f t="shared" si="1"/>
        <v>683.27746189498384</v>
      </c>
      <c r="G6" s="3">
        <v>9</v>
      </c>
    </row>
    <row r="7" spans="1:9" ht="21" x14ac:dyDescent="0.4">
      <c r="A7" s="19">
        <v>5</v>
      </c>
      <c r="B7" s="19" t="s">
        <v>18</v>
      </c>
      <c r="C7" s="20">
        <v>1364.1038411634354</v>
      </c>
      <c r="D7" s="19">
        <v>2.88</v>
      </c>
      <c r="E7" s="20">
        <f t="shared" si="0"/>
        <v>8.2943999999999996</v>
      </c>
      <c r="F7" s="20">
        <f t="shared" si="1"/>
        <v>629.80060916343541</v>
      </c>
      <c r="G7" s="3">
        <v>10</v>
      </c>
    </row>
    <row r="8" spans="1:9" ht="21" x14ac:dyDescent="0.4">
      <c r="A8" s="19">
        <v>12</v>
      </c>
      <c r="B8" s="19" t="s">
        <v>8</v>
      </c>
      <c r="C8" s="20">
        <v>1123.0763374350499</v>
      </c>
      <c r="D8" s="19">
        <v>2.41</v>
      </c>
      <c r="E8" s="20">
        <f t="shared" si="0"/>
        <v>5.8081000000000005</v>
      </c>
      <c r="F8" s="20">
        <f t="shared" si="1"/>
        <v>608.88524443504991</v>
      </c>
      <c r="G8" s="3">
        <v>12</v>
      </c>
    </row>
    <row r="9" spans="1:9" ht="21" x14ac:dyDescent="0.4">
      <c r="A9" s="19">
        <v>14</v>
      </c>
      <c r="B9" s="19" t="s">
        <v>6</v>
      </c>
      <c r="C9" s="20">
        <v>720.88069586397592</v>
      </c>
      <c r="D9" s="19">
        <v>1.5</v>
      </c>
      <c r="E9" s="20">
        <f t="shared" si="0"/>
        <v>2.25</v>
      </c>
      <c r="F9" s="20">
        <f t="shared" si="1"/>
        <v>521.68819586397592</v>
      </c>
      <c r="G9" s="3">
        <v>14</v>
      </c>
    </row>
    <row r="10" spans="1:9" ht="21" x14ac:dyDescent="0.4">
      <c r="A10" s="19">
        <v>10</v>
      </c>
      <c r="B10" s="19" t="s">
        <v>11</v>
      </c>
      <c r="C10" s="20">
        <v>485.70350789719589</v>
      </c>
      <c r="D10" s="19">
        <v>-0.77</v>
      </c>
      <c r="E10" s="20">
        <f t="shared" si="0"/>
        <v>0.59289999999999998</v>
      </c>
      <c r="F10" s="20">
        <f t="shared" si="1"/>
        <v>433.21407089719588</v>
      </c>
      <c r="G10" s="3">
        <v>13</v>
      </c>
    </row>
    <row r="11" spans="1:9" ht="21" x14ac:dyDescent="0.4">
      <c r="A11" s="19">
        <v>13</v>
      </c>
      <c r="B11" s="19" t="s">
        <v>17</v>
      </c>
      <c r="C11" s="20">
        <v>370.73804884739138</v>
      </c>
      <c r="D11" s="19">
        <v>0.35</v>
      </c>
      <c r="E11" s="20">
        <f t="shared" si="0"/>
        <v>0.12249999999999998</v>
      </c>
      <c r="F11" s="20">
        <f t="shared" si="1"/>
        <v>359.89312384739139</v>
      </c>
      <c r="G11" s="3">
        <v>15</v>
      </c>
    </row>
    <row r="12" spans="1:9" ht="21" x14ac:dyDescent="0.4">
      <c r="A12" s="19">
        <v>11</v>
      </c>
      <c r="B12" s="19" t="s">
        <v>15</v>
      </c>
      <c r="C12" s="20">
        <v>859.1855618896019</v>
      </c>
      <c r="D12" s="19">
        <v>2.4700000000000002</v>
      </c>
      <c r="E12" s="20">
        <f t="shared" si="0"/>
        <v>6.1009000000000011</v>
      </c>
      <c r="F12" s="20">
        <f t="shared" si="1"/>
        <v>319.07288488960182</v>
      </c>
      <c r="G12" s="3">
        <v>8</v>
      </c>
    </row>
    <row r="13" spans="1:9" ht="21" x14ac:dyDescent="0.4">
      <c r="A13" s="19">
        <v>3</v>
      </c>
      <c r="B13" s="19" t="s">
        <v>4</v>
      </c>
      <c r="C13" s="20">
        <v>351.04652106227178</v>
      </c>
      <c r="D13" s="19">
        <v>0.86</v>
      </c>
      <c r="E13" s="20">
        <f t="shared" si="0"/>
        <v>0.73959999999999992</v>
      </c>
      <c r="F13" s="20">
        <f t="shared" si="1"/>
        <v>285.56973306227178</v>
      </c>
      <c r="G13" s="3">
        <v>2</v>
      </c>
    </row>
    <row r="14" spans="1:9" ht="21" x14ac:dyDescent="0.4">
      <c r="A14" s="19">
        <v>8</v>
      </c>
      <c r="B14" s="19" t="s">
        <v>10</v>
      </c>
      <c r="C14" s="20">
        <v>286.49085184923746</v>
      </c>
      <c r="D14" s="19">
        <v>0.96</v>
      </c>
      <c r="E14" s="20">
        <f t="shared" si="0"/>
        <v>0.92159999999999997</v>
      </c>
      <c r="F14" s="20">
        <f t="shared" si="1"/>
        <v>204.90160384923746</v>
      </c>
      <c r="G14" s="3">
        <v>5</v>
      </c>
    </row>
    <row r="15" spans="1:9" ht="21" x14ac:dyDescent="0.4">
      <c r="A15" s="19">
        <v>15</v>
      </c>
      <c r="B15" s="19" t="s">
        <v>14</v>
      </c>
      <c r="C15" s="20">
        <v>392.23460151886047</v>
      </c>
      <c r="D15" s="19">
        <v>1.73</v>
      </c>
      <c r="E15" s="20">
        <f t="shared" si="0"/>
        <v>2.9929000000000001</v>
      </c>
      <c r="F15" s="20">
        <f t="shared" si="1"/>
        <v>127.27316451886048</v>
      </c>
      <c r="G15" s="3">
        <v>11</v>
      </c>
    </row>
    <row r="16" spans="1:9" ht="21" customHeight="1" x14ac:dyDescent="0.35">
      <c r="A16" s="21" t="s">
        <v>75</v>
      </c>
      <c r="B16" s="21" t="s">
        <v>3</v>
      </c>
      <c r="C16" s="21"/>
      <c r="D16" s="21" t="s">
        <v>71</v>
      </c>
      <c r="E16" s="21" t="s">
        <v>80</v>
      </c>
      <c r="F16" s="21"/>
      <c r="G16" s="3" t="s">
        <v>73</v>
      </c>
    </row>
    <row r="17" spans="1:7" ht="21" customHeight="1" x14ac:dyDescent="0.35">
      <c r="A17" s="3" t="s">
        <v>81</v>
      </c>
      <c r="B17" s="3"/>
      <c r="C17" s="3"/>
      <c r="D17" s="23"/>
      <c r="E17" s="23"/>
      <c r="F17" s="23"/>
      <c r="G17" s="23"/>
    </row>
  </sheetData>
  <sortState xmlns:xlrd2="http://schemas.microsoft.com/office/spreadsheetml/2017/richdata2" ref="A1:G17">
    <sortCondition descending="1" ref="F15:F1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B64E-0333-4276-93FD-F79B973183FB}">
  <dimension ref="A1:K35"/>
  <sheetViews>
    <sheetView topLeftCell="A19" workbookViewId="0">
      <selection activeCell="J4" sqref="J4"/>
    </sheetView>
  </sheetViews>
  <sheetFormatPr defaultRowHeight="14.4" x14ac:dyDescent="0.3"/>
  <cols>
    <col min="1" max="1" width="7.6640625" customWidth="1"/>
    <col min="2" max="2" width="37.77734375" bestFit="1" customWidth="1"/>
    <col min="3" max="3" width="9.5546875" bestFit="1" customWidth="1"/>
    <col min="6" max="6" width="10.5546875" bestFit="1" customWidth="1"/>
  </cols>
  <sheetData>
    <row r="1" spans="1:11" ht="18" x14ac:dyDescent="0.35">
      <c r="A1" s="7" t="s">
        <v>67</v>
      </c>
      <c r="B1" s="7"/>
      <c r="C1" s="7"/>
      <c r="D1" s="7"/>
      <c r="E1" s="8"/>
      <c r="F1" s="8"/>
      <c r="G1" s="8"/>
    </row>
    <row r="2" spans="1:11" ht="18" x14ac:dyDescent="0.35">
      <c r="A2" s="16" t="s">
        <v>68</v>
      </c>
      <c r="B2" s="16" t="s">
        <v>69</v>
      </c>
      <c r="C2" s="16" t="s">
        <v>39</v>
      </c>
      <c r="D2" s="16" t="s">
        <v>70</v>
      </c>
      <c r="E2" s="16" t="s">
        <v>71</v>
      </c>
      <c r="F2" s="16" t="s">
        <v>72</v>
      </c>
      <c r="G2" s="16" t="s">
        <v>73</v>
      </c>
    </row>
    <row r="3" spans="1:11" ht="18" x14ac:dyDescent="0.35">
      <c r="A3" s="3">
        <v>9</v>
      </c>
      <c r="B3" s="3" t="s">
        <v>7</v>
      </c>
      <c r="C3" s="9">
        <v>23.752308485090101</v>
      </c>
      <c r="D3" s="9">
        <f>C3-7</f>
        <v>16.752308485090101</v>
      </c>
      <c r="E3" s="9">
        <v>0.81</v>
      </c>
      <c r="F3" s="9">
        <f t="shared" ref="F3:F17" si="0">D3/E3</f>
        <v>20.681862327271727</v>
      </c>
      <c r="G3" s="17">
        <v>1</v>
      </c>
      <c r="J3" t="s">
        <v>74</v>
      </c>
      <c r="K3">
        <v>7</v>
      </c>
    </row>
    <row r="4" spans="1:11" ht="18" x14ac:dyDescent="0.35">
      <c r="A4" s="3">
        <v>3</v>
      </c>
      <c r="B4" s="3" t="s">
        <v>4</v>
      </c>
      <c r="C4" s="9">
        <v>24.514263639481626</v>
      </c>
      <c r="D4" s="9">
        <f t="shared" ref="D4:D17" si="1">C4-7</f>
        <v>17.514263639481626</v>
      </c>
      <c r="E4" s="9">
        <v>0.86</v>
      </c>
      <c r="F4" s="9">
        <f t="shared" si="0"/>
        <v>20.365422836606541</v>
      </c>
      <c r="G4" s="17">
        <v>2</v>
      </c>
    </row>
    <row r="5" spans="1:11" ht="18" x14ac:dyDescent="0.35">
      <c r="A5" s="3">
        <v>1</v>
      </c>
      <c r="B5" s="3" t="s">
        <v>13</v>
      </c>
      <c r="C5" s="9">
        <v>109.30751135474246</v>
      </c>
      <c r="D5" s="9">
        <f t="shared" si="1"/>
        <v>102.30751135474246</v>
      </c>
      <c r="E5" s="9">
        <v>5.36</v>
      </c>
      <c r="F5" s="9">
        <f t="shared" si="0"/>
        <v>19.087222267675831</v>
      </c>
      <c r="G5" s="17">
        <v>3</v>
      </c>
    </row>
    <row r="6" spans="1:11" ht="18" x14ac:dyDescent="0.35">
      <c r="A6" s="3">
        <v>4</v>
      </c>
      <c r="B6" s="3" t="s">
        <v>5</v>
      </c>
      <c r="C6" s="9">
        <v>45.049940459183439</v>
      </c>
      <c r="D6" s="9">
        <f t="shared" si="1"/>
        <v>38.049940459183439</v>
      </c>
      <c r="E6" s="9">
        <v>2.2200000000000002</v>
      </c>
      <c r="F6" s="9">
        <f t="shared" si="0"/>
        <v>17.139612819451997</v>
      </c>
      <c r="G6" s="17">
        <v>4</v>
      </c>
    </row>
    <row r="7" spans="1:11" ht="18" x14ac:dyDescent="0.35">
      <c r="A7" s="3">
        <v>8</v>
      </c>
      <c r="B7" s="3" t="s">
        <v>10</v>
      </c>
      <c r="C7" s="9">
        <v>19.070392131092721</v>
      </c>
      <c r="D7" s="9">
        <f t="shared" si="1"/>
        <v>12.070392131092721</v>
      </c>
      <c r="E7" s="9">
        <v>0.96</v>
      </c>
      <c r="F7" s="9">
        <f t="shared" si="0"/>
        <v>12.573325136554917</v>
      </c>
      <c r="G7" s="17">
        <v>5</v>
      </c>
    </row>
    <row r="8" spans="1:11" ht="18" x14ac:dyDescent="0.35">
      <c r="A8" s="3">
        <v>6</v>
      </c>
      <c r="B8" s="3" t="s">
        <v>9</v>
      </c>
      <c r="C8" s="9">
        <v>14.162714512276873</v>
      </c>
      <c r="D8" s="9">
        <f t="shared" si="1"/>
        <v>7.1627145122768727</v>
      </c>
      <c r="E8" s="9">
        <v>0.59</v>
      </c>
      <c r="F8" s="9">
        <f t="shared" si="0"/>
        <v>12.14019408860487</v>
      </c>
      <c r="G8" s="17">
        <v>6</v>
      </c>
    </row>
    <row r="9" spans="1:11" ht="18" x14ac:dyDescent="0.35">
      <c r="A9" s="3">
        <v>2</v>
      </c>
      <c r="B9" s="3" t="s">
        <v>12</v>
      </c>
      <c r="C9" s="9">
        <v>30.928212344659197</v>
      </c>
      <c r="D9" s="9">
        <f t="shared" si="1"/>
        <v>23.928212344659197</v>
      </c>
      <c r="E9" s="9">
        <v>2.09</v>
      </c>
      <c r="F9" s="9">
        <f t="shared" si="0"/>
        <v>11.448905428066602</v>
      </c>
      <c r="G9" s="17">
        <v>7</v>
      </c>
    </row>
    <row r="10" spans="1:11" ht="18" x14ac:dyDescent="0.35">
      <c r="A10" s="3">
        <v>11</v>
      </c>
      <c r="B10" s="3" t="s">
        <v>15</v>
      </c>
      <c r="C10" s="9">
        <v>32.897677720458027</v>
      </c>
      <c r="D10" s="9">
        <f t="shared" si="1"/>
        <v>25.897677720458027</v>
      </c>
      <c r="E10" s="9">
        <v>2.4700000000000002</v>
      </c>
      <c r="F10" s="9">
        <f t="shared" si="0"/>
        <v>10.484889765367621</v>
      </c>
      <c r="G10" s="17">
        <v>8</v>
      </c>
    </row>
    <row r="11" spans="1:11" ht="18" x14ac:dyDescent="0.35">
      <c r="A11" s="3">
        <v>7</v>
      </c>
      <c r="B11" s="3" t="s">
        <v>16</v>
      </c>
      <c r="C11" s="9">
        <v>-1.1666118947242741</v>
      </c>
      <c r="D11" s="9">
        <f t="shared" si="1"/>
        <v>-8.1666118947242747</v>
      </c>
      <c r="E11" s="9">
        <v>-1.01</v>
      </c>
      <c r="F11" s="9">
        <f t="shared" si="0"/>
        <v>8.0857543512121524</v>
      </c>
      <c r="G11" s="17">
        <v>9</v>
      </c>
    </row>
    <row r="12" spans="1:11" ht="18" x14ac:dyDescent="0.35">
      <c r="A12" s="3">
        <v>5</v>
      </c>
      <c r="B12" s="3" t="s">
        <v>18</v>
      </c>
      <c r="C12" s="9">
        <v>26.254730169529523</v>
      </c>
      <c r="D12" s="9">
        <f t="shared" si="1"/>
        <v>19.254730169529523</v>
      </c>
      <c r="E12" s="9">
        <v>2.88</v>
      </c>
      <c r="F12" s="9">
        <f t="shared" si="0"/>
        <v>6.6856701977533071</v>
      </c>
      <c r="G12" s="17">
        <v>10</v>
      </c>
    </row>
    <row r="13" spans="1:11" ht="18" x14ac:dyDescent="0.35">
      <c r="A13" s="3">
        <v>15</v>
      </c>
      <c r="B13" s="3" t="s">
        <v>14</v>
      </c>
      <c r="C13" s="9">
        <v>13.735005757461821</v>
      </c>
      <c r="D13" s="9">
        <f t="shared" si="1"/>
        <v>6.7350057574618205</v>
      </c>
      <c r="E13" s="9">
        <v>1.73</v>
      </c>
      <c r="F13" s="9">
        <f t="shared" si="0"/>
        <v>3.893066911827642</v>
      </c>
      <c r="G13" s="17">
        <v>11</v>
      </c>
    </row>
    <row r="14" spans="1:11" ht="18" x14ac:dyDescent="0.35">
      <c r="A14" s="3">
        <v>12</v>
      </c>
      <c r="B14" s="3" t="s">
        <v>8</v>
      </c>
      <c r="C14" s="9">
        <v>12.044465021509074</v>
      </c>
      <c r="D14" s="9">
        <f t="shared" si="1"/>
        <v>5.0444650215090743</v>
      </c>
      <c r="E14" s="9">
        <v>2.41</v>
      </c>
      <c r="F14" s="9">
        <f t="shared" si="0"/>
        <v>2.0931390130743046</v>
      </c>
      <c r="G14" s="17">
        <v>12</v>
      </c>
    </row>
    <row r="15" spans="1:11" ht="18" x14ac:dyDescent="0.35">
      <c r="A15" s="3">
        <v>10</v>
      </c>
      <c r="B15" s="3" t="s">
        <v>11</v>
      </c>
      <c r="C15" s="9">
        <v>7.4386682868316205</v>
      </c>
      <c r="D15" s="9">
        <f t="shared" si="1"/>
        <v>0.43866828683162051</v>
      </c>
      <c r="E15" s="9">
        <v>-0.77</v>
      </c>
      <c r="F15" s="9">
        <f t="shared" si="0"/>
        <v>-0.56969907380729934</v>
      </c>
      <c r="G15" s="17">
        <v>13</v>
      </c>
    </row>
    <row r="16" spans="1:11" ht="18" x14ac:dyDescent="0.35">
      <c r="A16" s="3">
        <v>14</v>
      </c>
      <c r="B16" s="3" t="s">
        <v>6</v>
      </c>
      <c r="C16" s="9">
        <v>-1.1560719674212836</v>
      </c>
      <c r="D16" s="9">
        <f t="shared" si="1"/>
        <v>-8.1560719674212834</v>
      </c>
      <c r="E16" s="9">
        <v>1.5</v>
      </c>
      <c r="F16" s="9">
        <f t="shared" si="0"/>
        <v>-5.4373813116141889</v>
      </c>
      <c r="G16" s="17">
        <v>14</v>
      </c>
    </row>
    <row r="17" spans="1:7" ht="18" x14ac:dyDescent="0.35">
      <c r="A17" s="3">
        <v>13</v>
      </c>
      <c r="B17" s="3" t="s">
        <v>17</v>
      </c>
      <c r="C17" s="9">
        <v>4.9935332052024464</v>
      </c>
      <c r="D17" s="9">
        <f t="shared" si="1"/>
        <v>-2.0064667947975536</v>
      </c>
      <c r="E17" s="9">
        <v>0.35</v>
      </c>
      <c r="F17" s="9">
        <f t="shared" si="0"/>
        <v>-5.732762270850154</v>
      </c>
      <c r="G17" s="17">
        <v>15</v>
      </c>
    </row>
    <row r="20" spans="1:7" ht="18" x14ac:dyDescent="0.35">
      <c r="B20" s="8" t="s">
        <v>69</v>
      </c>
      <c r="C20" t="s">
        <v>72</v>
      </c>
    </row>
    <row r="21" spans="1:7" ht="18" x14ac:dyDescent="0.35">
      <c r="B21" s="8" t="s">
        <v>7</v>
      </c>
      <c r="C21" s="4">
        <v>20.681862327271777</v>
      </c>
    </row>
    <row r="22" spans="1:7" ht="18" x14ac:dyDescent="0.35">
      <c r="B22" s="8" t="s">
        <v>4</v>
      </c>
      <c r="C22" s="4">
        <v>20.365422836606541</v>
      </c>
    </row>
    <row r="23" spans="1:7" ht="18" x14ac:dyDescent="0.35">
      <c r="B23" s="8" t="s">
        <v>13</v>
      </c>
      <c r="C23" s="4">
        <v>19.087222267675831</v>
      </c>
    </row>
    <row r="24" spans="1:7" ht="18" x14ac:dyDescent="0.35">
      <c r="B24" s="8" t="s">
        <v>5</v>
      </c>
      <c r="C24" s="4">
        <v>17.139612819451997</v>
      </c>
    </row>
    <row r="25" spans="1:7" ht="18" x14ac:dyDescent="0.35">
      <c r="B25" s="8" t="s">
        <v>10</v>
      </c>
      <c r="C25" s="4">
        <v>12.573325136554917</v>
      </c>
    </row>
    <row r="26" spans="1:7" ht="18" x14ac:dyDescent="0.35">
      <c r="B26" s="8" t="s">
        <v>9</v>
      </c>
      <c r="C26" s="4">
        <v>12.14019408860487</v>
      </c>
    </row>
    <row r="27" spans="1:7" ht="18" x14ac:dyDescent="0.35">
      <c r="B27" s="8" t="s">
        <v>12</v>
      </c>
      <c r="C27" s="4">
        <v>11.448905428066602</v>
      </c>
    </row>
    <row r="28" spans="1:7" ht="18" x14ac:dyDescent="0.35">
      <c r="B28" s="8" t="s">
        <v>15</v>
      </c>
      <c r="C28" s="4">
        <v>10.484889765367621</v>
      </c>
    </row>
    <row r="29" spans="1:7" ht="18" x14ac:dyDescent="0.35">
      <c r="B29" s="8" t="s">
        <v>16</v>
      </c>
      <c r="C29" s="4">
        <v>8.0857543512121524</v>
      </c>
    </row>
    <row r="30" spans="1:7" ht="18" x14ac:dyDescent="0.35">
      <c r="B30" s="8" t="s">
        <v>18</v>
      </c>
      <c r="C30" s="4">
        <v>6.6856701977533071</v>
      </c>
    </row>
    <row r="31" spans="1:7" ht="18" x14ac:dyDescent="0.35">
      <c r="B31" s="8" t="s">
        <v>14</v>
      </c>
      <c r="C31" s="4">
        <v>3.893066911827642</v>
      </c>
    </row>
    <row r="32" spans="1:7" ht="18" x14ac:dyDescent="0.35">
      <c r="B32" s="8" t="s">
        <v>8</v>
      </c>
      <c r="C32" s="4">
        <v>2.0931390130743046</v>
      </c>
    </row>
    <row r="33" spans="2:3" ht="18" x14ac:dyDescent="0.35">
      <c r="B33" s="8" t="s">
        <v>11</v>
      </c>
      <c r="C33" s="4">
        <v>-0.56969907380729934</v>
      </c>
    </row>
    <row r="34" spans="2:3" ht="18" x14ac:dyDescent="0.35">
      <c r="B34" s="8" t="s">
        <v>6</v>
      </c>
      <c r="C34" s="4">
        <v>-5.4373813116141889</v>
      </c>
    </row>
    <row r="35" spans="2:3" ht="18" x14ac:dyDescent="0.35">
      <c r="B35" s="8" t="s">
        <v>17</v>
      </c>
      <c r="C35" s="4">
        <v>-5.732762270850154</v>
      </c>
    </row>
  </sheetData>
  <sortState xmlns:xlrd2="http://schemas.microsoft.com/office/spreadsheetml/2017/richdata2" ref="A3:G17">
    <sortCondition ref="G3:G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894C-2999-4C9C-8770-0F3C119CAA59}">
  <dimension ref="A1:M36"/>
  <sheetViews>
    <sheetView topLeftCell="B12" zoomScaleNormal="100" workbookViewId="0">
      <selection activeCell="I22" sqref="I22"/>
    </sheetView>
  </sheetViews>
  <sheetFormatPr defaultRowHeight="14.4" x14ac:dyDescent="0.3"/>
  <cols>
    <col min="2" max="2" width="37.77734375" bestFit="1" customWidth="1"/>
    <col min="3" max="3" width="10.44140625" customWidth="1"/>
    <col min="4" max="4" width="10.5546875" customWidth="1"/>
    <col min="5" max="5" width="19.109375" customWidth="1"/>
    <col min="6" max="6" width="15.33203125" bestFit="1" customWidth="1"/>
    <col min="7" max="8" width="17.109375" customWidth="1"/>
    <col min="9" max="9" width="23.109375" customWidth="1"/>
    <col min="10" max="11" width="12.88671875" bestFit="1" customWidth="1"/>
    <col min="12" max="12" width="19.88671875" bestFit="1" customWidth="1"/>
    <col min="13" max="13" width="9.6640625" bestFit="1" customWidth="1"/>
  </cols>
  <sheetData>
    <row r="1" spans="1:13" ht="18" customHeight="1" x14ac:dyDescent="0.35">
      <c r="A1" t="s">
        <v>79</v>
      </c>
      <c r="G1" s="54"/>
      <c r="H1" s="54"/>
      <c r="I1" s="54"/>
      <c r="J1" s="54"/>
      <c r="K1" s="54"/>
      <c r="L1" s="54"/>
      <c r="M1" s="14"/>
    </row>
    <row r="2" spans="1:13" ht="35.4" customHeight="1" x14ac:dyDescent="0.35">
      <c r="A2" s="16" t="s">
        <v>73</v>
      </c>
      <c r="B2" s="16" t="s">
        <v>69</v>
      </c>
      <c r="C2" s="16" t="s">
        <v>39</v>
      </c>
      <c r="D2" s="22" t="s">
        <v>71</v>
      </c>
      <c r="E2" s="16"/>
      <c r="F2" s="1" t="s">
        <v>114</v>
      </c>
      <c r="G2" s="1" t="s">
        <v>88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86</v>
      </c>
    </row>
    <row r="3" spans="1:13" ht="36.6" customHeight="1" x14ac:dyDescent="0.35">
      <c r="A3" s="17">
        <v>1</v>
      </c>
      <c r="B3" s="55" t="s">
        <v>13</v>
      </c>
      <c r="C3" s="9">
        <v>102.30751135474246</v>
      </c>
      <c r="D3" s="3">
        <v>5.36</v>
      </c>
      <c r="E3" s="24">
        <v>4368.2183269454899</v>
      </c>
      <c r="F3" s="27">
        <f>((C3-7)/(D3))</f>
        <v>17.781252118422099</v>
      </c>
      <c r="G3" s="27">
        <f>((C3-7)*(D3)/(E3))</f>
        <v>0.11694659529956099</v>
      </c>
      <c r="H3" s="27">
        <f>G3</f>
        <v>0.11694659529956099</v>
      </c>
      <c r="I3" s="27">
        <f>H3*88</f>
        <v>10.291300386361367</v>
      </c>
      <c r="J3" s="27">
        <f>D3^2/E3</f>
        <v>6.5769606392566456E-3</v>
      </c>
      <c r="K3" s="27">
        <f>J3</f>
        <v>6.5769606392566456E-3</v>
      </c>
      <c r="L3" s="27">
        <f>K3*88+1</f>
        <v>1.5787725362545848</v>
      </c>
      <c r="M3" s="28">
        <f>I3/L3</f>
        <v>6.5185453572533172</v>
      </c>
    </row>
    <row r="4" spans="1:13" ht="18" x14ac:dyDescent="0.35">
      <c r="A4" s="17">
        <v>2</v>
      </c>
      <c r="B4" s="55" t="s">
        <v>16</v>
      </c>
      <c r="C4" s="9">
        <v>-8.1666118947242747</v>
      </c>
      <c r="D4" s="3">
        <v>-1.01</v>
      </c>
      <c r="E4" s="24">
        <v>683.27746189498384</v>
      </c>
      <c r="F4" s="27">
        <f t="shared" ref="F4:F17" si="0">((C4-7)/(D4))</f>
        <v>15.016447420519084</v>
      </c>
      <c r="G4" s="27">
        <f>((C4-7)*(D4)/(E4))</f>
        <v>2.2418825247342723E-2</v>
      </c>
      <c r="H4" s="27">
        <f>G4+H3</f>
        <v>0.13936542054690371</v>
      </c>
      <c r="I4" s="27">
        <f t="shared" ref="I4:I17" si="1">H4*88</f>
        <v>12.264157008127526</v>
      </c>
      <c r="J4" s="27">
        <f>D4^2/E4</f>
        <v>1.4929513365930164E-3</v>
      </c>
      <c r="K4" s="27">
        <f>J4+K3</f>
        <v>8.0699119758496623E-3</v>
      </c>
      <c r="L4" s="27">
        <f t="shared" ref="L4:L17" si="2">K4*88+1</f>
        <v>1.7101522538747704</v>
      </c>
      <c r="M4" s="28">
        <f>I4/L4</f>
        <v>7.1713831212045962</v>
      </c>
    </row>
    <row r="5" spans="1:13" ht="18" x14ac:dyDescent="0.35">
      <c r="A5" s="17">
        <v>3</v>
      </c>
      <c r="B5" s="55" t="s">
        <v>5</v>
      </c>
      <c r="C5" s="9">
        <v>38.049940459183439</v>
      </c>
      <c r="D5" s="3">
        <v>2.2200000000000002</v>
      </c>
      <c r="E5" s="24">
        <v>805.73399554885316</v>
      </c>
      <c r="F5" s="27">
        <f t="shared" si="0"/>
        <v>13.986459666298845</v>
      </c>
      <c r="G5" s="27">
        <f t="shared" ref="G5:G17" si="3">((C5-7)*(D5)/(E5))</f>
        <v>8.5550402738601886E-2</v>
      </c>
      <c r="H5" s="27">
        <f t="shared" ref="H5:H17" si="4">G5+H4</f>
        <v>0.22491582328550558</v>
      </c>
      <c r="I5" s="27">
        <f t="shared" si="1"/>
        <v>19.792592449124491</v>
      </c>
      <c r="J5" s="27">
        <f t="shared" ref="J5:J17" si="5">D5^2/E5</f>
        <v>6.1166588814995362E-3</v>
      </c>
      <c r="K5" s="27">
        <f t="shared" ref="K5:K17" si="6">J5+K4</f>
        <v>1.4186570857349198E-2</v>
      </c>
      <c r="L5" s="27">
        <f t="shared" si="2"/>
        <v>2.2484182354467297</v>
      </c>
      <c r="M5" s="28">
        <f t="shared" ref="M5:M17" si="7">I5/L5</f>
        <v>8.8028962481670927</v>
      </c>
    </row>
    <row r="6" spans="1:13" ht="18" x14ac:dyDescent="0.35">
      <c r="A6" s="17">
        <v>4</v>
      </c>
      <c r="B6" s="55" t="s">
        <v>4</v>
      </c>
      <c r="C6" s="9">
        <v>17.514263639481626</v>
      </c>
      <c r="D6" s="3">
        <v>0.86</v>
      </c>
      <c r="E6" s="24">
        <v>285.56973306227178</v>
      </c>
      <c r="F6" s="27">
        <f t="shared" si="0"/>
        <v>12.225887952885612</v>
      </c>
      <c r="G6" s="27">
        <f t="shared" si="3"/>
        <v>3.1663953434387347E-2</v>
      </c>
      <c r="H6" s="27">
        <f t="shared" si="4"/>
        <v>0.2565797767198929</v>
      </c>
      <c r="I6" s="27">
        <f t="shared" si="1"/>
        <v>22.579020351350575</v>
      </c>
      <c r="J6" s="27">
        <f t="shared" si="5"/>
        <v>2.5899103244205563E-3</v>
      </c>
      <c r="K6" s="27">
        <f t="shared" si="6"/>
        <v>1.6776481181769755E-2</v>
      </c>
      <c r="L6" s="27">
        <f t="shared" si="2"/>
        <v>2.4763303439957385</v>
      </c>
      <c r="M6" s="28">
        <f t="shared" si="7"/>
        <v>9.1179354992346013</v>
      </c>
    </row>
    <row r="7" spans="1:13" ht="18" x14ac:dyDescent="0.35">
      <c r="A7" s="17">
        <v>5</v>
      </c>
      <c r="B7" s="55" t="s">
        <v>7</v>
      </c>
      <c r="C7" s="9">
        <v>16.75230848509014</v>
      </c>
      <c r="D7" s="3">
        <v>0.81</v>
      </c>
      <c r="E7" s="24">
        <v>863.75709145563951</v>
      </c>
      <c r="F7" s="27">
        <f t="shared" si="0"/>
        <v>12.039887018629802</v>
      </c>
      <c r="G7" s="27">
        <f t="shared" si="3"/>
        <v>9.1453603693263646E-3</v>
      </c>
      <c r="H7" s="27">
        <f t="shared" si="4"/>
        <v>0.26572513708921924</v>
      </c>
      <c r="I7" s="27">
        <f t="shared" si="1"/>
        <v>23.383812063851295</v>
      </c>
      <c r="J7" s="27">
        <f t="shared" si="5"/>
        <v>7.5958855387723992E-4</v>
      </c>
      <c r="K7" s="27">
        <f t="shared" si="6"/>
        <v>1.7536069735646996E-2</v>
      </c>
      <c r="L7" s="27">
        <f t="shared" si="2"/>
        <v>2.5431741367369356</v>
      </c>
      <c r="M7" s="28">
        <f>I7/L7</f>
        <v>9.1947349283184785</v>
      </c>
    </row>
    <row r="8" spans="1:13" ht="18" x14ac:dyDescent="0.35">
      <c r="A8" s="17">
        <v>6</v>
      </c>
      <c r="B8" s="3" t="s">
        <v>11</v>
      </c>
      <c r="C8" s="9">
        <v>0.43866828683162051</v>
      </c>
      <c r="D8" s="3">
        <v>-0.77</v>
      </c>
      <c r="E8" s="24">
        <v>433.21407089719588</v>
      </c>
      <c r="F8" s="27">
        <f t="shared" si="0"/>
        <v>8.5212100171017919</v>
      </c>
      <c r="G8" s="27">
        <f t="shared" si="3"/>
        <v>1.1662191416535439E-2</v>
      </c>
      <c r="H8" s="27">
        <f t="shared" si="4"/>
        <v>0.2773873285057547</v>
      </c>
      <c r="I8" s="27">
        <f t="shared" si="1"/>
        <v>24.410084908506413</v>
      </c>
      <c r="J8" s="27">
        <f t="shared" si="5"/>
        <v>1.3686074387475251E-3</v>
      </c>
      <c r="K8" s="27">
        <f t="shared" si="6"/>
        <v>1.8904677174394521E-2</v>
      </c>
      <c r="L8" s="27">
        <f t="shared" si="2"/>
        <v>2.6636115913467178</v>
      </c>
      <c r="M8" s="57">
        <f>I8/L8</f>
        <v>9.1642809288739855</v>
      </c>
    </row>
    <row r="9" spans="1:13" ht="18" x14ac:dyDescent="0.35">
      <c r="A9" s="17">
        <v>7</v>
      </c>
      <c r="B9" s="3" t="s">
        <v>12</v>
      </c>
      <c r="C9" s="9">
        <v>23.928212344659197</v>
      </c>
      <c r="D9" s="3">
        <v>2.09</v>
      </c>
      <c r="E9" s="24">
        <v>1406.9399474196771</v>
      </c>
      <c r="F9" s="27">
        <f t="shared" si="0"/>
        <v>8.0996231314158837</v>
      </c>
      <c r="G9" s="27">
        <f t="shared" si="3"/>
        <v>2.5146747638535992E-2</v>
      </c>
      <c r="H9" s="27">
        <f t="shared" si="4"/>
        <v>0.30253407614429068</v>
      </c>
      <c r="I9" s="27">
        <f t="shared" si="1"/>
        <v>26.622998700697579</v>
      </c>
      <c r="J9" s="27">
        <f t="shared" si="5"/>
        <v>3.1046811969559036E-3</v>
      </c>
      <c r="K9" s="27">
        <f t="shared" si="6"/>
        <v>2.2009358371350426E-2</v>
      </c>
      <c r="L9" s="27">
        <f t="shared" si="2"/>
        <v>2.9368235366788378</v>
      </c>
      <c r="M9" s="9">
        <f t="shared" si="7"/>
        <v>9.0652360852449103</v>
      </c>
    </row>
    <row r="10" spans="1:13" ht="18" x14ac:dyDescent="0.35">
      <c r="A10" s="17">
        <v>8</v>
      </c>
      <c r="B10" s="3" t="s">
        <v>15</v>
      </c>
      <c r="C10" s="9">
        <v>25.897677720458027</v>
      </c>
      <c r="D10" s="3">
        <v>2.4700000000000002</v>
      </c>
      <c r="E10" s="24">
        <v>319.07288488960182</v>
      </c>
      <c r="F10" s="27">
        <f t="shared" si="0"/>
        <v>7.6508816682016301</v>
      </c>
      <c r="G10" s="27">
        <f t="shared" si="3"/>
        <v>0.14629028720407097</v>
      </c>
      <c r="H10" s="27">
        <f t="shared" si="4"/>
        <v>0.44882436334836162</v>
      </c>
      <c r="I10" s="27">
        <f t="shared" si="1"/>
        <v>39.496543974655822</v>
      </c>
      <c r="J10" s="27">
        <f t="shared" si="5"/>
        <v>1.9120709683967323E-2</v>
      </c>
      <c r="K10" s="27">
        <f t="shared" si="6"/>
        <v>4.1130068055317749E-2</v>
      </c>
      <c r="L10" s="27">
        <f t="shared" si="2"/>
        <v>4.6194459888679624</v>
      </c>
      <c r="M10" s="9">
        <f t="shared" si="7"/>
        <v>8.5500607799799848</v>
      </c>
    </row>
    <row r="11" spans="1:13" ht="18" x14ac:dyDescent="0.35">
      <c r="A11" s="17">
        <v>9</v>
      </c>
      <c r="B11" s="3" t="s">
        <v>10</v>
      </c>
      <c r="C11" s="9">
        <v>12.070392131092721</v>
      </c>
      <c r="D11" s="3">
        <v>0.96</v>
      </c>
      <c r="E11" s="24">
        <v>204.90160384923701</v>
      </c>
      <c r="F11" s="27">
        <f t="shared" si="0"/>
        <v>5.2816584698882512</v>
      </c>
      <c r="G11" s="27">
        <f t="shared" si="3"/>
        <v>2.3755677624810047E-2</v>
      </c>
      <c r="H11" s="27">
        <f t="shared" si="4"/>
        <v>0.47258004097317169</v>
      </c>
      <c r="I11" s="27">
        <f t="shared" si="1"/>
        <v>41.58704360563911</v>
      </c>
      <c r="J11" s="27">
        <f t="shared" si="5"/>
        <v>4.4977686005722873E-3</v>
      </c>
      <c r="K11" s="27">
        <f t="shared" si="6"/>
        <v>4.5627836655890035E-2</v>
      </c>
      <c r="L11" s="27">
        <f t="shared" si="2"/>
        <v>5.0152496257183232</v>
      </c>
      <c r="M11" s="9">
        <f t="shared" si="7"/>
        <v>8.2921183807840251</v>
      </c>
    </row>
    <row r="12" spans="1:13" ht="18" x14ac:dyDescent="0.35">
      <c r="A12" s="17">
        <v>10</v>
      </c>
      <c r="B12" s="3" t="s">
        <v>18</v>
      </c>
      <c r="C12" s="9">
        <v>19.254730169529523</v>
      </c>
      <c r="D12" s="3">
        <v>2.88</v>
      </c>
      <c r="E12" s="24">
        <v>629.80060916343541</v>
      </c>
      <c r="F12" s="27">
        <f t="shared" si="0"/>
        <v>4.2551146421977517</v>
      </c>
      <c r="G12" s="27">
        <f t="shared" si="3"/>
        <v>5.6039359719142805E-2</v>
      </c>
      <c r="H12" s="27">
        <f t="shared" si="4"/>
        <v>0.5286194006923145</v>
      </c>
      <c r="I12" s="27">
        <f t="shared" si="1"/>
        <v>46.518507260923677</v>
      </c>
      <c r="J12" s="27">
        <f t="shared" si="5"/>
        <v>1.3169882466480076E-2</v>
      </c>
      <c r="K12" s="27">
        <f t="shared" si="6"/>
        <v>5.8797719122370112E-2</v>
      </c>
      <c r="L12" s="27">
        <f t="shared" si="2"/>
        <v>6.1741992827685701</v>
      </c>
      <c r="M12" s="9">
        <f t="shared" si="7"/>
        <v>7.5343384834939009</v>
      </c>
    </row>
    <row r="13" spans="1:13" ht="18" x14ac:dyDescent="0.35">
      <c r="A13" s="17">
        <v>11</v>
      </c>
      <c r="B13" s="3" t="s">
        <v>9</v>
      </c>
      <c r="C13" s="9">
        <v>7.1627145122768727</v>
      </c>
      <c r="D13" s="3">
        <v>0.59</v>
      </c>
      <c r="E13" s="24">
        <v>744.852284261215</v>
      </c>
      <c r="F13" s="27">
        <f t="shared" si="0"/>
        <v>0.27578730894385212</v>
      </c>
      <c r="G13" s="27">
        <f t="shared" si="3"/>
        <v>1.288867125359956E-4</v>
      </c>
      <c r="H13" s="27">
        <f t="shared" si="4"/>
        <v>0.52874828740485047</v>
      </c>
      <c r="I13" s="27">
        <f t="shared" si="1"/>
        <v>46.529849291626839</v>
      </c>
      <c r="J13" s="27">
        <f t="shared" si="5"/>
        <v>4.6734098472325217E-4</v>
      </c>
      <c r="K13" s="27">
        <f t="shared" si="6"/>
        <v>5.9265060107093363E-2</v>
      </c>
      <c r="L13" s="27">
        <f t="shared" si="2"/>
        <v>6.2153252894242161</v>
      </c>
      <c r="M13" s="9">
        <f t="shared" si="7"/>
        <v>7.4863095855659285</v>
      </c>
    </row>
    <row r="14" spans="1:13" ht="18" x14ac:dyDescent="0.35">
      <c r="A14" s="17">
        <v>12</v>
      </c>
      <c r="B14" s="3" t="s">
        <v>14</v>
      </c>
      <c r="C14" s="9">
        <v>6.7350057574618205</v>
      </c>
      <c r="D14" s="3">
        <v>1.73</v>
      </c>
      <c r="E14" s="24">
        <v>127.27316451886048</v>
      </c>
      <c r="F14" s="27">
        <f t="shared" si="0"/>
        <v>-0.15317586273883207</v>
      </c>
      <c r="G14" s="27">
        <f t="shared" si="3"/>
        <v>-3.6020165077541915E-3</v>
      </c>
      <c r="H14" s="27">
        <f t="shared" si="4"/>
        <v>0.52514627089709631</v>
      </c>
      <c r="I14" s="27">
        <f t="shared" si="1"/>
        <v>46.212871838944473</v>
      </c>
      <c r="J14" s="27">
        <f t="shared" si="5"/>
        <v>2.3515562069303976E-2</v>
      </c>
      <c r="K14" s="27">
        <f t="shared" si="6"/>
        <v>8.2780622176397339E-2</v>
      </c>
      <c r="L14" s="27">
        <f t="shared" si="2"/>
        <v>8.2846947515229665</v>
      </c>
      <c r="M14" s="9">
        <f t="shared" si="7"/>
        <v>5.5781019367610627</v>
      </c>
    </row>
    <row r="15" spans="1:13" ht="18" x14ac:dyDescent="0.35">
      <c r="A15" s="17">
        <v>13</v>
      </c>
      <c r="B15" s="3" t="s">
        <v>8</v>
      </c>
      <c r="C15" s="9">
        <v>5.0444650215090743</v>
      </c>
      <c r="D15" s="3">
        <v>2.41</v>
      </c>
      <c r="E15" s="24">
        <v>608.88524443505014</v>
      </c>
      <c r="F15" s="27">
        <f t="shared" si="0"/>
        <v>-0.81142530227839238</v>
      </c>
      <c r="G15" s="27">
        <f t="shared" si="3"/>
        <v>-7.7401108685691764E-3</v>
      </c>
      <c r="H15" s="27">
        <f t="shared" si="4"/>
        <v>0.51740616002852713</v>
      </c>
      <c r="I15" s="27">
        <f t="shared" si="1"/>
        <v>45.531742082510391</v>
      </c>
      <c r="J15" s="27">
        <f t="shared" si="5"/>
        <v>9.538907459301308E-3</v>
      </c>
      <c r="K15" s="27">
        <f t="shared" si="6"/>
        <v>9.2319529635698644E-2</v>
      </c>
      <c r="L15" s="27">
        <f t="shared" si="2"/>
        <v>9.1241186079414813</v>
      </c>
      <c r="M15" s="9">
        <f t="shared" si="7"/>
        <v>4.990261968194968</v>
      </c>
    </row>
    <row r="16" spans="1:13" ht="18" x14ac:dyDescent="0.35">
      <c r="A16" s="17">
        <v>14</v>
      </c>
      <c r="B16" s="3" t="s">
        <v>6</v>
      </c>
      <c r="C16" s="9">
        <v>-8.1560719674212834</v>
      </c>
      <c r="D16" s="3">
        <v>1.5</v>
      </c>
      <c r="E16" s="24">
        <v>521.68819586397592</v>
      </c>
      <c r="F16" s="27">
        <f t="shared" si="0"/>
        <v>-10.104047978280855</v>
      </c>
      <c r="G16" s="27">
        <f t="shared" si="3"/>
        <v>-4.357796118710644E-2</v>
      </c>
      <c r="H16" s="27">
        <f t="shared" si="4"/>
        <v>0.47382819884142069</v>
      </c>
      <c r="I16" s="27">
        <f t="shared" si="1"/>
        <v>41.696881498045023</v>
      </c>
      <c r="J16" s="27">
        <f t="shared" si="5"/>
        <v>4.3129210471663827E-3</v>
      </c>
      <c r="K16" s="27">
        <f t="shared" si="6"/>
        <v>9.6632450682865023E-2</v>
      </c>
      <c r="L16" s="27">
        <f t="shared" si="2"/>
        <v>9.5036556600921216</v>
      </c>
      <c r="M16" s="9">
        <f t="shared" si="7"/>
        <v>4.3874570996021172</v>
      </c>
    </row>
    <row r="17" spans="1:13" ht="18" x14ac:dyDescent="0.35">
      <c r="A17" s="17">
        <v>15</v>
      </c>
      <c r="B17" s="3" t="s">
        <v>17</v>
      </c>
      <c r="C17" s="9">
        <v>-2.0064667947975536</v>
      </c>
      <c r="D17" s="3">
        <v>0.35</v>
      </c>
      <c r="E17" s="24">
        <v>359.89312384739139</v>
      </c>
      <c r="F17" s="27">
        <f t="shared" si="0"/>
        <v>-25.732762270850156</v>
      </c>
      <c r="G17" s="27">
        <f t="shared" si="3"/>
        <v>-8.7588874843739038E-3</v>
      </c>
      <c r="H17" s="27">
        <f t="shared" si="4"/>
        <v>0.46506931135704677</v>
      </c>
      <c r="I17" s="27">
        <f t="shared" si="1"/>
        <v>40.926099399420117</v>
      </c>
      <c r="J17" s="27">
        <f t="shared" si="5"/>
        <v>3.4037882883237503E-4</v>
      </c>
      <c r="K17" s="27">
        <f t="shared" si="6"/>
        <v>9.6972829511697403E-2</v>
      </c>
      <c r="L17" s="27">
        <f t="shared" si="2"/>
        <v>9.533608997029372</v>
      </c>
      <c r="M17" s="9">
        <f t="shared" si="7"/>
        <v>4.2928233591468352</v>
      </c>
    </row>
    <row r="19" spans="1:13" ht="18" x14ac:dyDescent="0.35">
      <c r="A19" s="26" t="s">
        <v>87</v>
      </c>
      <c r="B19" s="26" t="s">
        <v>88</v>
      </c>
      <c r="C19" s="26" t="s">
        <v>89</v>
      </c>
      <c r="D19" s="26" t="s">
        <v>90</v>
      </c>
      <c r="E19" s="26" t="s">
        <v>91</v>
      </c>
    </row>
    <row r="20" spans="1:13" x14ac:dyDescent="0.3">
      <c r="A20">
        <f>C4/D4</f>
        <v>8.0857543512121524</v>
      </c>
    </row>
    <row r="21" spans="1:13" ht="24" x14ac:dyDescent="0.5">
      <c r="B21" s="25">
        <f>MAX(E4:E17)</f>
        <v>1406.9399474196771</v>
      </c>
      <c r="C21" t="s">
        <v>82</v>
      </c>
      <c r="H21" s="29" t="s">
        <v>95</v>
      </c>
      <c r="I21" s="31" t="s">
        <v>97</v>
      </c>
    </row>
    <row r="22" spans="1:13" ht="24" x14ac:dyDescent="0.5">
      <c r="B22" s="14">
        <f>MIN(E4:E17)</f>
        <v>127.27316451886048</v>
      </c>
      <c r="C22" t="s">
        <v>83</v>
      </c>
      <c r="H22" s="30" t="s">
        <v>96</v>
      </c>
      <c r="I22" s="30" t="s">
        <v>98</v>
      </c>
    </row>
    <row r="24" spans="1:13" ht="17.399999999999999" x14ac:dyDescent="0.3">
      <c r="A24" s="1" t="s">
        <v>2</v>
      </c>
      <c r="B24" s="1" t="s">
        <v>69</v>
      </c>
      <c r="C24" s="1" t="s">
        <v>86</v>
      </c>
      <c r="D24" s="1" t="s">
        <v>94</v>
      </c>
      <c r="E24" s="1" t="s">
        <v>99</v>
      </c>
    </row>
    <row r="25" spans="1:13" ht="18" x14ac:dyDescent="0.35">
      <c r="A25" s="1"/>
      <c r="B25" s="3" t="s">
        <v>115</v>
      </c>
      <c r="C25" s="3">
        <v>6.52</v>
      </c>
      <c r="D25" s="32">
        <f>D3/E3*((F3-$M$8))</f>
        <v>1.0573410511803442E-2</v>
      </c>
      <c r="E25" s="33">
        <f>D25/$D$29</f>
        <v>0.29554092956172873</v>
      </c>
    </row>
    <row r="26" spans="1:13" ht="18" x14ac:dyDescent="0.35">
      <c r="A26" s="3"/>
      <c r="B26" s="3" t="s">
        <v>5</v>
      </c>
      <c r="C26" s="3">
        <v>8.8000000000000007</v>
      </c>
      <c r="D26" s="32">
        <f>D5/E5*((F5-$M$8))</f>
        <v>1.3286316397499096E-2</v>
      </c>
      <c r="E26" s="33">
        <f t="shared" ref="E26:E28" si="8">D26/$D$29</f>
        <v>0.37137026829561515</v>
      </c>
    </row>
    <row r="27" spans="1:13" ht="18" x14ac:dyDescent="0.35">
      <c r="A27" s="3"/>
      <c r="B27" s="3" t="s">
        <v>4</v>
      </c>
      <c r="C27" s="3">
        <v>9.1199999999999992</v>
      </c>
      <c r="D27" s="32">
        <f>D6/E6*((F6-$M$8))</f>
        <v>9.2201019079141931E-3</v>
      </c>
      <c r="E27" s="33">
        <f t="shared" si="8"/>
        <v>0.25771414866347198</v>
      </c>
    </row>
    <row r="28" spans="1:13" ht="18" x14ac:dyDescent="0.35">
      <c r="A28" s="3"/>
      <c r="B28" s="3" t="s">
        <v>113</v>
      </c>
      <c r="C28" s="56">
        <v>9.19</v>
      </c>
      <c r="D28" s="32">
        <f>D7/E7*((F7-$M$8))</f>
        <v>2.6966388533805003E-3</v>
      </c>
      <c r="E28" s="33">
        <f t="shared" si="8"/>
        <v>7.5374653479184137E-2</v>
      </c>
    </row>
    <row r="29" spans="1:13" ht="18" x14ac:dyDescent="0.35">
      <c r="C29" s="3" t="s">
        <v>100</v>
      </c>
      <c r="D29" s="32">
        <f>SUM(D25:D28)</f>
        <v>3.577646767059723E-2</v>
      </c>
      <c r="E29" s="33">
        <f>SUM(E25:E28)</f>
        <v>1</v>
      </c>
    </row>
    <row r="32" spans="1:13" ht="17.399999999999999" x14ac:dyDescent="0.3">
      <c r="B32" s="1" t="s">
        <v>69</v>
      </c>
      <c r="C32" s="1" t="s">
        <v>99</v>
      </c>
    </row>
    <row r="33" spans="2:3" ht="18" x14ac:dyDescent="0.35">
      <c r="B33" s="3" t="s">
        <v>115</v>
      </c>
      <c r="C33" s="33">
        <v>0.295540929561729</v>
      </c>
    </row>
    <row r="34" spans="2:3" ht="18" x14ac:dyDescent="0.35">
      <c r="B34" s="3" t="s">
        <v>5</v>
      </c>
      <c r="C34" s="33">
        <v>0.37137026829561515</v>
      </c>
    </row>
    <row r="35" spans="2:3" ht="18" x14ac:dyDescent="0.35">
      <c r="B35" s="3" t="s">
        <v>4</v>
      </c>
      <c r="C35" s="33">
        <v>0.25771414866347198</v>
      </c>
    </row>
    <row r="36" spans="2:3" ht="18" x14ac:dyDescent="0.35">
      <c r="B36" s="3" t="s">
        <v>113</v>
      </c>
      <c r="C36" s="33">
        <v>7.5374653479184137E-2</v>
      </c>
    </row>
  </sheetData>
  <sortState xmlns:xlrd2="http://schemas.microsoft.com/office/spreadsheetml/2017/richdata2" ref="A2:M17">
    <sortCondition descending="1" ref="F4:F1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0D77-E5D8-4168-A689-1B8ACC8CC02F}">
  <dimension ref="A1:N25"/>
  <sheetViews>
    <sheetView tabSelected="1" topLeftCell="A4" workbookViewId="0">
      <selection activeCell="F7" sqref="F7"/>
    </sheetView>
  </sheetViews>
  <sheetFormatPr defaultRowHeight="14.4" x14ac:dyDescent="0.3"/>
  <cols>
    <col min="2" max="2" width="28.77734375" bestFit="1" customWidth="1"/>
    <col min="3" max="3" width="15.44140625" customWidth="1"/>
    <col min="4" max="4" width="7.44140625" customWidth="1"/>
    <col min="5" max="5" width="7.6640625" customWidth="1"/>
    <col min="6" max="7" width="15.5546875" customWidth="1"/>
    <col min="8" max="8" width="12.5546875" bestFit="1" customWidth="1"/>
    <col min="9" max="9" width="10.5546875" customWidth="1"/>
    <col min="10" max="10" width="17.88671875" customWidth="1"/>
    <col min="11" max="11" width="9.21875" customWidth="1"/>
    <col min="12" max="12" width="8.77734375" customWidth="1"/>
    <col min="13" max="13" width="10.6640625" bestFit="1" customWidth="1"/>
  </cols>
  <sheetData>
    <row r="1" spans="1:14" ht="15.6" x14ac:dyDescent="0.3">
      <c r="A1" s="5" t="s">
        <v>84</v>
      </c>
      <c r="B1" s="5"/>
      <c r="C1" s="38" t="s">
        <v>109</v>
      </c>
      <c r="D1" s="38"/>
      <c r="E1" s="39"/>
      <c r="F1" s="39"/>
    </row>
    <row r="2" spans="1:14" ht="43.8" x14ac:dyDescent="0.35">
      <c r="A2" s="23" t="s">
        <v>73</v>
      </c>
      <c r="B2" s="23" t="s">
        <v>85</v>
      </c>
      <c r="C2" s="23" t="s">
        <v>72</v>
      </c>
      <c r="D2" s="23" t="s">
        <v>71</v>
      </c>
      <c r="E2" s="42" t="s">
        <v>80</v>
      </c>
      <c r="F2" s="43" t="s">
        <v>105</v>
      </c>
      <c r="G2" s="43" t="s">
        <v>116</v>
      </c>
      <c r="H2" s="42"/>
      <c r="I2" s="23"/>
      <c r="J2" s="23"/>
      <c r="K2" s="44" t="s">
        <v>86</v>
      </c>
      <c r="L2" s="23" t="s">
        <v>108</v>
      </c>
      <c r="M2" s="23" t="s">
        <v>110</v>
      </c>
      <c r="N2" s="51"/>
    </row>
    <row r="3" spans="1:14" ht="14.4" customHeight="1" x14ac:dyDescent="0.3">
      <c r="A3" s="23">
        <v>1</v>
      </c>
      <c r="B3" s="45" t="s">
        <v>7</v>
      </c>
      <c r="C3" s="46">
        <v>20.681862327271777</v>
      </c>
      <c r="D3" s="46">
        <v>0.81</v>
      </c>
      <c r="E3" s="46">
        <v>0.65610000000000013</v>
      </c>
      <c r="F3" s="46">
        <f>(C3*E3)/H3</f>
        <v>1.5709705896660538E-2</v>
      </c>
      <c r="G3" s="46">
        <f>F3</f>
        <v>1.5709705896660538E-2</v>
      </c>
      <c r="H3" s="46">
        <v>863.75709145563951</v>
      </c>
      <c r="I3" s="46">
        <f t="shared" ref="I3:I17" si="0">E3/H3</f>
        <v>7.5958855387723992E-4</v>
      </c>
      <c r="J3" s="46">
        <f>I3</f>
        <v>7.5958855387723992E-4</v>
      </c>
      <c r="K3" s="47">
        <f>(88.53*F3)/(1+(88.53*I3))</f>
        <v>1.303148266448976</v>
      </c>
      <c r="L3" s="46">
        <f>(C3-$C$18)*D3/H3</f>
        <v>1.2807899177511768E-2</v>
      </c>
      <c r="M3" s="46">
        <f>L3/$L$6</f>
        <v>0.18893977953903418</v>
      </c>
      <c r="N3" s="49">
        <f>M3</f>
        <v>0.18893977953903418</v>
      </c>
    </row>
    <row r="4" spans="1:14" ht="34.200000000000003" customHeight="1" x14ac:dyDescent="0.3">
      <c r="A4" s="23">
        <v>2</v>
      </c>
      <c r="B4" s="45" t="s">
        <v>4</v>
      </c>
      <c r="C4" s="46">
        <v>20.365422836606541</v>
      </c>
      <c r="D4" s="46">
        <v>0.86</v>
      </c>
      <c r="E4" s="46">
        <v>0.73959999999999992</v>
      </c>
      <c r="F4" s="46">
        <f t="shared" ref="F4:F17" si="1">(C4*E4)/H4</f>
        <v>5.2744618865717449E-2</v>
      </c>
      <c r="G4" s="46">
        <f>G3+F4</f>
        <v>6.8454324762377991E-2</v>
      </c>
      <c r="H4" s="46">
        <v>285.56973306227178</v>
      </c>
      <c r="I4" s="46">
        <f t="shared" si="0"/>
        <v>2.5899103244205563E-3</v>
      </c>
      <c r="J4" s="46">
        <f t="shared" ref="J4:J17" si="2">I4+J3</f>
        <v>3.3494988782977963E-3</v>
      </c>
      <c r="K4" s="47">
        <f t="shared" ref="K4:K17" si="3">(88.53*F4)/(1+(88.53*I4))</f>
        <v>3.7985349336827738</v>
      </c>
      <c r="L4" s="46">
        <f t="shared" ref="L4:L5" si="4">(C4-$C$18)*D4/H4</f>
        <v>4.0178178430074422E-2</v>
      </c>
      <c r="M4" s="46">
        <f>L4/$L$6</f>
        <v>0.59270111902403477</v>
      </c>
      <c r="N4" s="49">
        <f t="shared" ref="N4:N5" si="5">M4</f>
        <v>0.59270111902403477</v>
      </c>
    </row>
    <row r="5" spans="1:14" x14ac:dyDescent="0.3">
      <c r="A5" s="23">
        <v>3</v>
      </c>
      <c r="B5" s="45" t="s">
        <v>13</v>
      </c>
      <c r="C5" s="46">
        <v>19.087222267675831</v>
      </c>
      <c r="D5" s="46">
        <v>5.36</v>
      </c>
      <c r="E5" s="46">
        <v>28.729600000000005</v>
      </c>
      <c r="F5" s="46">
        <f t="shared" si="1"/>
        <v>0.12553590956724694</v>
      </c>
      <c r="G5" s="46">
        <f t="shared" ref="G5:G17" si="6">G4+F5</f>
        <v>0.19399023432962492</v>
      </c>
      <c r="H5" s="46">
        <v>4368.218326945489</v>
      </c>
      <c r="I5" s="46">
        <f t="shared" si="0"/>
        <v>6.5769606392566474E-3</v>
      </c>
      <c r="J5" s="46">
        <f t="shared" si="2"/>
        <v>9.9264595175544441E-3</v>
      </c>
      <c r="K5" s="47">
        <f t="shared" si="3"/>
        <v>7.0239441282290089</v>
      </c>
      <c r="L5" s="46">
        <f t="shared" si="4"/>
        <v>1.4802183862602035E-2</v>
      </c>
      <c r="M5" s="46">
        <f t="shared" ref="M5" si="7">L5/$L$6</f>
        <v>0.21835910143693105</v>
      </c>
      <c r="N5" s="49">
        <f t="shared" si="5"/>
        <v>0.21835910143693105</v>
      </c>
    </row>
    <row r="6" spans="1:14" x14ac:dyDescent="0.3">
      <c r="A6" s="23">
        <v>4</v>
      </c>
      <c r="B6" s="23" t="s">
        <v>5</v>
      </c>
      <c r="C6" s="46">
        <v>17.139612819451997</v>
      </c>
      <c r="D6" s="46">
        <v>2.2200000000000002</v>
      </c>
      <c r="E6" s="46">
        <v>4.9284000000000008</v>
      </c>
      <c r="F6" s="46">
        <f t="shared" si="1"/>
        <v>0.10483716497756437</v>
      </c>
      <c r="G6" s="46">
        <f t="shared" si="6"/>
        <v>0.29882739930718927</v>
      </c>
      <c r="H6" s="46">
        <v>805.73399554885316</v>
      </c>
      <c r="I6" s="46">
        <f t="shared" si="0"/>
        <v>6.1166588814995362E-3</v>
      </c>
      <c r="J6" s="46">
        <f t="shared" si="2"/>
        <v>1.6043118399053979E-2</v>
      </c>
      <c r="K6" s="48">
        <f t="shared" si="3"/>
        <v>6.0208804331471937</v>
      </c>
      <c r="L6" s="50">
        <f>SUM(L3:L5)</f>
        <v>6.7788261470188224E-2</v>
      </c>
      <c r="M6" s="50">
        <f>SUM(M3:M5)</f>
        <v>1</v>
      </c>
    </row>
    <row r="7" spans="1:14" x14ac:dyDescent="0.3">
      <c r="A7" s="23">
        <v>5</v>
      </c>
      <c r="B7" s="23" t="s">
        <v>10</v>
      </c>
      <c r="C7" s="46">
        <v>12.573325136554917</v>
      </c>
      <c r="D7" s="46">
        <v>0.96</v>
      </c>
      <c r="E7" s="46">
        <v>0.92159999999999997</v>
      </c>
      <c r="F7" s="46">
        <f t="shared" si="1"/>
        <v>5.6551907003982847E-2</v>
      </c>
      <c r="G7" s="46">
        <f t="shared" si="6"/>
        <v>0.35537930631117209</v>
      </c>
      <c r="H7" s="46">
        <v>204.90160384923746</v>
      </c>
      <c r="I7" s="46">
        <f t="shared" si="0"/>
        <v>4.4977686005722778E-3</v>
      </c>
      <c r="J7" s="46">
        <f t="shared" si="2"/>
        <v>2.0540886999626258E-2</v>
      </c>
      <c r="K7" s="48">
        <f t="shared" si="3"/>
        <v>3.5807361251829914</v>
      </c>
      <c r="L7" s="15"/>
    </row>
    <row r="8" spans="1:14" x14ac:dyDescent="0.3">
      <c r="A8" s="23">
        <v>6</v>
      </c>
      <c r="B8" s="23" t="s">
        <v>9</v>
      </c>
      <c r="C8" s="46">
        <v>12.14019408860487</v>
      </c>
      <c r="D8" s="46">
        <v>0.59</v>
      </c>
      <c r="E8" s="46">
        <v>0.34809999999999997</v>
      </c>
      <c r="F8" s="46">
        <f t="shared" si="1"/>
        <v>5.6736102601000048E-3</v>
      </c>
      <c r="G8" s="46">
        <f t="shared" si="6"/>
        <v>0.36105291657127209</v>
      </c>
      <c r="H8" s="46">
        <v>744.852284261215</v>
      </c>
      <c r="I8" s="46">
        <f t="shared" si="0"/>
        <v>4.6734098472325217E-4</v>
      </c>
      <c r="J8" s="46">
        <f t="shared" si="2"/>
        <v>2.1008227984349509E-2</v>
      </c>
      <c r="K8" s="48">
        <f t="shared" si="3"/>
        <v>0.48232898294967236</v>
      </c>
      <c r="L8" s="15"/>
    </row>
    <row r="9" spans="1:14" x14ac:dyDescent="0.3">
      <c r="A9" s="23">
        <v>7</v>
      </c>
      <c r="B9" s="23" t="s">
        <v>12</v>
      </c>
      <c r="C9" s="46">
        <v>11.448905428066602</v>
      </c>
      <c r="D9" s="46">
        <v>2.09</v>
      </c>
      <c r="E9" s="46">
        <v>4.3680999999999992</v>
      </c>
      <c r="F9" s="46">
        <f t="shared" si="1"/>
        <v>3.5545201408244763E-2</v>
      </c>
      <c r="G9" s="46">
        <f t="shared" si="6"/>
        <v>0.39659811797951683</v>
      </c>
      <c r="H9" s="46">
        <v>1406.9399474196771</v>
      </c>
      <c r="I9" s="46">
        <f t="shared" si="0"/>
        <v>3.1046811969559036E-3</v>
      </c>
      <c r="J9" s="46">
        <f t="shared" si="2"/>
        <v>2.4112909181305413E-2</v>
      </c>
      <c r="K9" s="48">
        <f t="shared" si="3"/>
        <v>2.4683675331764015</v>
      </c>
      <c r="L9" s="15"/>
    </row>
    <row r="10" spans="1:14" x14ac:dyDescent="0.3">
      <c r="A10" s="23">
        <v>8</v>
      </c>
      <c r="B10" s="23" t="s">
        <v>15</v>
      </c>
      <c r="C10" s="46">
        <v>10.484889765367621</v>
      </c>
      <c r="D10" s="46">
        <v>2.4700000000000002</v>
      </c>
      <c r="E10" s="46">
        <v>6.1009000000000011</v>
      </c>
      <c r="F10" s="46">
        <f t="shared" si="1"/>
        <v>0.20047853327199455</v>
      </c>
      <c r="G10" s="46">
        <f t="shared" si="6"/>
        <v>0.59707665125151133</v>
      </c>
      <c r="H10" s="46">
        <v>319.07288488960182</v>
      </c>
      <c r="I10" s="46">
        <f t="shared" si="0"/>
        <v>1.9120709683967323E-2</v>
      </c>
      <c r="J10" s="46">
        <f t="shared" si="2"/>
        <v>4.3233618865272737E-2</v>
      </c>
      <c r="K10" s="48">
        <f t="shared" si="3"/>
        <v>6.5911511207985818</v>
      </c>
      <c r="L10" s="15"/>
    </row>
    <row r="11" spans="1:14" x14ac:dyDescent="0.3">
      <c r="A11" s="23">
        <v>9</v>
      </c>
      <c r="B11" s="23" t="s">
        <v>16</v>
      </c>
      <c r="C11" s="46">
        <v>8.0857543512121524</v>
      </c>
      <c r="D11" s="46">
        <v>-1.01</v>
      </c>
      <c r="E11" s="46">
        <v>1.0201</v>
      </c>
      <c r="F11" s="46">
        <f t="shared" si="1"/>
        <v>1.2071637766004981E-2</v>
      </c>
      <c r="G11" s="46">
        <f t="shared" si="6"/>
        <v>0.60914828901751628</v>
      </c>
      <c r="H11" s="46">
        <v>683.27746189498384</v>
      </c>
      <c r="I11" s="46">
        <f t="shared" si="0"/>
        <v>1.4929513365930164E-3</v>
      </c>
      <c r="J11" s="46">
        <f t="shared" si="2"/>
        <v>4.4726570201865753E-2</v>
      </c>
      <c r="K11" s="48">
        <f t="shared" si="3"/>
        <v>0.94394054306033393</v>
      </c>
      <c r="L11" s="15"/>
    </row>
    <row r="12" spans="1:14" x14ac:dyDescent="0.3">
      <c r="A12" s="23">
        <v>10</v>
      </c>
      <c r="B12" s="23" t="s">
        <v>18</v>
      </c>
      <c r="C12" s="46">
        <v>6.6856701977533071</v>
      </c>
      <c r="D12" s="46">
        <v>2.88</v>
      </c>
      <c r="E12" s="46">
        <v>8.2943999999999996</v>
      </c>
      <c r="F12" s="46">
        <f t="shared" si="1"/>
        <v>8.8049490714059667E-2</v>
      </c>
      <c r="G12" s="46">
        <f t="shared" si="6"/>
        <v>0.69719777973157593</v>
      </c>
      <c r="H12" s="46">
        <v>629.80060916343541</v>
      </c>
      <c r="I12" s="46">
        <f t="shared" si="0"/>
        <v>1.3169882466480076E-2</v>
      </c>
      <c r="J12" s="46">
        <f t="shared" si="2"/>
        <v>5.7896452668345831E-2</v>
      </c>
      <c r="K12" s="48">
        <f t="shared" si="3"/>
        <v>3.5989263325504712</v>
      </c>
      <c r="L12" s="15"/>
    </row>
    <row r="13" spans="1:14" x14ac:dyDescent="0.3">
      <c r="A13" s="23">
        <v>11</v>
      </c>
      <c r="B13" s="23" t="s">
        <v>14</v>
      </c>
      <c r="C13" s="46">
        <v>3.893066911827642</v>
      </c>
      <c r="D13" s="46">
        <v>1.73</v>
      </c>
      <c r="E13" s="46">
        <v>2.9929000000000001</v>
      </c>
      <c r="F13" s="46">
        <f t="shared" si="1"/>
        <v>9.1547656605036457E-2</v>
      </c>
      <c r="G13" s="46">
        <f t="shared" si="6"/>
        <v>0.78874543633661243</v>
      </c>
      <c r="H13" s="46">
        <v>127.27316451886048</v>
      </c>
      <c r="I13" s="46">
        <f t="shared" si="0"/>
        <v>2.3515562069303976E-2</v>
      </c>
      <c r="J13" s="46">
        <f t="shared" si="2"/>
        <v>8.1412014737649807E-2</v>
      </c>
      <c r="K13" s="48">
        <f t="shared" si="3"/>
        <v>2.6298358158628803</v>
      </c>
      <c r="L13" s="15"/>
    </row>
    <row r="14" spans="1:14" x14ac:dyDescent="0.3">
      <c r="A14" s="23">
        <v>12</v>
      </c>
      <c r="B14" s="23" t="s">
        <v>8</v>
      </c>
      <c r="C14" s="46">
        <v>2.0931390130743046</v>
      </c>
      <c r="D14" s="46">
        <v>2.41</v>
      </c>
      <c r="E14" s="46">
        <v>5.8081000000000005</v>
      </c>
      <c r="F14" s="46">
        <f t="shared" si="1"/>
        <v>1.9966259345169064E-2</v>
      </c>
      <c r="G14" s="46">
        <f t="shared" si="6"/>
        <v>0.80871169568178147</v>
      </c>
      <c r="H14" s="46">
        <v>608.88524443505014</v>
      </c>
      <c r="I14" s="46">
        <f t="shared" si="0"/>
        <v>9.538907459301308E-3</v>
      </c>
      <c r="J14" s="46">
        <f t="shared" si="2"/>
        <v>9.0950922196951112E-2</v>
      </c>
      <c r="K14" s="48">
        <f t="shared" si="3"/>
        <v>0.95832616275370619</v>
      </c>
      <c r="L14" s="15"/>
    </row>
    <row r="15" spans="1:14" x14ac:dyDescent="0.3">
      <c r="A15" s="23">
        <v>13</v>
      </c>
      <c r="B15" s="23" t="s">
        <v>11</v>
      </c>
      <c r="C15" s="46">
        <v>-0.56969907380729934</v>
      </c>
      <c r="D15" s="46">
        <v>-0.77</v>
      </c>
      <c r="E15" s="46">
        <v>0.59289999999999998</v>
      </c>
      <c r="F15" s="46">
        <f t="shared" si="1"/>
        <v>-7.7969439026024517E-4</v>
      </c>
      <c r="G15" s="46">
        <f t="shared" si="6"/>
        <v>0.80793200129152121</v>
      </c>
      <c r="H15" s="46">
        <v>433.21407089719588</v>
      </c>
      <c r="I15" s="46">
        <f t="shared" si="0"/>
        <v>1.3686074387475251E-3</v>
      </c>
      <c r="J15" s="46">
        <f t="shared" si="2"/>
        <v>9.231952963569863E-2</v>
      </c>
      <c r="K15" s="48">
        <f t="shared" si="3"/>
        <v>-6.1566744232565647E-2</v>
      </c>
      <c r="L15" s="15"/>
    </row>
    <row r="16" spans="1:14" x14ac:dyDescent="0.3">
      <c r="A16" s="23">
        <v>14</v>
      </c>
      <c r="B16" s="23" t="s">
        <v>6</v>
      </c>
      <c r="C16" s="46">
        <v>-5.4373813116141889</v>
      </c>
      <c r="D16" s="46">
        <v>1.5</v>
      </c>
      <c r="E16" s="46">
        <v>2.25</v>
      </c>
      <c r="F16" s="46">
        <f t="shared" si="1"/>
        <v>-2.3450996300329988E-2</v>
      </c>
      <c r="G16" s="46">
        <f t="shared" si="6"/>
        <v>0.78448100499119122</v>
      </c>
      <c r="H16" s="46">
        <v>521.68819586397592</v>
      </c>
      <c r="I16" s="46">
        <f t="shared" si="0"/>
        <v>4.3129210471663827E-3</v>
      </c>
      <c r="J16" s="46">
        <f t="shared" si="2"/>
        <v>9.6632450682865009E-2</v>
      </c>
      <c r="K16" s="48">
        <f t="shared" si="3"/>
        <v>-1.5024477463855936</v>
      </c>
      <c r="L16" s="15"/>
    </row>
    <row r="17" spans="1:12" x14ac:dyDescent="0.3">
      <c r="A17" s="23">
        <v>15</v>
      </c>
      <c r="B17" s="23" t="s">
        <v>17</v>
      </c>
      <c r="C17" s="46">
        <v>-5.732762270850154</v>
      </c>
      <c r="D17" s="46">
        <v>0.35</v>
      </c>
      <c r="E17" s="46">
        <v>0.12249999999999998</v>
      </c>
      <c r="F17" s="46">
        <f t="shared" si="1"/>
        <v>-1.951310907726402E-3</v>
      </c>
      <c r="G17" s="46">
        <f t="shared" si="6"/>
        <v>0.78252969408346484</v>
      </c>
      <c r="H17" s="46">
        <v>359.89312384739139</v>
      </c>
      <c r="I17" s="46">
        <f t="shared" si="0"/>
        <v>3.4037882883237503E-4</v>
      </c>
      <c r="J17" s="46">
        <f t="shared" si="2"/>
        <v>9.6972829511697389E-2</v>
      </c>
      <c r="K17" s="48">
        <f t="shared" si="3"/>
        <v>-0.16769624014445703</v>
      </c>
      <c r="L17" s="15"/>
    </row>
    <row r="18" spans="1:12" x14ac:dyDescent="0.3">
      <c r="B18" s="5" t="s">
        <v>106</v>
      </c>
      <c r="C18" s="40">
        <f>MAX(K3:K17)</f>
        <v>7.0239441282290089</v>
      </c>
      <c r="D18" s="15"/>
      <c r="G18" s="15"/>
    </row>
    <row r="19" spans="1:12" ht="14.4" customHeight="1" x14ac:dyDescent="0.35">
      <c r="B19" t="s">
        <v>107</v>
      </c>
      <c r="E19" s="13"/>
      <c r="F19" s="13"/>
      <c r="G19" s="15"/>
      <c r="H19" s="13"/>
      <c r="K19" s="26"/>
    </row>
    <row r="22" spans="1:12" x14ac:dyDescent="0.3">
      <c r="B22" s="5" t="s">
        <v>85</v>
      </c>
      <c r="C22" s="5" t="s">
        <v>111</v>
      </c>
    </row>
    <row r="23" spans="1:12" x14ac:dyDescent="0.3">
      <c r="B23" t="s">
        <v>7</v>
      </c>
      <c r="C23" s="41">
        <v>0.18893977953903418</v>
      </c>
    </row>
    <row r="24" spans="1:12" x14ac:dyDescent="0.3">
      <c r="B24" t="s">
        <v>4</v>
      </c>
      <c r="C24" s="41">
        <v>0.59270111902403477</v>
      </c>
    </row>
    <row r="25" spans="1:12" x14ac:dyDescent="0.3">
      <c r="B25" t="s">
        <v>13</v>
      </c>
      <c r="C25" s="41">
        <v>0.21835910143693105</v>
      </c>
    </row>
  </sheetData>
  <sortState xmlns:xlrd2="http://schemas.microsoft.com/office/spreadsheetml/2017/richdata2" ref="A3:K19">
    <sortCondition ref="A4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swaroop K Y</cp:lastModifiedBy>
  <dcterms:created xsi:type="dcterms:W3CDTF">2023-08-27T12:24:59Z</dcterms:created>
  <dcterms:modified xsi:type="dcterms:W3CDTF">2024-09-28T09:10:49Z</dcterms:modified>
</cp:coreProperties>
</file>