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c479c3b6ccd3a77/Desktop/Financial Modals/"/>
    </mc:Choice>
  </mc:AlternateContent>
  <xr:revisionPtr revIDLastSave="1237" documentId="13_ncr:1_{E640F7E1-EB92-4E35-AC48-ACB807463C2A}" xr6:coauthVersionLast="47" xr6:coauthVersionMax="47" xr10:uidLastSave="{07973805-8D0C-412B-9658-C6D7D83AF085}"/>
  <bookViews>
    <workbookView xWindow="-120" yWindow="-120" windowWidth="29040" windowHeight="15720" activeTab="1" xr2:uid="{00000000-000D-0000-FFFF-FFFF00000000}"/>
  </bookViews>
  <sheets>
    <sheet name="Data Sheet" sheetId="6" r:id="rId1"/>
    <sheet name="DCF" sheetId="7" r:id="rId2"/>
    <sheet name="WACC" sheetId="10" r:id="rId3"/>
    <sheet name="Growth Rate" sheetId="8" r:id="rId4"/>
    <sheet name="Raw BS" sheetId="9" r:id="rId5"/>
  </sheets>
  <definedNames>
    <definedName name="_xlchart.v1.0" hidden="1">DCF!$P$89:$P$91</definedName>
    <definedName name="_xlchart.v1.1" hidden="1">DCF!$Q$88</definedName>
    <definedName name="_xlchart.v1.2" hidden="1">DCF!$Q$89:$Q$91</definedName>
    <definedName name="_xlnm.Print_Area" localSheetId="1">DCF!$B$2:$N$100</definedName>
    <definedName name="_xlnm.Print_Area" localSheetId="3">'Growth Rate'!$B$2:$H$59</definedName>
    <definedName name="_xlnm.Print_Area" localSheetId="2">WACC!$B$2:$M$34</definedName>
    <definedName name="TGR">DCF!$D$11</definedName>
    <definedName name="WACC">DCF!$D$10</definedName>
  </definedNames>
  <calcPr calcId="191029" iterate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0" l="1"/>
  <c r="M20" i="10"/>
  <c r="M18" i="10"/>
  <c r="M6" i="10"/>
  <c r="I67" i="7"/>
  <c r="J67" i="7"/>
  <c r="K67" i="7" s="1"/>
  <c r="L67" i="7" s="1"/>
  <c r="M67" i="7" s="1"/>
  <c r="N67" i="7" l="1"/>
  <c r="Q89" i="7" l="1"/>
  <c r="N75" i="7"/>
  <c r="N72" i="7"/>
  <c r="B73" i="7"/>
  <c r="B72" i="7"/>
  <c r="F24" i="10" l="1"/>
  <c r="F25" i="10"/>
  <c r="H17" i="10"/>
  <c r="L13" i="10"/>
  <c r="L12" i="10"/>
  <c r="I13" i="10"/>
  <c r="H18" i="10" s="1"/>
  <c r="I12" i="10"/>
  <c r="K10" i="10"/>
  <c r="J10" i="10"/>
  <c r="M10" i="10" s="1"/>
  <c r="K9" i="10"/>
  <c r="J9" i="10"/>
  <c r="M9" i="10" s="1"/>
  <c r="K8" i="10"/>
  <c r="J8" i="10"/>
  <c r="M8" i="10" s="1"/>
  <c r="K7" i="10"/>
  <c r="J7" i="10"/>
  <c r="M7" i="10" s="1"/>
  <c r="K6" i="10"/>
  <c r="J6" i="10"/>
  <c r="B6" i="10"/>
  <c r="F26" i="10" l="1"/>
  <c r="G24" i="10" s="1"/>
  <c r="M26" i="10"/>
  <c r="K13" i="10"/>
  <c r="J13" i="10"/>
  <c r="M13" i="10"/>
  <c r="M24" i="10" s="1"/>
  <c r="H19" i="10"/>
  <c r="L32" i="10" s="1"/>
  <c r="K12" i="10"/>
  <c r="H24" i="10" s="1"/>
  <c r="J12" i="10"/>
  <c r="M12" i="10"/>
  <c r="M25" i="10" l="1"/>
  <c r="M32" i="10"/>
  <c r="G26" i="10"/>
  <c r="H26" i="10" s="1"/>
  <c r="H25" i="10" s="1"/>
  <c r="M33" i="10" s="1"/>
  <c r="G25" i="10"/>
  <c r="M19" i="10"/>
  <c r="L33" i="10" s="1"/>
  <c r="M34" i="10" l="1"/>
  <c r="D10" i="7" s="1"/>
  <c r="F16" i="7"/>
  <c r="F41" i="7" s="1"/>
  <c r="G16" i="7"/>
  <c r="G41" i="7" s="1"/>
  <c r="H16" i="7"/>
  <c r="H41" i="7" s="1"/>
  <c r="I16" i="7"/>
  <c r="E16" i="7"/>
  <c r="F39" i="7"/>
  <c r="I32" i="7"/>
  <c r="I55" i="7" s="1"/>
  <c r="H32" i="7"/>
  <c r="H55" i="7" s="1"/>
  <c r="G32" i="7"/>
  <c r="G55" i="7" s="1"/>
  <c r="F32" i="7"/>
  <c r="F55" i="7" s="1"/>
  <c r="E32" i="7"/>
  <c r="E55" i="7" s="1"/>
  <c r="I29" i="7"/>
  <c r="H29" i="7"/>
  <c r="H52" i="7" s="1"/>
  <c r="G29" i="7"/>
  <c r="F29" i="7"/>
  <c r="F52" i="7" s="1"/>
  <c r="E29" i="7"/>
  <c r="E52" i="7" s="1"/>
  <c r="E27" i="7"/>
  <c r="B54" i="8"/>
  <c r="B53" i="8"/>
  <c r="E51" i="8"/>
  <c r="F51" i="8" s="1"/>
  <c r="G51" i="8" s="1"/>
  <c r="H51" i="8" s="1"/>
  <c r="I41" i="7" l="1"/>
  <c r="G30" i="7"/>
  <c r="G53" i="7" s="1"/>
  <c r="G52" i="7"/>
  <c r="I30" i="7"/>
  <c r="I53" i="7" s="1"/>
  <c r="I52" i="7"/>
  <c r="G39" i="7"/>
  <c r="E33" i="7"/>
  <c r="E56" i="7" s="1"/>
  <c r="F33" i="7"/>
  <c r="F56" i="7" s="1"/>
  <c r="G33" i="7"/>
  <c r="G56" i="7" s="1"/>
  <c r="I33" i="7"/>
  <c r="I56" i="7" s="1"/>
  <c r="G42" i="7"/>
  <c r="H30" i="7"/>
  <c r="H53" i="7" s="1"/>
  <c r="H33" i="7"/>
  <c r="H56" i="7" s="1"/>
  <c r="I42" i="7"/>
  <c r="E30" i="7"/>
  <c r="E53" i="7" s="1"/>
  <c r="E41" i="7"/>
  <c r="F42" i="7" s="1"/>
  <c r="H42" i="7"/>
  <c r="F30" i="7"/>
  <c r="F53" i="7" s="1"/>
  <c r="J56" i="7" l="1"/>
  <c r="K56" i="7" s="1"/>
  <c r="L56" i="7" s="1"/>
  <c r="M56" i="7" s="1"/>
  <c r="N56" i="7" s="1"/>
  <c r="J53" i="7"/>
  <c r="K53" i="7" s="1"/>
  <c r="L53" i="7" s="1"/>
  <c r="M53" i="7" s="1"/>
  <c r="N53" i="7" s="1"/>
  <c r="H39" i="7"/>
  <c r="H42" i="8"/>
  <c r="G42" i="8"/>
  <c r="F42" i="8"/>
  <c r="E42" i="8"/>
  <c r="D42" i="8"/>
  <c r="E40" i="8"/>
  <c r="F40" i="8" s="1"/>
  <c r="G40" i="8" s="1"/>
  <c r="H40" i="8" s="1"/>
  <c r="H33" i="8"/>
  <c r="G33" i="8"/>
  <c r="F33" i="8"/>
  <c r="E33" i="8"/>
  <c r="D33" i="8"/>
  <c r="H18" i="8"/>
  <c r="G18" i="8"/>
  <c r="F18" i="8"/>
  <c r="E18" i="8"/>
  <c r="D18" i="8"/>
  <c r="H12" i="8"/>
  <c r="G12" i="8"/>
  <c r="F12" i="8"/>
  <c r="F20" i="8" s="1"/>
  <c r="E12" i="8"/>
  <c r="D12" i="8"/>
  <c r="H10" i="9"/>
  <c r="G10" i="9"/>
  <c r="F10" i="9"/>
  <c r="E10" i="9"/>
  <c r="D10" i="9"/>
  <c r="E4" i="8"/>
  <c r="F4" i="8" s="1"/>
  <c r="G4" i="8" s="1"/>
  <c r="H4" i="8" s="1"/>
  <c r="I39" i="7" l="1"/>
  <c r="D20" i="8"/>
  <c r="H20" i="8"/>
  <c r="H35" i="8"/>
  <c r="F35" i="8"/>
  <c r="D35" i="8"/>
  <c r="E20" i="8"/>
  <c r="E43" i="8" s="1"/>
  <c r="F35" i="7" s="1"/>
  <c r="F58" i="7" s="1"/>
  <c r="G20" i="8"/>
  <c r="H43" i="8" s="1"/>
  <c r="I35" i="7" s="1"/>
  <c r="I58" i="7" s="1"/>
  <c r="D43" i="8"/>
  <c r="E35" i="7" s="1"/>
  <c r="E58" i="7" s="1"/>
  <c r="I24" i="7"/>
  <c r="H24" i="7"/>
  <c r="G24" i="7"/>
  <c r="F24" i="7"/>
  <c r="E24" i="7"/>
  <c r="E25" i="7" s="1"/>
  <c r="I19" i="7"/>
  <c r="H19" i="7"/>
  <c r="G19" i="7"/>
  <c r="G44" i="7" s="1"/>
  <c r="F19" i="7"/>
  <c r="F44" i="7" s="1"/>
  <c r="E19" i="7"/>
  <c r="E44" i="7" s="1"/>
  <c r="K33" i="6"/>
  <c r="J33" i="6"/>
  <c r="I33" i="6"/>
  <c r="H33" i="6"/>
  <c r="G33" i="6"/>
  <c r="F33" i="6"/>
  <c r="E33" i="6"/>
  <c r="D33" i="6"/>
  <c r="C33" i="6"/>
  <c r="B33" i="6"/>
  <c r="F14" i="7"/>
  <c r="B2" i="7"/>
  <c r="J39" i="7" l="1"/>
  <c r="K39" i="7" s="1"/>
  <c r="L39" i="7" s="1"/>
  <c r="M39" i="7" s="1"/>
  <c r="N39" i="7" s="1"/>
  <c r="E45" i="7"/>
  <c r="H47" i="7"/>
  <c r="H48" i="7" s="1"/>
  <c r="H22" i="7"/>
  <c r="G45" i="7"/>
  <c r="F47" i="7"/>
  <c r="F48" i="7" s="1"/>
  <c r="F22" i="7"/>
  <c r="G47" i="7"/>
  <c r="G48" i="7" s="1"/>
  <c r="G22" i="7"/>
  <c r="F45" i="7"/>
  <c r="E47" i="7"/>
  <c r="E48" i="7" s="1"/>
  <c r="E22" i="7"/>
  <c r="I47" i="7"/>
  <c r="I48" i="7" s="1"/>
  <c r="I25" i="7"/>
  <c r="I22" i="7"/>
  <c r="F36" i="7"/>
  <c r="F59" i="7" s="1"/>
  <c r="E35" i="8"/>
  <c r="F43" i="8"/>
  <c r="G35" i="7" s="1"/>
  <c r="E36" i="7"/>
  <c r="E59" i="7" s="1"/>
  <c r="I36" i="7"/>
  <c r="I59" i="7" s="1"/>
  <c r="G35" i="8"/>
  <c r="G43" i="8"/>
  <c r="H35" i="7" s="1"/>
  <c r="H58" i="7" s="1"/>
  <c r="I44" i="7"/>
  <c r="G36" i="8"/>
  <c r="H44" i="7"/>
  <c r="G14" i="7"/>
  <c r="F27" i="7"/>
  <c r="G17" i="7"/>
  <c r="H25" i="7"/>
  <c r="G25" i="7"/>
  <c r="H17" i="7"/>
  <c r="I17" i="7"/>
  <c r="F20" i="7"/>
  <c r="F36" i="8"/>
  <c r="F44" i="8" s="1"/>
  <c r="F46" i="8" s="1"/>
  <c r="F25" i="7"/>
  <c r="F17" i="7"/>
  <c r="G20" i="7"/>
  <c r="D36" i="8"/>
  <c r="H36" i="8"/>
  <c r="H20" i="7"/>
  <c r="E36" i="8"/>
  <c r="E20" i="7"/>
  <c r="I20" i="7"/>
  <c r="B2" i="6"/>
  <c r="B6" i="6"/>
  <c r="E1" i="6"/>
  <c r="G36" i="7" l="1"/>
  <c r="G59" i="7" s="1"/>
  <c r="G58" i="7"/>
  <c r="J59" i="7"/>
  <c r="K59" i="7" s="1"/>
  <c r="L59" i="7" s="1"/>
  <c r="M59" i="7" s="1"/>
  <c r="N59" i="7" s="1"/>
  <c r="F50" i="7"/>
  <c r="F62" i="7" s="1"/>
  <c r="G50" i="7"/>
  <c r="F54" i="8"/>
  <c r="H45" i="7"/>
  <c r="H50" i="7"/>
  <c r="H62" i="7" s="1"/>
  <c r="M10" i="7"/>
  <c r="J22" i="7" s="1"/>
  <c r="K22" i="7" s="1"/>
  <c r="L22" i="7" s="1"/>
  <c r="M22" i="7" s="1"/>
  <c r="N22" i="7" s="1"/>
  <c r="E50" i="7"/>
  <c r="E62" i="7" s="1"/>
  <c r="I45" i="7"/>
  <c r="I50" i="7"/>
  <c r="G38" i="8"/>
  <c r="G53" i="8" s="1"/>
  <c r="H36" i="7"/>
  <c r="H59" i="7" s="1"/>
  <c r="G44" i="8"/>
  <c r="G46" i="8" s="1"/>
  <c r="F38" i="8"/>
  <c r="H14" i="7"/>
  <c r="G27" i="7"/>
  <c r="D38" i="8"/>
  <c r="D53" i="8" s="1"/>
  <c r="D44" i="8"/>
  <c r="D46" i="8" s="1"/>
  <c r="E38" i="8"/>
  <c r="E53" i="8" s="1"/>
  <c r="E44" i="8"/>
  <c r="E46" i="8" s="1"/>
  <c r="H44" i="8"/>
  <c r="H46" i="8" s="1"/>
  <c r="H38" i="8"/>
  <c r="H53" i="8" s="1"/>
  <c r="G62" i="7" l="1"/>
  <c r="I62" i="7"/>
  <c r="I64" i="7" s="1"/>
  <c r="F53" i="8"/>
  <c r="F56" i="8" s="1"/>
  <c r="H54" i="8"/>
  <c r="H56" i="8" s="1"/>
  <c r="G54" i="8"/>
  <c r="G56" i="8" s="1"/>
  <c r="E54" i="8"/>
  <c r="E56" i="8" s="1"/>
  <c r="D54" i="8"/>
  <c r="D56" i="8" s="1"/>
  <c r="H49" i="8"/>
  <c r="H48" i="8"/>
  <c r="I14" i="7"/>
  <c r="H27" i="7"/>
  <c r="J14" i="7" l="1"/>
  <c r="K14" i="7" s="1"/>
  <c r="L14" i="7" s="1"/>
  <c r="M14" i="7" s="1"/>
  <c r="N14" i="7" s="1"/>
  <c r="I27" i="7"/>
  <c r="J27" i="7" s="1"/>
  <c r="K27" i="7" s="1"/>
  <c r="L27" i="7" s="1"/>
  <c r="M27" i="7" s="1"/>
  <c r="N27" i="7" s="1"/>
  <c r="H58" i="8"/>
  <c r="H59" i="8"/>
  <c r="I10" i="7" s="1"/>
  <c r="J16" i="7" s="1"/>
  <c r="J41" i="7" l="1"/>
  <c r="J17" i="7"/>
  <c r="J42" i="7" l="1"/>
  <c r="K17" i="7"/>
  <c r="L17" i="7" s="1"/>
  <c r="M17" i="7" s="1"/>
  <c r="N17" i="7" s="1"/>
  <c r="J55" i="7"/>
  <c r="J58" i="7"/>
  <c r="J52" i="7"/>
  <c r="J19" i="7"/>
  <c r="J44" i="7" s="1"/>
  <c r="K42" i="7" l="1"/>
  <c r="J20" i="7"/>
  <c r="J45" i="7" s="1"/>
  <c r="J24" i="7"/>
  <c r="J47" i="7" s="1"/>
  <c r="J50" i="7" s="1"/>
  <c r="K16" i="7"/>
  <c r="K41" i="7" s="1"/>
  <c r="K19" i="7"/>
  <c r="K44" i="7" s="1"/>
  <c r="K52" i="7" l="1"/>
  <c r="K55" i="7"/>
  <c r="K58" i="7"/>
  <c r="J62" i="7"/>
  <c r="J64" i="7" s="1"/>
  <c r="J25" i="7"/>
  <c r="J48" i="7" s="1"/>
  <c r="K20" i="7"/>
  <c r="K45" i="7" s="1"/>
  <c r="L16" i="7"/>
  <c r="L41" i="7" s="1"/>
  <c r="L42" i="7"/>
  <c r="K24" i="7"/>
  <c r="K47" i="7" s="1"/>
  <c r="K50" i="7" s="1"/>
  <c r="L19" i="7"/>
  <c r="L44" i="7" s="1"/>
  <c r="N42" i="7"/>
  <c r="M42" i="7"/>
  <c r="L52" i="7" l="1"/>
  <c r="L58" i="7"/>
  <c r="L55" i="7"/>
  <c r="K62" i="7"/>
  <c r="K64" i="7" s="1"/>
  <c r="M16" i="7"/>
  <c r="M41" i="7" s="1"/>
  <c r="L24" i="7"/>
  <c r="L47" i="7" s="1"/>
  <c r="L50" i="7" s="1"/>
  <c r="L20" i="7"/>
  <c r="L45" i="7" s="1"/>
  <c r="K25" i="7"/>
  <c r="K48" i="7" s="1"/>
  <c r="M19" i="7"/>
  <c r="M44" i="7" s="1"/>
  <c r="L62" i="7" l="1"/>
  <c r="L64" i="7" s="1"/>
  <c r="M58" i="7"/>
  <c r="M55" i="7"/>
  <c r="M52" i="7"/>
  <c r="N16" i="7"/>
  <c r="N41" i="7" s="1"/>
  <c r="L25" i="7"/>
  <c r="L48" i="7" s="1"/>
  <c r="M24" i="7"/>
  <c r="M25" i="7" s="1"/>
  <c r="M48" i="7" s="1"/>
  <c r="M20" i="7"/>
  <c r="M45" i="7" s="1"/>
  <c r="N19" i="7"/>
  <c r="N44" i="7" s="1"/>
  <c r="N55" i="7" l="1"/>
  <c r="N52" i="7"/>
  <c r="N58" i="7"/>
  <c r="M47" i="7"/>
  <c r="M50" i="7" s="1"/>
  <c r="N20" i="7"/>
  <c r="N45" i="7" s="1"/>
  <c r="N24" i="7"/>
  <c r="N25" i="7" s="1"/>
  <c r="N48" i="7" s="1"/>
  <c r="M62" i="7" l="1"/>
  <c r="M64" i="7" s="1"/>
  <c r="N47" i="7"/>
  <c r="N50" i="7" s="1"/>
  <c r="N62" i="7" l="1"/>
  <c r="N64" i="7" l="1"/>
  <c r="N69" i="7"/>
  <c r="N70" i="7" s="1"/>
  <c r="N71" i="7" s="1"/>
  <c r="N74" i="7" l="1"/>
  <c r="N77" i="7" s="1"/>
  <c r="G4" i="7" s="1"/>
  <c r="I80" i="7" l="1"/>
  <c r="K5" i="7"/>
  <c r="K4" i="7"/>
  <c r="Q90" i="7" s="1"/>
  <c r="Q91" i="7" s="1"/>
  <c r="B80" i="7"/>
</calcChain>
</file>

<file path=xl/sharedStrings.xml><?xml version="1.0" encoding="utf-8"?>
<sst xmlns="http://schemas.openxmlformats.org/spreadsheetml/2006/main" count="298" uniqueCount="216">
  <si>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</si>
  <si>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</si>
  <si>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</si>
  <si>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</si>
  <si>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</si>
  <si>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</si>
  <si>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</si>
  <si>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</si>
  <si>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</si>
  <si>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</si>
  <si>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</si>
  <si>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</si>
  <si>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</si>
  <si>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</si>
  <si>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</si>
  <si>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</si>
  <si>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</si>
  <si>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</si>
  <si>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</si>
  <si>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</si>
  <si>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</si>
  <si>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</si>
  <si>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</si>
  <si>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</si>
  <si>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</si>
  <si>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</si>
  <si>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</si>
  <si>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</si>
  <si>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</si>
  <si>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</si>
  <si>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</si>
  <si>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</si>
  <si>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SUN PHARMACEUTICAL INDUSTRIES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</si>
  <si>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</si>
  <si>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</si>
  <si>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</si>
  <si>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</si>
  <si>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</si>
  <si>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</si>
  <si>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</si>
  <si>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</si>
  <si>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</si>
  <si>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</si>
  <si>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</si>
  <si>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</si>
  <si>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</si>
  <si>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</si>
  <si>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</si>
  <si>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</si>
  <si>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</si>
  <si>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</si>
  <si>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</si>
  <si>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</si>
  <si>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</si>
  <si>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 xml:space="preserve"># </t>
  </si>
  <si>
    <t xml:space="preserve">Ticker </t>
  </si>
  <si>
    <t>Date</t>
  </si>
  <si>
    <t>Implied Share Price</t>
  </si>
  <si>
    <t>Today Share Price</t>
  </si>
  <si>
    <t xml:space="preserve">SUNPHARMA </t>
  </si>
  <si>
    <t>Cash Flow Items</t>
  </si>
  <si>
    <t>Income Statement</t>
  </si>
  <si>
    <t>WACC</t>
  </si>
  <si>
    <t>#</t>
  </si>
  <si>
    <t>Terminal Growth Rate</t>
  </si>
  <si>
    <t>Revenue</t>
  </si>
  <si>
    <t>% Growth</t>
  </si>
  <si>
    <t>EBIT</t>
  </si>
  <si>
    <t>% Sales</t>
  </si>
  <si>
    <t>Taxes</t>
  </si>
  <si>
    <t>% EBIT</t>
  </si>
  <si>
    <t>Company Growth Rate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</si>
  <si>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</si>
  <si>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</si>
  <si>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</si>
  <si>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</si>
  <si>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</si>
  <si>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</si>
  <si>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</si>
  <si>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</si>
  <si>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</si>
  <si>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</si>
  <si>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</si>
  <si>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</si>
  <si>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</si>
  <si>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</si>
  <si>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</si>
  <si>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</si>
  <si>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</si>
  <si>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</si>
  <si>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Inventories</t>
  </si>
  <si>
    <t>Trade receivables</t>
  </si>
  <si>
    <t>Cash Equivalents</t>
  </si>
  <si>
    <t>Loans n Advances</t>
  </si>
  <si>
    <t>Other asset items</t>
  </si>
  <si>
    <t xml:space="preserve"> </t>
  </si>
  <si>
    <t xml:space="preserve">Equity Capital </t>
  </si>
  <si>
    <t xml:space="preserve">Reserves </t>
  </si>
  <si>
    <t xml:space="preserve">Total Liabilities </t>
  </si>
  <si>
    <t xml:space="preserve">CWIP </t>
  </si>
  <si>
    <t xml:space="preserve">Investments </t>
  </si>
  <si>
    <t xml:space="preserve">Total Assets </t>
  </si>
  <si>
    <t>Borrowings-</t>
  </si>
  <si>
    <t xml:space="preserve">Other Liabilities - </t>
  </si>
  <si>
    <t>Fixed Assets -</t>
  </si>
  <si>
    <t>Other asset -</t>
  </si>
  <si>
    <t>Calaculation of ROIC</t>
  </si>
  <si>
    <t>Current Assets</t>
  </si>
  <si>
    <t>Total Current Assets</t>
  </si>
  <si>
    <t>Current liabilities</t>
  </si>
  <si>
    <t>Total Current Liabilities</t>
  </si>
  <si>
    <t>Non Current Assets</t>
  </si>
  <si>
    <t>Net Non Current Assets</t>
  </si>
  <si>
    <t>Change in Working Capital</t>
  </si>
  <si>
    <t>Net Working Capital</t>
  </si>
  <si>
    <t xml:space="preserve">Invested Capital </t>
  </si>
  <si>
    <t>ROIC</t>
  </si>
  <si>
    <t>EBIAT</t>
  </si>
  <si>
    <t>Calculation of Reinvestment Rate</t>
  </si>
  <si>
    <t>Net Capex</t>
  </si>
  <si>
    <t>NOPAT/EBIAT</t>
  </si>
  <si>
    <t>Cash Flow Statement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</si>
  <si>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</si>
  <si>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</si>
  <si>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</si>
  <si>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</si>
  <si>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</si>
  <si>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</si>
  <si>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</si>
  <si>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</si>
  <si>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</si>
  <si>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</si>
  <si>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</si>
  <si>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</si>
  <si>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</si>
  <si>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</si>
  <si>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</si>
  <si>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</si>
  <si>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</si>
  <si>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</si>
  <si>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</si>
  <si>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</si>
  <si>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</si>
  <si>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</si>
  <si>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</si>
  <si>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 xml:space="preserve">Net Cash Flow </t>
  </si>
  <si>
    <t>Cash From Operating Activity</t>
  </si>
  <si>
    <t>Cash From Investing Activity</t>
  </si>
  <si>
    <t>Cash From Financing Activity</t>
  </si>
  <si>
    <t>Reinvestment Rate</t>
  </si>
  <si>
    <t>Calculation of Growth Rate</t>
  </si>
  <si>
    <t>Growth Rate</t>
  </si>
  <si>
    <t>5 Year Average</t>
  </si>
  <si>
    <t>5 year Median</t>
  </si>
  <si>
    <t>D&amp;A</t>
  </si>
  <si>
    <t>CapEx</t>
  </si>
  <si>
    <t>Change in NWC</t>
  </si>
  <si>
    <t>Industry Growth Rate</t>
  </si>
  <si>
    <t>Effective Tax Rate</t>
  </si>
  <si>
    <t>Weighted Average Cost of Capital</t>
  </si>
  <si>
    <t xml:space="preserve">Company </t>
  </si>
  <si>
    <t xml:space="preserve">Country </t>
  </si>
  <si>
    <t xml:space="preserve">Total Equity </t>
  </si>
  <si>
    <t>Total Debt</t>
  </si>
  <si>
    <t>Tax Rate</t>
  </si>
  <si>
    <t>Debt /</t>
  </si>
  <si>
    <t>Equity</t>
  </si>
  <si>
    <t>Capital</t>
  </si>
  <si>
    <t>Levered Beta</t>
  </si>
  <si>
    <t xml:space="preserve">Levered </t>
  </si>
  <si>
    <t>Beta</t>
  </si>
  <si>
    <t>Unlevered</t>
  </si>
  <si>
    <t>India</t>
  </si>
  <si>
    <t xml:space="preserve">Cipla </t>
  </si>
  <si>
    <t xml:space="preserve">Mankind Pharma </t>
  </si>
  <si>
    <t xml:space="preserve">Dr Reddy's Labs </t>
  </si>
  <si>
    <t xml:space="preserve">Lupin </t>
  </si>
  <si>
    <t>Average</t>
  </si>
  <si>
    <t>Median</t>
  </si>
  <si>
    <t>Cost of Debt</t>
  </si>
  <si>
    <t>Cost of Equity</t>
  </si>
  <si>
    <t>Pre-Tax Cost of Debt</t>
  </si>
  <si>
    <t>Post-Tax Cost of Debt</t>
  </si>
  <si>
    <t>Capital Structure</t>
  </si>
  <si>
    <t>Market Cap</t>
  </si>
  <si>
    <t>Total Cap</t>
  </si>
  <si>
    <t>Target</t>
  </si>
  <si>
    <t>Current</t>
  </si>
  <si>
    <t>Risk Free Rate</t>
  </si>
  <si>
    <t>Market Risk Premium</t>
  </si>
  <si>
    <t>Comps Median Unlevered Beta</t>
  </si>
  <si>
    <t>Target Debt/Equity</t>
  </si>
  <si>
    <t>Total Cost</t>
  </si>
  <si>
    <t>Total Weight</t>
  </si>
  <si>
    <t>PV of FCFF</t>
  </si>
  <si>
    <t>Free Cash Flow to Firm</t>
  </si>
  <si>
    <t>Present Value of FCF</t>
  </si>
  <si>
    <t>Terminal Value</t>
  </si>
  <si>
    <t>PV of Terminal Value</t>
  </si>
  <si>
    <t>Enterprise Value</t>
  </si>
  <si>
    <t>Equity Value</t>
  </si>
  <si>
    <t>No. of Shares</t>
  </si>
  <si>
    <t>Share Price</t>
  </si>
  <si>
    <t>Share Premium (Discount)</t>
  </si>
  <si>
    <t>Sensitivity Analysis - (Enterpise Value)</t>
  </si>
  <si>
    <t>Sensitivity Analysis - (Share Price)</t>
  </si>
  <si>
    <t>Valuation Assumptions:-</t>
  </si>
  <si>
    <t>Note:-Market premium may reflect optimism over specialty drug pipeline, U.S. growth, or M&amp;A expectations not captured in base projections</t>
  </si>
  <si>
    <t>Conclusion</t>
  </si>
  <si>
    <t>Downside</t>
  </si>
  <si>
    <t>Category</t>
  </si>
  <si>
    <t>Value</t>
  </si>
  <si>
    <t>Market Value</t>
  </si>
  <si>
    <t>Intrinsic Value</t>
  </si>
  <si>
    <t>Stub</t>
  </si>
  <si>
    <t>Discounting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</si>
</sst>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General&quot;E&quot;"/>
    <numFmt numFmtId="167" formatCode="0.00%;\(0.00%\)"/>
    <numFmt numFmtId="168" formatCode="#,##0;\(#,##0\)"/>
    <numFmt numFmtId="169" formatCode="#,##0.0"/>
    <numFmt numFmtId="170" formatCode="&quot;₹&quot;\ #,##0.00"/>
    <numFmt numFmtId="171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28517"/>
        <bgColor indexed="64"/>
      </patternFill>
    </fill>
    <fill>
      <patternFill patternType="solid">
        <fgColor rgb="FFF4CAA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113">
    <xf numFmtId="0" fontId="0" fillId="0" borderId="0" xfId="0"/>
    <xf numFmtId="43" fontId="1" fillId="0" borderId="0" xfId="1" applyFont="1" applyBorder="1"/>
    <xf numFmtId="0" fontId="1" fillId="0" borderId="0" xfId="0" applyFont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7" fillId="4" borderId="0" xfId="0" applyFont="1" applyFill="1"/>
    <xf numFmtId="166" fontId="7" fillId="4" borderId="0" xfId="0" applyNumberFormat="1" applyFont="1" applyFill="1"/>
    <xf numFmtId="10" fontId="0" fillId="0" borderId="0" xfId="4" applyNumberFormat="1" applyFont="1"/>
    <xf numFmtId="43" fontId="0" fillId="0" borderId="0" xfId="0" applyNumberFormat="1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4" borderId="0" xfId="0" applyFont="1" applyFill="1"/>
    <xf numFmtId="167" fontId="1" fillId="0" borderId="0" xfId="4" applyNumberFormat="1" applyFont="1"/>
    <xf numFmtId="168" fontId="0" fillId="0" borderId="0" xfId="0" applyNumberFormat="1"/>
    <xf numFmtId="10" fontId="0" fillId="0" borderId="0" xfId="0" applyNumberFormat="1"/>
    <xf numFmtId="167" fontId="0" fillId="0" borderId="0" xfId="0" applyNumberFormat="1"/>
    <xf numFmtId="10" fontId="0" fillId="5" borderId="0" xfId="0" applyNumberFormat="1" applyFill="1"/>
    <xf numFmtId="167" fontId="0" fillId="0" borderId="0" xfId="4" applyNumberFormat="1" applyFont="1"/>
    <xf numFmtId="10" fontId="10" fillId="0" borderId="0" xfId="0" applyNumberFormat="1" applyFont="1"/>
    <xf numFmtId="0" fontId="0" fillId="0" borderId="2" xfId="0" applyBorder="1"/>
    <xf numFmtId="10" fontId="0" fillId="0" borderId="2" xfId="0" applyNumberFormat="1" applyBorder="1"/>
    <xf numFmtId="0" fontId="0" fillId="0" borderId="3" xfId="0" applyBorder="1"/>
    <xf numFmtId="10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Alignment="1">
      <alignment horizontal="right"/>
    </xf>
    <xf numFmtId="9" fontId="0" fillId="0" borderId="2" xfId="4" applyFont="1" applyBorder="1"/>
    <xf numFmtId="0" fontId="1" fillId="0" borderId="3" xfId="0" applyFont="1" applyBorder="1"/>
    <xf numFmtId="0" fontId="1" fillId="0" borderId="4" xfId="0" applyFont="1" applyBorder="1"/>
    <xf numFmtId="10" fontId="1" fillId="0" borderId="4" xfId="0" applyNumberFormat="1" applyFont="1" applyBorder="1"/>
    <xf numFmtId="0" fontId="0" fillId="0" borderId="5" xfId="0" applyBorder="1"/>
    <xf numFmtId="0" fontId="0" fillId="0" borderId="1" xfId="0" applyBorder="1"/>
    <xf numFmtId="43" fontId="0" fillId="0" borderId="1" xfId="0" applyNumberFormat="1" applyBorder="1"/>
    <xf numFmtId="43" fontId="0" fillId="0" borderId="6" xfId="0" applyNumberFormat="1" applyBorder="1"/>
    <xf numFmtId="0" fontId="1" fillId="0" borderId="1" xfId="0" applyFont="1" applyBorder="1"/>
    <xf numFmtId="169" fontId="1" fillId="0" borderId="1" xfId="0" applyNumberFormat="1" applyFont="1" applyBorder="1"/>
    <xf numFmtId="0" fontId="1" fillId="0" borderId="2" xfId="0" applyFont="1" applyBorder="1"/>
    <xf numFmtId="169" fontId="1" fillId="0" borderId="2" xfId="0" applyNumberFormat="1" applyFont="1" applyBorder="1"/>
    <xf numFmtId="169" fontId="0" fillId="0" borderId="2" xfId="0" applyNumberFormat="1" applyBorder="1"/>
    <xf numFmtId="169" fontId="0" fillId="0" borderId="7" xfId="0" applyNumberFormat="1" applyBorder="1"/>
    <xf numFmtId="0" fontId="0" fillId="0" borderId="7" xfId="0" applyBorder="1"/>
    <xf numFmtId="10" fontId="0" fillId="0" borderId="7" xfId="4" applyNumberFormat="1" applyFont="1" applyBorder="1"/>
    <xf numFmtId="10" fontId="0" fillId="0" borderId="7" xfId="0" applyNumberFormat="1" applyBorder="1"/>
    <xf numFmtId="43" fontId="0" fillId="0" borderId="7" xfId="0" applyNumberFormat="1" applyBorder="1"/>
    <xf numFmtId="3" fontId="0" fillId="0" borderId="7" xfId="0" applyNumberFormat="1" applyBorder="1"/>
    <xf numFmtId="168" fontId="0" fillId="0" borderId="7" xfId="0" applyNumberFormat="1" applyBorder="1"/>
    <xf numFmtId="167" fontId="0" fillId="0" borderId="7" xfId="4" applyNumberFormat="1" applyFont="1" applyBorder="1"/>
    <xf numFmtId="170" fontId="0" fillId="5" borderId="0" xfId="0" applyNumberFormat="1" applyFill="1"/>
    <xf numFmtId="0" fontId="0" fillId="6" borderId="0" xfId="0" applyFill="1"/>
    <xf numFmtId="0" fontId="2" fillId="0" borderId="1" xfId="0" applyFont="1" applyBorder="1"/>
    <xf numFmtId="3" fontId="1" fillId="0" borderId="1" xfId="0" applyNumberFormat="1" applyFont="1" applyBorder="1"/>
    <xf numFmtId="10" fontId="1" fillId="0" borderId="4" xfId="4" applyNumberFormat="1" applyFont="1" applyBorder="1"/>
    <xf numFmtId="167" fontId="1" fillId="0" borderId="4" xfId="4" applyNumberFormat="1" applyFont="1" applyBorder="1"/>
    <xf numFmtId="167" fontId="0" fillId="0" borderId="7" xfId="0" applyNumberFormat="1" applyBorder="1"/>
    <xf numFmtId="3" fontId="0" fillId="0" borderId="8" xfId="0" applyNumberFormat="1" applyBorder="1"/>
    <xf numFmtId="10" fontId="10" fillId="5" borderId="0" xfId="0" applyNumberFormat="1" applyFont="1" applyFill="1"/>
    <xf numFmtId="10" fontId="10" fillId="5" borderId="0" xfId="4" applyNumberFormat="1" applyFont="1" applyFill="1"/>
    <xf numFmtId="170" fontId="10" fillId="5" borderId="0" xfId="0" applyNumberFormat="1" applyFont="1" applyFill="1"/>
    <xf numFmtId="0" fontId="5" fillId="7" borderId="0" xfId="0" applyFont="1" applyFill="1"/>
    <xf numFmtId="0" fontId="5" fillId="0" borderId="0" xfId="0" applyFont="1"/>
    <xf numFmtId="169" fontId="0" fillId="0" borderId="0" xfId="0" applyNumberFormat="1"/>
    <xf numFmtId="169" fontId="10" fillId="0" borderId="0" xfId="0" applyNumberFormat="1" applyFont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9" xfId="0" applyBorder="1"/>
    <xf numFmtId="10" fontId="10" fillId="0" borderId="9" xfId="0" applyNumberFormat="1" applyFont="1" applyBorder="1"/>
    <xf numFmtId="10" fontId="0" fillId="0" borderId="9" xfId="4" applyNumberFormat="1" applyFont="1" applyBorder="1"/>
    <xf numFmtId="2" fontId="0" fillId="0" borderId="9" xfId="0" applyNumberFormat="1" applyBorder="1"/>
    <xf numFmtId="10" fontId="10" fillId="0" borderId="7" xfId="0" applyNumberFormat="1" applyFont="1" applyBorder="1"/>
    <xf numFmtId="2" fontId="0" fillId="0" borderId="7" xfId="0" applyNumberFormat="1" applyBorder="1"/>
    <xf numFmtId="10" fontId="0" fillId="0" borderId="10" xfId="0" applyNumberFormat="1" applyBorder="1"/>
    <xf numFmtId="2" fontId="0" fillId="0" borderId="10" xfId="0" applyNumberFormat="1" applyBorder="1"/>
    <xf numFmtId="169" fontId="0" fillId="0" borderId="10" xfId="0" applyNumberFormat="1" applyBorder="1"/>
    <xf numFmtId="169" fontId="10" fillId="0" borderId="9" xfId="0" applyNumberFormat="1" applyFont="1" applyBorder="1"/>
    <xf numFmtId="169" fontId="10" fillId="0" borderId="7" xfId="0" applyNumberFormat="1" applyFont="1" applyBorder="1"/>
    <xf numFmtId="2" fontId="10" fillId="0" borderId="9" xfId="0" applyNumberFormat="1" applyFont="1" applyBorder="1"/>
    <xf numFmtId="2" fontId="10" fillId="0" borderId="7" xfId="0" applyNumberFormat="1" applyFont="1" applyBorder="1"/>
    <xf numFmtId="169" fontId="5" fillId="7" borderId="0" xfId="0" applyNumberFormat="1" applyFont="1" applyFill="1"/>
    <xf numFmtId="10" fontId="1" fillId="0" borderId="0" xfId="0" applyNumberFormat="1" applyFont="1"/>
    <xf numFmtId="0" fontId="0" fillId="4" borderId="0" xfId="0" applyFill="1"/>
    <xf numFmtId="169" fontId="0" fillId="8" borderId="7" xfId="0" applyNumberFormat="1" applyFill="1" applyBorder="1"/>
    <xf numFmtId="171" fontId="1" fillId="0" borderId="0" xfId="0" applyNumberFormat="1" applyFont="1"/>
    <xf numFmtId="0" fontId="11" fillId="0" borderId="0" xfId="0" applyFont="1"/>
    <xf numFmtId="10" fontId="0" fillId="5" borderId="0" xfId="4" applyNumberFormat="1" applyFont="1" applyFill="1"/>
    <xf numFmtId="9" fontId="0" fillId="0" borderId="0" xfId="0" applyNumberFormat="1"/>
    <xf numFmtId="171" fontId="0" fillId="0" borderId="0" xfId="0" applyNumberFormat="1"/>
    <xf numFmtId="0" fontId="1" fillId="0" borderId="11" xfId="0" applyFont="1" applyBorder="1"/>
    <xf numFmtId="43" fontId="1" fillId="0" borderId="11" xfId="0" applyNumberFormat="1" applyFont="1" applyBorder="1"/>
    <xf numFmtId="0" fontId="1" fillId="0" borderId="12" xfId="0" applyFont="1" applyBorder="1"/>
    <xf numFmtId="4" fontId="1" fillId="0" borderId="12" xfId="0" applyNumberFormat="1" applyFont="1" applyBorder="1"/>
    <xf numFmtId="170" fontId="0" fillId="0" borderId="0" xfId="0" applyNumberFormat="1"/>
    <xf numFmtId="0" fontId="12" fillId="4" borderId="0" xfId="0" applyFont="1" applyFill="1"/>
    <xf numFmtId="170" fontId="5" fillId="0" borderId="0" xfId="0" applyNumberFormat="1" applyFont="1"/>
    <xf numFmtId="10" fontId="0" fillId="5" borderId="2" xfId="0" applyNumberFormat="1" applyFill="1" applyBorder="1"/>
    <xf numFmtId="10" fontId="0" fillId="5" borderId="3" xfId="0" applyNumberFormat="1" applyFill="1" applyBorder="1"/>
    <xf numFmtId="169" fontId="1" fillId="0" borderId="0" xfId="0" applyNumberFormat="1" applyFont="1"/>
    <xf numFmtId="0" fontId="1" fillId="5" borderId="13" xfId="0" applyFont="1" applyFill="1" applyBorder="1" applyAlignment="1">
      <alignment horizontal="right"/>
    </xf>
    <xf numFmtId="14" fontId="1" fillId="5" borderId="13" xfId="0" applyNumberFormat="1" applyFont="1" applyFill="1" applyBorder="1" applyAlignment="1">
      <alignment horizontal="center"/>
    </xf>
    <xf numFmtId="4" fontId="1" fillId="0" borderId="0" xfId="0" applyNumberFormat="1" applyFont="1"/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8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6" borderId="0" xfId="0" applyFont="1" applyFill="1" applyAlignment="1">
      <alignment horizontal="left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F4CAA6"/>
      <color rgb="FFF28517"/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Market Value vs Intrinsic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1" i="0" u="none" strike="noStrike" baseline="0">
              <a:solidFill>
                <a:schemeClr val="tx1"/>
              </a:solidFill>
              <a:latin typeface="Calibri"/>
            </a:rPr>
            <a:t>Market Value vs Intrinsic Value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0F2478AC-5974-4513-8731-7E2B8A4D4158}">
          <cx:tx>
            <cx:txData>
              <cx:f>_xlchart.v1.1</cx:f>
              <cx:v>Value</cx:v>
            </cx:txData>
          </cx:tx>
          <cx:dataPt idx="0">
            <cx:spPr>
              <a:solidFill>
                <a:srgbClr val="F28517"/>
              </a:solidFill>
            </cx:spPr>
          </cx:dataPt>
          <cx:dataPt idx="1">
            <cx:spPr>
              <a:solidFill>
                <a:srgbClr val="DA1F28"/>
              </a:solidFill>
            </cx:spPr>
          </cx:dataPt>
          <cx:dataPt idx="3">
            <cx:spPr>
              <a:solidFill>
                <a:srgbClr val="002060"/>
              </a:solidFill>
            </cx:spPr>
          </cx:dataPt>
          <cx:dataLabels pos="outEnd">
            <cx:numFmt formatCode="₹ #,##0.0;(₹ #,##0.0)" sourceLinked="0"/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/>
                    </a:solidFill>
                  </a:defRPr>
                </a:pPr>
                <a:endParaRPr lang="en-US" sz="900" b="1" i="0" u="none" strike="noStrike" baseline="0">
                  <a:solidFill>
                    <a:schemeClr val="tx1"/>
                  </a:solidFill>
                  <a:latin typeface="Calibri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585789</xdr:colOff>
      <xdr:row>2</xdr:row>
      <xdr:rowOff>95250</xdr:rowOff>
    </xdr:from>
    <xdr:to>
      <xdr:col>13</xdr:col>
      <xdr:colOff>638175</xdr:colOff>
      <xdr:row>7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D2024-51C9-3FD1-8DAD-0CF9E62C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6264" y="533400"/>
          <a:ext cx="1385886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88792</xdr:colOff>
      <xdr:row>87</xdr:row>
      <xdr:rowOff>132058</xdr:rowOff>
    </xdr:from>
    <xdr:ext cx="5369033" cy="14287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E7007AE-7F31-3471-CF9C-65003859A817}"/>
            </a:ext>
          </a:extLst>
        </xdr:cNvPr>
        <xdr:cNvSpPr txBox="1"/>
      </xdr:nvSpPr>
      <xdr:spPr>
        <a:xfrm>
          <a:off x="88792" y="14305258"/>
          <a:ext cx="5369033" cy="1428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IN" sz="1300"/>
            <a:t>Based on our DCF model, Sun Pharma’s intrinsic value is ₹679 per share, suggesting the market is pricing significant future growth beyond our conservative projections.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IN" sz="13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300"/>
            <a:t>Market premium may reflect optimism over specialty drug pipeline, U.S. growth, or M&amp;A expectations not captured in base projections.</a:t>
          </a:r>
        </a:p>
      </xdr:txBody>
    </xdr:sp>
    <xdr:clientData/>
  </xdr:oneCellAnchor>
  <xdr:twoCellAnchor>
    <xdr:from>
      <xdr:col>8</xdr:col>
      <xdr:colOff>24216</xdr:colOff>
      <xdr:row>86</xdr:row>
      <xdr:rowOff>80962</xdr:rowOff>
    </xdr:from>
    <xdr:to>
      <xdr:col>13</xdr:col>
      <xdr:colOff>647700</xdr:colOff>
      <xdr:row>99</xdr:row>
      <xdr:rowOff>123072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A98CC18-C64C-55C2-84A4-A07F793CFC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5341" y="16025812"/>
              <a:ext cx="3957234" cy="2528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showGridLines="0" zoomScale="120" zoomScaleNormal="120" zoomScalePageLayoutView="12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8" sqref="B8"/>
    </sheetView>
  </sheetViews>
  <sheetFormatPr defaultColWidth="8.85546875" defaultRowHeight="15" x14ac:dyDescent="0.25"/>
  <cols>
    <col min="1" max="1" width="27.7109375" style="3" bestFit="1" customWidth="1"/>
    <col min="2" max="11" width="13.42578125" style="3" bestFit="1" customWidth="1"/>
    <col min="12" max="16384" width="8.85546875" style="3"/>
  </cols>
  <sheetData>
    <row r="1" spans="1:11" s="1" customFormat="1" x14ac:dyDescent="0.25">
      <c r="A1" s="1" t="s">
        <v>0</v>
      </c>
      <c r="B1" s="1" t="s">
        <v>32</v>
      </c>
      <c r="E1" s="104" t="e">
        <f>IF(B2&lt;&gt;B3, "A NEW VERSION OF THE WORKSHEET IS AVAILABLE", "")</f>
        <v>#VALUE!</v>
      </c>
      <c r="F1" s="104"/>
      <c r="G1" s="104"/>
      <c r="H1" s="104"/>
      <c r="I1" s="104"/>
      <c r="J1" s="104"/>
      <c r="K1" s="104"/>
    </row>
    <row r="2" spans="1:11" x14ac:dyDescent="0.25">
      <c r="A2" s="1" t="s">
        <v>30</v>
      </c>
      <c r="B2" s="3" t="e">
        <f>"DCF MODEL"-""</f>
        <v>#VALUE!</v>
      </c>
      <c r="E2" s="105" t="s">
        <v>21</v>
      </c>
      <c r="F2" s="105"/>
      <c r="G2" s="105"/>
      <c r="H2" s="105"/>
      <c r="I2" s="105"/>
      <c r="J2" s="105"/>
      <c r="K2" s="105"/>
    </row>
    <row r="3" spans="1:11" x14ac:dyDescent="0.25">
      <c r="A3" s="1" t="s">
        <v>31</v>
      </c>
      <c r="B3" s="3">
        <v>2.1</v>
      </c>
    </row>
    <row r="4" spans="1:11" x14ac:dyDescent="0.25">
      <c r="A4" s="1"/>
    </row>
    <row r="5" spans="1:11" x14ac:dyDescent="0.25">
      <c r="A5" s="1" t="s">
        <v>33</v>
      </c>
    </row>
    <row r="6" spans="1:11" x14ac:dyDescent="0.25">
      <c r="A6" s="3" t="s">
        <v>27</v>
      </c>
      <c r="B6" s="3">
        <f>IF(B9&gt;0, B9/B8, 0)</f>
        <v>239.93349558017232</v>
      </c>
    </row>
    <row r="7" spans="1:11" x14ac:dyDescent="0.25">
      <c r="A7" s="3" t="s">
        <v>16</v>
      </c>
      <c r="B7">
        <v>1</v>
      </c>
    </row>
    <row r="8" spans="1:11" x14ac:dyDescent="0.25">
      <c r="A8" s="3" t="s">
        <v>28</v>
      </c>
      <c r="B8">
        <v>1787.4</v>
      </c>
    </row>
    <row r="9" spans="1:11" x14ac:dyDescent="0.25">
      <c r="A9" s="3" t="s">
        <v>43</v>
      </c>
      <c r="B9">
        <v>428857.13</v>
      </c>
    </row>
    <row r="15" spans="1:11" x14ac:dyDescent="0.25">
      <c r="A15" s="1" t="s">
        <v>22</v>
      </c>
    </row>
    <row r="16" spans="1:11" s="7" customFormat="1" x14ac:dyDescent="0.25">
      <c r="A16" s="6" t="s">
        <v>23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s="4" customFormat="1" x14ac:dyDescent="0.25">
      <c r="A17" s="4" t="s">
        <v>1</v>
      </c>
      <c r="B17">
        <v>27392.01</v>
      </c>
      <c r="C17">
        <v>28487.03</v>
      </c>
      <c r="D17">
        <v>31578.44</v>
      </c>
      <c r="E17">
        <v>26489.46</v>
      </c>
      <c r="F17">
        <v>29065.91</v>
      </c>
      <c r="G17">
        <v>32837.5</v>
      </c>
      <c r="H17">
        <v>33498.14</v>
      </c>
      <c r="I17">
        <v>38654.49</v>
      </c>
      <c r="J17">
        <v>43885.68</v>
      </c>
      <c r="K17">
        <v>48496.85</v>
      </c>
    </row>
    <row r="18" spans="1:11" s="4" customFormat="1" x14ac:dyDescent="0.25">
      <c r="A18" s="3" t="s">
        <v>44</v>
      </c>
      <c r="B18">
        <v>6624.68</v>
      </c>
      <c r="C18">
        <v>6724.15</v>
      </c>
      <c r="D18">
        <v>8402.3700000000008</v>
      </c>
      <c r="E18">
        <v>7193.98</v>
      </c>
      <c r="F18">
        <v>8302.08</v>
      </c>
      <c r="G18">
        <v>8929.6</v>
      </c>
      <c r="H18">
        <v>9328.2999999999993</v>
      </c>
      <c r="I18">
        <v>10459.15</v>
      </c>
      <c r="J18">
        <v>11349.07</v>
      </c>
      <c r="K18">
        <v>10370.48</v>
      </c>
    </row>
    <row r="19" spans="1:11" s="4" customFormat="1" x14ac:dyDescent="0.25">
      <c r="A19" s="3" t="s">
        <v>45</v>
      </c>
      <c r="B19">
        <v>-114.49</v>
      </c>
      <c r="C19">
        <v>393.77</v>
      </c>
      <c r="D19">
        <v>271.63</v>
      </c>
      <c r="E19">
        <v>-230.7</v>
      </c>
      <c r="F19">
        <v>433.11</v>
      </c>
      <c r="G19">
        <v>-300.85000000000002</v>
      </c>
      <c r="H19">
        <v>638.22</v>
      </c>
      <c r="I19">
        <v>107.61</v>
      </c>
      <c r="J19">
        <v>686.91</v>
      </c>
      <c r="K19">
        <v>-292.13</v>
      </c>
    </row>
    <row r="20" spans="1:11" s="4" customFormat="1" x14ac:dyDescent="0.25">
      <c r="A20" s="3" t="s">
        <v>46</v>
      </c>
      <c r="B20">
        <v>560.77</v>
      </c>
      <c r="C20">
        <v>545.44000000000005</v>
      </c>
      <c r="D20">
        <v>525.09</v>
      </c>
      <c r="E20">
        <v>559.97</v>
      </c>
      <c r="F20">
        <v>613.6</v>
      </c>
      <c r="G20">
        <v>621.89</v>
      </c>
      <c r="H20">
        <v>627.09</v>
      </c>
      <c r="I20">
        <v>702.78</v>
      </c>
      <c r="J20">
        <v>830.05</v>
      </c>
      <c r="K20">
        <v>760.78</v>
      </c>
    </row>
    <row r="21" spans="1:11" s="4" customFormat="1" x14ac:dyDescent="0.25">
      <c r="A21" s="3" t="s">
        <v>47</v>
      </c>
      <c r="B21">
        <v>1427.56</v>
      </c>
      <c r="C21">
        <v>1808.55</v>
      </c>
      <c r="D21">
        <v>1973.46</v>
      </c>
      <c r="E21">
        <v>1828.35</v>
      </c>
      <c r="F21">
        <v>1884.71</v>
      </c>
      <c r="G21">
        <v>1690</v>
      </c>
      <c r="H21">
        <v>1723.78</v>
      </c>
      <c r="I21">
        <v>1880.71</v>
      </c>
      <c r="J21">
        <v>1936.77</v>
      </c>
      <c r="K21">
        <v>2186.62</v>
      </c>
    </row>
    <row r="22" spans="1:11" s="4" customFormat="1" x14ac:dyDescent="0.25">
      <c r="A22" s="3" t="s">
        <v>48</v>
      </c>
      <c r="B22">
        <v>4502.6400000000003</v>
      </c>
      <c r="C22">
        <v>4772.3100000000004</v>
      </c>
      <c r="D22">
        <v>4902.3</v>
      </c>
      <c r="E22">
        <v>5367.05</v>
      </c>
      <c r="F22">
        <v>5967.09</v>
      </c>
      <c r="G22">
        <v>6362.35</v>
      </c>
      <c r="H22">
        <v>6862.23</v>
      </c>
      <c r="I22">
        <v>7300.83</v>
      </c>
      <c r="J22">
        <v>8296.0300000000007</v>
      </c>
      <c r="K22">
        <v>9429.06</v>
      </c>
    </row>
    <row r="23" spans="1:11" s="4" customFormat="1" x14ac:dyDescent="0.25">
      <c r="A23" s="3" t="s">
        <v>49</v>
      </c>
      <c r="B23">
        <v>5131.37</v>
      </c>
      <c r="C23">
        <v>5219.2</v>
      </c>
      <c r="D23">
        <v>5224.6099999999997</v>
      </c>
      <c r="E23">
        <v>4727</v>
      </c>
      <c r="F23">
        <v>5350.33</v>
      </c>
      <c r="G23">
        <v>6995.37</v>
      </c>
      <c r="H23">
        <v>6283.41</v>
      </c>
      <c r="I23">
        <v>7366.88</v>
      </c>
      <c r="J23">
        <v>9482.36</v>
      </c>
      <c r="K23">
        <v>11033.19</v>
      </c>
    </row>
    <row r="24" spans="1:11" s="4" customFormat="1" x14ac:dyDescent="0.25">
      <c r="A24" s="3" t="s">
        <v>50</v>
      </c>
      <c r="B24">
        <v>1136.68</v>
      </c>
      <c r="C24">
        <v>1637.25</v>
      </c>
      <c r="D24">
        <v>720.22</v>
      </c>
      <c r="E24">
        <v>950.99</v>
      </c>
      <c r="F24">
        <v>1004.23</v>
      </c>
      <c r="G24">
        <v>954.6</v>
      </c>
      <c r="H24">
        <v>841.59</v>
      </c>
      <c r="I24">
        <v>794.18</v>
      </c>
      <c r="J24">
        <v>1027.8699999999999</v>
      </c>
      <c r="K24">
        <v>1406.82</v>
      </c>
    </row>
    <row r="25" spans="1:11" s="4" customFormat="1" x14ac:dyDescent="0.25">
      <c r="A25" s="4" t="s">
        <v>4</v>
      </c>
      <c r="B25">
        <v>282.79000000000002</v>
      </c>
      <c r="C25">
        <v>-42.5</v>
      </c>
      <c r="D25">
        <v>610.4</v>
      </c>
      <c r="E25">
        <v>-135.03</v>
      </c>
      <c r="F25">
        <v>-258.27999999999997</v>
      </c>
      <c r="G25">
        <v>382.26</v>
      </c>
      <c r="H25">
        <v>-3449.21</v>
      </c>
      <c r="I25">
        <v>-3505.16</v>
      </c>
      <c r="J25">
        <v>459.42</v>
      </c>
      <c r="K25">
        <v>865.23</v>
      </c>
    </row>
    <row r="26" spans="1:11" s="4" customFormat="1" x14ac:dyDescent="0.25">
      <c r="A26" s="4" t="s">
        <v>5</v>
      </c>
      <c r="B26">
        <v>1194.72</v>
      </c>
      <c r="C26">
        <v>1037.53</v>
      </c>
      <c r="D26">
        <v>1264.75</v>
      </c>
      <c r="E26">
        <v>1499.84</v>
      </c>
      <c r="F26">
        <v>1753.25</v>
      </c>
      <c r="G26">
        <v>2052.7800000000002</v>
      </c>
      <c r="H26">
        <v>2079.9499999999998</v>
      </c>
      <c r="I26">
        <v>2143.7399999999998</v>
      </c>
      <c r="J26">
        <v>2529.4299999999998</v>
      </c>
      <c r="K26">
        <v>2556.64</v>
      </c>
    </row>
    <row r="27" spans="1:11" s="4" customFormat="1" x14ac:dyDescent="0.25">
      <c r="A27" s="4" t="s">
        <v>6</v>
      </c>
      <c r="B27">
        <v>578.99</v>
      </c>
      <c r="C27">
        <v>523.24</v>
      </c>
      <c r="D27">
        <v>399.8</v>
      </c>
      <c r="E27">
        <v>517.57000000000005</v>
      </c>
      <c r="F27">
        <v>555.25</v>
      </c>
      <c r="G27">
        <v>302.73</v>
      </c>
      <c r="H27">
        <v>141.43</v>
      </c>
      <c r="I27">
        <v>127.35</v>
      </c>
      <c r="J27">
        <v>172</v>
      </c>
      <c r="K27">
        <v>238.47</v>
      </c>
    </row>
    <row r="28" spans="1:11" s="4" customFormat="1" x14ac:dyDescent="0.25">
      <c r="A28" s="4" t="s">
        <v>7</v>
      </c>
      <c r="B28">
        <v>6402.9</v>
      </c>
      <c r="C28">
        <v>6570.63</v>
      </c>
      <c r="D28">
        <v>9047.8700000000008</v>
      </c>
      <c r="E28">
        <v>3478.98</v>
      </c>
      <c r="F28">
        <v>3810.2</v>
      </c>
      <c r="G28">
        <v>5009.59</v>
      </c>
      <c r="H28">
        <v>2799.37</v>
      </c>
      <c r="I28">
        <v>4481.32</v>
      </c>
      <c r="J28">
        <v>9408.43</v>
      </c>
      <c r="K28">
        <v>11087.89</v>
      </c>
    </row>
    <row r="29" spans="1:11" s="4" customFormat="1" x14ac:dyDescent="0.25">
      <c r="A29" s="4" t="s">
        <v>8</v>
      </c>
      <c r="B29">
        <v>914.69</v>
      </c>
      <c r="C29">
        <v>913.77</v>
      </c>
      <c r="D29">
        <v>1211.57</v>
      </c>
      <c r="E29">
        <v>911.04</v>
      </c>
      <c r="F29">
        <v>600.88</v>
      </c>
      <c r="G29">
        <v>822.8</v>
      </c>
      <c r="H29">
        <v>514.69000000000005</v>
      </c>
      <c r="I29">
        <v>1075.5</v>
      </c>
      <c r="J29">
        <v>847.59</v>
      </c>
      <c r="K29">
        <v>1439.45</v>
      </c>
    </row>
    <row r="30" spans="1:11" s="4" customFormat="1" x14ac:dyDescent="0.25">
      <c r="A30" s="4" t="s">
        <v>9</v>
      </c>
      <c r="B30">
        <v>4539.38</v>
      </c>
      <c r="C30">
        <v>4545.71</v>
      </c>
      <c r="D30">
        <v>6964.37</v>
      </c>
      <c r="E30">
        <v>2095.6999999999998</v>
      </c>
      <c r="F30">
        <v>2665.42</v>
      </c>
      <c r="G30">
        <v>3764.93</v>
      </c>
      <c r="H30">
        <v>2903.82</v>
      </c>
      <c r="I30">
        <v>3272.73</v>
      </c>
      <c r="J30">
        <v>8473.58</v>
      </c>
      <c r="K30">
        <v>9576.3799999999992</v>
      </c>
    </row>
    <row r="31" spans="1:11" s="4" customFormat="1" x14ac:dyDescent="0.25">
      <c r="A31" s="4" t="s">
        <v>34</v>
      </c>
      <c r="B31">
        <v>621.36</v>
      </c>
      <c r="C31">
        <v>240.66</v>
      </c>
      <c r="D31">
        <v>839.76</v>
      </c>
      <c r="E31">
        <v>479.86</v>
      </c>
      <c r="F31">
        <v>659.81</v>
      </c>
      <c r="G31">
        <v>959.72</v>
      </c>
      <c r="H31">
        <v>1799.48</v>
      </c>
      <c r="I31">
        <v>2399.3000000000002</v>
      </c>
      <c r="J31">
        <v>2759.2</v>
      </c>
      <c r="K31">
        <v>3239.06</v>
      </c>
    </row>
    <row r="32" spans="1:11" s="4" customFormat="1" x14ac:dyDescent="0.25"/>
    <row r="33" spans="1:11" x14ac:dyDescent="0.25">
      <c r="A33" s="4" t="s">
        <v>67</v>
      </c>
      <c r="B33" s="3">
        <f>B28+B27</f>
        <v>6981.8899999999994</v>
      </c>
      <c r="C33" s="3">
        <f t="shared" ref="C33:K33" si="0">C28+C27</f>
        <v>7093.87</v>
      </c>
      <c r="D33" s="3">
        <f t="shared" si="0"/>
        <v>9447.67</v>
      </c>
      <c r="E33" s="3">
        <f t="shared" si="0"/>
        <v>3996.55</v>
      </c>
      <c r="F33" s="3">
        <f t="shared" si="0"/>
        <v>4365.45</v>
      </c>
      <c r="G33" s="3">
        <f t="shared" si="0"/>
        <v>5312.32</v>
      </c>
      <c r="H33" s="3">
        <f t="shared" si="0"/>
        <v>2940.7999999999997</v>
      </c>
      <c r="I33" s="3">
        <f t="shared" si="0"/>
        <v>4608.67</v>
      </c>
      <c r="J33" s="3">
        <f t="shared" si="0"/>
        <v>9580.43</v>
      </c>
      <c r="K33" s="3">
        <f t="shared" si="0"/>
        <v>11326.359999999999</v>
      </c>
    </row>
    <row r="34" spans="1:11" x14ac:dyDescent="0.25">
      <c r="A34" s="4"/>
    </row>
    <row r="35" spans="1:11" x14ac:dyDescent="0.25">
      <c r="A35" s="4"/>
    </row>
    <row r="36" spans="1:11" x14ac:dyDescent="0.25">
      <c r="A36" s="4"/>
    </row>
    <row r="37" spans="1:11" x14ac:dyDescent="0.25">
      <c r="A37" s="4"/>
    </row>
    <row r="38" spans="1:11" x14ac:dyDescent="0.25">
      <c r="A38" s="4"/>
    </row>
    <row r="39" spans="1:11" x14ac:dyDescent="0.25">
      <c r="A39" s="4"/>
    </row>
    <row r="40" spans="1:11" x14ac:dyDescent="0.25">
      <c r="A40" s="1" t="s">
        <v>24</v>
      </c>
    </row>
    <row r="41" spans="1:11" s="7" customFormat="1" x14ac:dyDescent="0.25">
      <c r="A41" s="6" t="s">
        <v>23</v>
      </c>
      <c r="B41" s="5">
        <v>44834</v>
      </c>
      <c r="C41" s="5">
        <v>44926</v>
      </c>
      <c r="D41" s="5">
        <v>45016</v>
      </c>
      <c r="E41" s="5">
        <v>45107</v>
      </c>
      <c r="F41" s="5">
        <v>45199</v>
      </c>
      <c r="G41" s="5">
        <v>45291</v>
      </c>
      <c r="H41" s="5">
        <v>45382</v>
      </c>
      <c r="I41" s="5">
        <v>45473</v>
      </c>
      <c r="J41" s="5">
        <v>45565</v>
      </c>
      <c r="K41" s="5">
        <v>45657</v>
      </c>
    </row>
    <row r="42" spans="1:11" s="4" customFormat="1" x14ac:dyDescent="0.25">
      <c r="A42" s="4" t="s">
        <v>1</v>
      </c>
      <c r="B42">
        <v>10952.28</v>
      </c>
      <c r="C42">
        <v>11240.97</v>
      </c>
      <c r="D42">
        <v>10930.67</v>
      </c>
      <c r="E42">
        <v>11940.84</v>
      </c>
      <c r="F42">
        <v>12192.41</v>
      </c>
      <c r="G42">
        <v>12380.7</v>
      </c>
      <c r="H42">
        <v>11982.9</v>
      </c>
      <c r="I42">
        <v>12652.75</v>
      </c>
      <c r="J42">
        <v>13291.39</v>
      </c>
      <c r="K42">
        <v>13675.46</v>
      </c>
    </row>
    <row r="43" spans="1:11" s="4" customFormat="1" x14ac:dyDescent="0.25">
      <c r="A43" s="4" t="s">
        <v>2</v>
      </c>
      <c r="B43">
        <v>7995.73</v>
      </c>
      <c r="C43">
        <v>8237.25</v>
      </c>
      <c r="D43">
        <v>8128.54</v>
      </c>
      <c r="E43">
        <v>8609.07</v>
      </c>
      <c r="F43">
        <v>9013.0300000000007</v>
      </c>
      <c r="G43">
        <v>8903.8700000000008</v>
      </c>
      <c r="H43">
        <v>8947.75</v>
      </c>
      <c r="I43">
        <v>9045.1299999999992</v>
      </c>
      <c r="J43">
        <v>9352.43</v>
      </c>
      <c r="K43">
        <v>9666.44</v>
      </c>
    </row>
    <row r="44" spans="1:11" s="4" customFormat="1" x14ac:dyDescent="0.25">
      <c r="A44" s="4" t="s">
        <v>4</v>
      </c>
      <c r="B44">
        <v>85.22</v>
      </c>
      <c r="C44">
        <v>173.88</v>
      </c>
      <c r="D44">
        <v>201.83</v>
      </c>
      <c r="E44">
        <v>-118.43</v>
      </c>
      <c r="F44">
        <v>293.61</v>
      </c>
      <c r="G44">
        <v>180.39</v>
      </c>
      <c r="H44">
        <v>504.3</v>
      </c>
      <c r="I44">
        <v>532.54999999999995</v>
      </c>
      <c r="J44">
        <v>354</v>
      </c>
      <c r="K44">
        <v>149.44999999999999</v>
      </c>
    </row>
    <row r="45" spans="1:11" s="4" customFormat="1" x14ac:dyDescent="0.25">
      <c r="A45" s="4" t="s">
        <v>5</v>
      </c>
      <c r="B45">
        <v>609.95000000000005</v>
      </c>
      <c r="C45">
        <v>659.95</v>
      </c>
      <c r="D45">
        <v>671.53</v>
      </c>
      <c r="E45">
        <v>651.32000000000005</v>
      </c>
      <c r="F45">
        <v>632.82000000000005</v>
      </c>
      <c r="G45">
        <v>622.14</v>
      </c>
      <c r="H45">
        <v>650.36</v>
      </c>
      <c r="I45">
        <v>655.13</v>
      </c>
      <c r="J45">
        <v>625.91</v>
      </c>
      <c r="K45">
        <v>630.55999999999995</v>
      </c>
    </row>
    <row r="46" spans="1:11" s="4" customFormat="1" x14ac:dyDescent="0.25">
      <c r="A46" s="4" t="s">
        <v>6</v>
      </c>
      <c r="B46">
        <v>19.39</v>
      </c>
      <c r="C46">
        <v>46.18</v>
      </c>
      <c r="D46">
        <v>92.74</v>
      </c>
      <c r="E46">
        <v>80.88</v>
      </c>
      <c r="F46">
        <v>49.29</v>
      </c>
      <c r="G46">
        <v>34.729999999999997</v>
      </c>
      <c r="H46">
        <v>73.569999999999993</v>
      </c>
      <c r="I46">
        <v>61.54</v>
      </c>
      <c r="J46">
        <v>69.17</v>
      </c>
      <c r="K46">
        <v>51.51</v>
      </c>
    </row>
    <row r="47" spans="1:11" s="4" customFormat="1" x14ac:dyDescent="0.25">
      <c r="A47" s="4" t="s">
        <v>7</v>
      </c>
      <c r="B47">
        <v>2412.4299999999998</v>
      </c>
      <c r="C47">
        <v>2471.4699999999998</v>
      </c>
      <c r="D47">
        <v>2239.69</v>
      </c>
      <c r="E47">
        <v>2481.14</v>
      </c>
      <c r="F47">
        <v>2790.88</v>
      </c>
      <c r="G47">
        <v>3000.35</v>
      </c>
      <c r="H47">
        <v>2815.52</v>
      </c>
      <c r="I47">
        <v>3423.5</v>
      </c>
      <c r="J47">
        <v>3597.88</v>
      </c>
      <c r="K47">
        <v>3476.4</v>
      </c>
    </row>
    <row r="48" spans="1:11" s="4" customFormat="1" x14ac:dyDescent="0.25">
      <c r="A48" s="4" t="s">
        <v>8</v>
      </c>
      <c r="B48">
        <v>152.26</v>
      </c>
      <c r="C48">
        <v>283.43</v>
      </c>
      <c r="D48">
        <v>222.91</v>
      </c>
      <c r="E48">
        <v>468.1</v>
      </c>
      <c r="F48">
        <v>390.1</v>
      </c>
      <c r="G48">
        <v>432.32</v>
      </c>
      <c r="H48">
        <v>148.93</v>
      </c>
      <c r="I48">
        <v>552.25</v>
      </c>
      <c r="J48">
        <v>567.21</v>
      </c>
      <c r="K48">
        <v>558.86</v>
      </c>
    </row>
    <row r="49" spans="1:11" s="4" customFormat="1" x14ac:dyDescent="0.25">
      <c r="A49" s="4" t="s">
        <v>9</v>
      </c>
      <c r="B49">
        <v>2262.2199999999998</v>
      </c>
      <c r="C49">
        <v>2166.0100000000002</v>
      </c>
      <c r="D49">
        <v>1984.47</v>
      </c>
      <c r="E49">
        <v>2022.54</v>
      </c>
      <c r="F49">
        <v>2375.5100000000002</v>
      </c>
      <c r="G49">
        <v>2523.75</v>
      </c>
      <c r="H49">
        <v>2654.58</v>
      </c>
      <c r="I49">
        <v>2835.62</v>
      </c>
      <c r="J49">
        <v>3040.16</v>
      </c>
      <c r="K49">
        <v>2903.38</v>
      </c>
    </row>
    <row r="50" spans="1:11" x14ac:dyDescent="0.25">
      <c r="A50" s="4" t="s">
        <v>3</v>
      </c>
      <c r="B50">
        <v>2956.55</v>
      </c>
      <c r="C50">
        <v>3003.72</v>
      </c>
      <c r="D50">
        <v>2802.13</v>
      </c>
      <c r="E50">
        <v>3331.77</v>
      </c>
      <c r="F50">
        <v>3179.38</v>
      </c>
      <c r="G50">
        <v>3476.83</v>
      </c>
      <c r="H50">
        <v>3035.15</v>
      </c>
      <c r="I50">
        <v>3607.62</v>
      </c>
      <c r="J50">
        <v>3938.96</v>
      </c>
      <c r="K50">
        <v>4009.02</v>
      </c>
    </row>
    <row r="51" spans="1:11" x14ac:dyDescent="0.25">
      <c r="A51" s="4"/>
    </row>
    <row r="52" spans="1:11" x14ac:dyDescent="0.25">
      <c r="A52" s="4"/>
    </row>
    <row r="53" spans="1:11" x14ac:dyDescent="0.25">
      <c r="A53" s="4"/>
    </row>
    <row r="54" spans="1:11" x14ac:dyDescent="0.25">
      <c r="A54" s="4"/>
    </row>
    <row r="55" spans="1:11" x14ac:dyDescent="0.25">
      <c r="A55" s="1" t="s">
        <v>25</v>
      </c>
    </row>
    <row r="56" spans="1:11" s="7" customFormat="1" x14ac:dyDescent="0.25">
      <c r="A56" s="6" t="s">
        <v>23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5">
      <c r="A57" s="4" t="s">
        <v>10</v>
      </c>
      <c r="B57">
        <v>207.12</v>
      </c>
      <c r="C57">
        <v>240.66</v>
      </c>
      <c r="D57">
        <v>239.93</v>
      </c>
      <c r="E57">
        <v>239.93</v>
      </c>
      <c r="F57">
        <v>239.93</v>
      </c>
      <c r="G57">
        <v>239.93</v>
      </c>
      <c r="H57">
        <v>239.93</v>
      </c>
      <c r="I57">
        <v>239.93</v>
      </c>
      <c r="J57">
        <v>239.93</v>
      </c>
      <c r="K57">
        <v>239.93</v>
      </c>
    </row>
    <row r="58" spans="1:11" x14ac:dyDescent="0.25">
      <c r="A58" s="4" t="s">
        <v>11</v>
      </c>
      <c r="B58">
        <v>25430.97</v>
      </c>
      <c r="C58">
        <v>32741.82</v>
      </c>
      <c r="D58">
        <v>36399.74</v>
      </c>
      <c r="E58">
        <v>38074.18</v>
      </c>
      <c r="F58">
        <v>41169.129999999997</v>
      </c>
      <c r="G58">
        <v>45024.52</v>
      </c>
      <c r="H58">
        <v>46222.85</v>
      </c>
      <c r="I58">
        <v>47771.29</v>
      </c>
      <c r="J58">
        <v>55755.45</v>
      </c>
      <c r="K58">
        <v>63426.82</v>
      </c>
    </row>
    <row r="59" spans="1:11" x14ac:dyDescent="0.25">
      <c r="A59" s="4" t="s">
        <v>35</v>
      </c>
      <c r="B59">
        <v>8996.11</v>
      </c>
      <c r="C59">
        <v>8496.76</v>
      </c>
      <c r="D59">
        <v>9831.77</v>
      </c>
      <c r="E59">
        <v>10385.27</v>
      </c>
      <c r="F59">
        <v>10514.36</v>
      </c>
      <c r="G59">
        <v>8314.8799999999992</v>
      </c>
      <c r="H59">
        <v>3868.58</v>
      </c>
      <c r="I59">
        <v>1290.3</v>
      </c>
      <c r="J59">
        <v>6885.87</v>
      </c>
      <c r="K59">
        <v>3273.67</v>
      </c>
    </row>
    <row r="60" spans="1:11" x14ac:dyDescent="0.25">
      <c r="A60" s="4" t="s">
        <v>36</v>
      </c>
      <c r="B60">
        <v>14088.99</v>
      </c>
      <c r="C60">
        <v>13948.26</v>
      </c>
      <c r="D60">
        <v>14624.01</v>
      </c>
      <c r="E60">
        <v>15598.01</v>
      </c>
      <c r="F60">
        <v>12666.11</v>
      </c>
      <c r="G60">
        <v>14614.99</v>
      </c>
      <c r="H60">
        <v>17290.86</v>
      </c>
      <c r="I60">
        <v>20474.39</v>
      </c>
      <c r="J60">
        <v>17830.650000000001</v>
      </c>
      <c r="K60">
        <v>18367.400000000001</v>
      </c>
    </row>
    <row r="61" spans="1:11" s="1" customFormat="1" x14ac:dyDescent="0.25">
      <c r="A61" s="1" t="s">
        <v>12</v>
      </c>
      <c r="B61">
        <v>48723.19</v>
      </c>
      <c r="C61">
        <v>55427.5</v>
      </c>
      <c r="D61">
        <v>61095.45</v>
      </c>
      <c r="E61">
        <v>64297.39</v>
      </c>
      <c r="F61">
        <v>64589.53</v>
      </c>
      <c r="G61">
        <v>68194.320000000007</v>
      </c>
      <c r="H61">
        <v>67622.22</v>
      </c>
      <c r="I61">
        <v>69775.91</v>
      </c>
      <c r="J61">
        <v>80711.899999999994</v>
      </c>
      <c r="K61">
        <v>85307.82</v>
      </c>
    </row>
    <row r="62" spans="1:11" x14ac:dyDescent="0.25">
      <c r="A62" s="4" t="s">
        <v>13</v>
      </c>
      <c r="B62">
        <v>12682.47</v>
      </c>
      <c r="C62">
        <v>15872.25</v>
      </c>
      <c r="D62">
        <v>17675.169999999998</v>
      </c>
      <c r="E62">
        <v>18852.650000000001</v>
      </c>
      <c r="F62">
        <v>21836.54</v>
      </c>
      <c r="G62">
        <v>22846.91</v>
      </c>
      <c r="H62">
        <v>21552.98</v>
      </c>
      <c r="I62">
        <v>22665.16</v>
      </c>
      <c r="J62">
        <v>24065.439999999999</v>
      </c>
      <c r="K62">
        <v>23211.38</v>
      </c>
    </row>
    <row r="63" spans="1:11" x14ac:dyDescent="0.25">
      <c r="A63" s="4" t="s">
        <v>14</v>
      </c>
      <c r="B63">
        <v>2038.61</v>
      </c>
      <c r="C63">
        <v>2175.4499999999998</v>
      </c>
      <c r="D63">
        <v>2801.38</v>
      </c>
      <c r="E63">
        <v>2465.16</v>
      </c>
      <c r="F63">
        <v>1411.15</v>
      </c>
      <c r="G63">
        <v>1220.3399999999999</v>
      </c>
      <c r="H63">
        <v>1566.83</v>
      </c>
      <c r="I63">
        <v>1286.8</v>
      </c>
      <c r="J63">
        <v>4973.16</v>
      </c>
      <c r="K63">
        <v>5353.88</v>
      </c>
    </row>
    <row r="64" spans="1:11" x14ac:dyDescent="0.25">
      <c r="A64" s="4" t="s">
        <v>15</v>
      </c>
      <c r="B64">
        <v>2716.3</v>
      </c>
      <c r="C64">
        <v>1829.88</v>
      </c>
      <c r="D64">
        <v>1191.8800000000001</v>
      </c>
      <c r="E64">
        <v>7142.87</v>
      </c>
      <c r="F64">
        <v>7902.53</v>
      </c>
      <c r="G64">
        <v>10143.11</v>
      </c>
      <c r="H64">
        <v>9612.4500000000007</v>
      </c>
      <c r="I64">
        <v>12848.59</v>
      </c>
      <c r="J64">
        <v>14824.34</v>
      </c>
      <c r="K64">
        <v>15025.77</v>
      </c>
    </row>
    <row r="65" spans="1:11" x14ac:dyDescent="0.25">
      <c r="A65" s="4" t="s">
        <v>37</v>
      </c>
      <c r="B65">
        <v>31285.81</v>
      </c>
      <c r="C65">
        <v>35549.919999999998</v>
      </c>
      <c r="D65">
        <v>39427.019999999997</v>
      </c>
      <c r="E65">
        <v>35836.71</v>
      </c>
      <c r="F65">
        <v>33439.31</v>
      </c>
      <c r="G65">
        <v>33983.96</v>
      </c>
      <c r="H65">
        <v>34889.96</v>
      </c>
      <c r="I65">
        <v>32975.360000000001</v>
      </c>
      <c r="J65">
        <v>36848.959999999999</v>
      </c>
      <c r="K65">
        <v>41716.79</v>
      </c>
    </row>
    <row r="66" spans="1:11" s="1" customFormat="1" x14ac:dyDescent="0.25">
      <c r="A66" s="1" t="s">
        <v>12</v>
      </c>
      <c r="B66">
        <v>48723.19</v>
      </c>
      <c r="C66">
        <v>55427.5</v>
      </c>
      <c r="D66">
        <v>61095.45</v>
      </c>
      <c r="E66">
        <v>64297.39</v>
      </c>
      <c r="F66">
        <v>64589.53</v>
      </c>
      <c r="G66">
        <v>68194.320000000007</v>
      </c>
      <c r="H66">
        <v>67622.22</v>
      </c>
      <c r="I66">
        <v>69775.91</v>
      </c>
      <c r="J66">
        <v>80711.899999999994</v>
      </c>
      <c r="K66">
        <v>85307.82</v>
      </c>
    </row>
    <row r="67" spans="1:11" s="4" customFormat="1" x14ac:dyDescent="0.25">
      <c r="A67" s="4" t="s">
        <v>42</v>
      </c>
      <c r="B67">
        <v>5106.13</v>
      </c>
      <c r="C67">
        <v>6775.66</v>
      </c>
      <c r="D67">
        <v>7202.61</v>
      </c>
      <c r="E67">
        <v>7815.28</v>
      </c>
      <c r="F67">
        <v>8884.2000000000007</v>
      </c>
      <c r="G67">
        <v>9421.24</v>
      </c>
      <c r="H67">
        <v>9061.4</v>
      </c>
      <c r="I67">
        <v>10484.59</v>
      </c>
      <c r="J67">
        <v>11438.51</v>
      </c>
      <c r="K67">
        <v>11249.37</v>
      </c>
    </row>
    <row r="68" spans="1:11" x14ac:dyDescent="0.25">
      <c r="A68" s="4" t="s">
        <v>29</v>
      </c>
      <c r="B68">
        <v>5667.99</v>
      </c>
      <c r="C68">
        <v>6422.54</v>
      </c>
      <c r="D68">
        <v>6832.81</v>
      </c>
      <c r="E68">
        <v>6880.69</v>
      </c>
      <c r="F68">
        <v>7885.98</v>
      </c>
      <c r="G68">
        <v>7874.99</v>
      </c>
      <c r="H68">
        <v>8997.02</v>
      </c>
      <c r="I68">
        <v>8925.1299999999992</v>
      </c>
      <c r="J68">
        <v>10513.05</v>
      </c>
      <c r="K68">
        <v>9868.2900000000009</v>
      </c>
    </row>
    <row r="69" spans="1:11" x14ac:dyDescent="0.25">
      <c r="A69" s="3" t="s">
        <v>51</v>
      </c>
      <c r="B69">
        <v>10998.04</v>
      </c>
      <c r="C69">
        <v>13181.65</v>
      </c>
      <c r="D69">
        <v>15140.84</v>
      </c>
      <c r="E69">
        <v>9929.3799999999992</v>
      </c>
      <c r="F69">
        <v>7275.6</v>
      </c>
      <c r="G69">
        <v>6487.55</v>
      </c>
      <c r="H69">
        <v>6445.51</v>
      </c>
      <c r="I69">
        <v>5033.3500000000004</v>
      </c>
      <c r="J69">
        <v>5770.29</v>
      </c>
      <c r="K69">
        <v>10520.68</v>
      </c>
    </row>
    <row r="70" spans="1:11" x14ac:dyDescent="0.25">
      <c r="A70" s="3" t="s">
        <v>38</v>
      </c>
      <c r="B70">
        <v>2071163910</v>
      </c>
      <c r="C70">
        <v>2406605118</v>
      </c>
      <c r="D70">
        <v>2399260815</v>
      </c>
      <c r="E70">
        <v>2399260815</v>
      </c>
      <c r="F70">
        <v>2399334970</v>
      </c>
      <c r="G70">
        <v>2399334970</v>
      </c>
      <c r="H70">
        <v>2399334970</v>
      </c>
      <c r="I70">
        <v>2399334970</v>
      </c>
      <c r="J70">
        <v>2399334970</v>
      </c>
      <c r="K70">
        <v>2399334970</v>
      </c>
    </row>
    <row r="71" spans="1:11" x14ac:dyDescent="0.25">
      <c r="A71" s="3" t="s">
        <v>39</v>
      </c>
    </row>
    <row r="72" spans="1:11" x14ac:dyDescent="0.25">
      <c r="A72" s="3" t="s">
        <v>52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4" spans="1:11" x14ac:dyDescent="0.25">
      <c r="A74" s="4"/>
    </row>
    <row r="75" spans="1:11" x14ac:dyDescent="0.25">
      <c r="A75" s="4"/>
    </row>
    <row r="76" spans="1:11" x14ac:dyDescent="0.25">
      <c r="A76" s="4"/>
    </row>
    <row r="77" spans="1:11" x14ac:dyDescent="0.25">
      <c r="A77" s="4"/>
    </row>
    <row r="78" spans="1:11" x14ac:dyDescent="0.25">
      <c r="A78" s="4"/>
    </row>
    <row r="79" spans="1:11" x14ac:dyDescent="0.25">
      <c r="A79" s="4"/>
    </row>
    <row r="80" spans="1:11" x14ac:dyDescent="0.25">
      <c r="A80" s="1" t="s">
        <v>26</v>
      </c>
    </row>
    <row r="81" spans="1:11" s="7" customFormat="1" x14ac:dyDescent="0.25">
      <c r="A81" s="6" t="s">
        <v>23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</row>
    <row r="82" spans="1:11" s="1" customFormat="1" x14ac:dyDescent="0.25">
      <c r="A82" s="4" t="s">
        <v>17</v>
      </c>
      <c r="B82">
        <v>5615.74</v>
      </c>
      <c r="C82">
        <v>6685.86</v>
      </c>
      <c r="D82">
        <v>7082.21</v>
      </c>
      <c r="E82">
        <v>3907.15</v>
      </c>
      <c r="F82">
        <v>2196.4499999999998</v>
      </c>
      <c r="G82">
        <v>6554.77</v>
      </c>
      <c r="H82">
        <v>6170.37</v>
      </c>
      <c r="I82">
        <v>8984.5400000000009</v>
      </c>
      <c r="J82">
        <v>4959.33</v>
      </c>
      <c r="K82">
        <v>12134.98</v>
      </c>
    </row>
    <row r="83" spans="1:11" s="4" customFormat="1" x14ac:dyDescent="0.25">
      <c r="A83" s="4" t="s">
        <v>18</v>
      </c>
      <c r="B83">
        <v>-1502.35</v>
      </c>
      <c r="C83">
        <v>-3949.13</v>
      </c>
      <c r="D83">
        <v>-4186.1499999999996</v>
      </c>
      <c r="E83">
        <v>-3103.8</v>
      </c>
      <c r="F83">
        <v>-310.08</v>
      </c>
      <c r="G83">
        <v>-2225.3200000000002</v>
      </c>
      <c r="H83">
        <v>406.53</v>
      </c>
      <c r="I83">
        <v>-5555.86</v>
      </c>
      <c r="J83">
        <v>-7219.92</v>
      </c>
      <c r="K83">
        <v>-762.9</v>
      </c>
    </row>
    <row r="84" spans="1:11" s="4" customFormat="1" x14ac:dyDescent="0.25">
      <c r="A84" s="4" t="s">
        <v>19</v>
      </c>
      <c r="B84">
        <v>-1186.53</v>
      </c>
      <c r="C84">
        <v>-1888.53</v>
      </c>
      <c r="D84">
        <v>-2285.39</v>
      </c>
      <c r="E84">
        <v>-1539.26</v>
      </c>
      <c r="F84">
        <v>-2730.52</v>
      </c>
      <c r="G84">
        <v>-5715.14</v>
      </c>
      <c r="H84">
        <v>-5980.48</v>
      </c>
      <c r="I84">
        <v>-5193.46</v>
      </c>
      <c r="J84">
        <v>2376.0700000000002</v>
      </c>
      <c r="K84">
        <v>-6710.16</v>
      </c>
    </row>
    <row r="85" spans="1:11" s="1" customFormat="1" x14ac:dyDescent="0.25">
      <c r="A85" s="4" t="s">
        <v>20</v>
      </c>
      <c r="B85">
        <v>2926.86</v>
      </c>
      <c r="C85">
        <v>848.2</v>
      </c>
      <c r="D85">
        <v>610.66999999999996</v>
      </c>
      <c r="E85">
        <v>-735.91</v>
      </c>
      <c r="F85">
        <v>-844.15</v>
      </c>
      <c r="G85">
        <v>-1385.69</v>
      </c>
      <c r="H85">
        <v>596.41999999999996</v>
      </c>
      <c r="I85">
        <v>-1764.78</v>
      </c>
      <c r="J85">
        <v>115.48</v>
      </c>
      <c r="K85">
        <v>4661.92</v>
      </c>
    </row>
    <row r="86" spans="1:11" x14ac:dyDescent="0.25">
      <c r="A86" s="4"/>
    </row>
    <row r="87" spans="1:11" x14ac:dyDescent="0.25">
      <c r="A87" s="4"/>
    </row>
    <row r="88" spans="1:11" x14ac:dyDescent="0.25">
      <c r="A88" s="4"/>
    </row>
    <row r="89" spans="1:11" x14ac:dyDescent="0.25">
      <c r="A89" s="4"/>
    </row>
    <row r="90" spans="1:11" s="1" customFormat="1" x14ac:dyDescent="0.25">
      <c r="A90" s="1" t="s">
        <v>41</v>
      </c>
      <c r="B90">
        <v>1023.9</v>
      </c>
      <c r="C90">
        <v>820</v>
      </c>
      <c r="D90">
        <v>688.15</v>
      </c>
      <c r="E90">
        <v>495.1</v>
      </c>
      <c r="F90">
        <v>478.85</v>
      </c>
      <c r="G90">
        <v>352.3</v>
      </c>
      <c r="H90">
        <v>597.79999999999995</v>
      </c>
      <c r="I90">
        <v>914.75</v>
      </c>
      <c r="J90">
        <v>983.1</v>
      </c>
      <c r="K90">
        <v>1620.55</v>
      </c>
    </row>
    <row r="92" spans="1:11" s="1" customFormat="1" x14ac:dyDescent="0.25">
      <c r="A92" s="1" t="s">
        <v>40</v>
      </c>
    </row>
    <row r="93" spans="1:11" x14ac:dyDescent="0.25">
      <c r="A93" s="3" t="s">
        <v>53</v>
      </c>
      <c r="B93" s="8">
        <v>207.12</v>
      </c>
      <c r="C93" s="8">
        <v>240.67</v>
      </c>
      <c r="D93" s="8">
        <v>239.93</v>
      </c>
      <c r="E93" s="8">
        <v>239.93</v>
      </c>
      <c r="F93" s="8">
        <v>239.93</v>
      </c>
      <c r="G93" s="8">
        <v>239.93</v>
      </c>
      <c r="H93" s="8">
        <v>239.93</v>
      </c>
      <c r="I93" s="8">
        <v>239.93</v>
      </c>
      <c r="J93" s="8">
        <v>239.93</v>
      </c>
      <c r="K93" s="8">
        <v>239.93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8B5D-20B0-489B-9F7B-BEEF6AB551EA}">
  <sheetPr>
    <pageSetUpPr fitToPage="1"/>
  </sheetPr>
  <dimension ref="A2:Q91"/>
  <sheetViews>
    <sheetView showGridLines="0" tabSelected="1" topLeftCell="A50" zoomScaleNormal="100" zoomScaleSheetLayoutView="118" workbookViewId="0">
      <selection activeCell="R86" sqref="R86"/>
    </sheetView>
  </sheetViews>
  <sheetFormatPr defaultRowHeight="15" x14ac:dyDescent="0.25"/>
  <cols>
    <col min="1" max="1" width="1.85546875" customWidth="1"/>
    <col min="2" max="2" width="13.7109375" customWidth="1"/>
    <col min="3" max="3" width="13.42578125" bestFit="1" customWidth="1"/>
    <col min="4" max="7" width="9.7109375" bestFit="1" customWidth="1"/>
    <col min="8" max="14" width="10" bestFit="1" customWidth="1"/>
    <col min="15" max="15" width="11.5703125" bestFit="1" customWidth="1"/>
    <col min="16" max="16" width="13.85546875" bestFit="1" customWidth="1"/>
    <col min="17" max="17" width="10.42578125" bestFit="1" customWidth="1"/>
    <col min="18" max="19" width="9.7109375" bestFit="1" customWidth="1"/>
    <col min="20" max="20" width="9.28515625" bestFit="1" customWidth="1"/>
  </cols>
  <sheetData>
    <row r="2" spans="1:14" ht="19.5" x14ac:dyDescent="0.3">
      <c r="B2" s="108" t="str">
        <f>"DCF MODEL -"&amp;'Data Sheet'!B1</f>
        <v>DCF MODEL -SUN PHARMACEUTICAL INDUSTRIES LTD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</row>
    <row r="4" spans="1:14" x14ac:dyDescent="0.25">
      <c r="A4" t="s">
        <v>54</v>
      </c>
      <c r="B4" t="s">
        <v>55</v>
      </c>
      <c r="C4" s="101" t="s">
        <v>59</v>
      </c>
      <c r="E4" t="s">
        <v>57</v>
      </c>
      <c r="G4" s="52">
        <f>N77</f>
        <v>679.103093393412</v>
      </c>
      <c r="H4" s="107" t="s">
        <v>209</v>
      </c>
      <c r="I4" s="107"/>
      <c r="J4" s="107"/>
      <c r="K4" s="95">
        <f>G5-G4</f>
        <v>1150.8969066065879</v>
      </c>
    </row>
    <row r="5" spans="1:14" x14ac:dyDescent="0.25">
      <c r="B5" t="s">
        <v>56</v>
      </c>
      <c r="C5" s="102">
        <v>45776</v>
      </c>
      <c r="E5" t="s">
        <v>58</v>
      </c>
      <c r="G5" s="62">
        <v>1830</v>
      </c>
      <c r="H5" s="107" t="s">
        <v>203</v>
      </c>
      <c r="I5" s="107"/>
      <c r="J5" s="107"/>
      <c r="K5" s="88">
        <f>-(G4/G5-1)</f>
        <v>0.62890541344622297</v>
      </c>
    </row>
    <row r="7" spans="1:14" x14ac:dyDescent="0.25">
      <c r="B7" s="87" t="s">
        <v>207</v>
      </c>
    </row>
    <row r="8" spans="1:14" x14ac:dyDescent="0.25">
      <c r="A8" t="s">
        <v>63</v>
      </c>
      <c r="B8" s="2" t="s">
        <v>206</v>
      </c>
    </row>
    <row r="9" spans="1:14" ht="4.5" customHeight="1" x14ac:dyDescent="0.25">
      <c r="B9" s="2"/>
    </row>
    <row r="10" spans="1:14" x14ac:dyDescent="0.25">
      <c r="B10" t="s">
        <v>62</v>
      </c>
      <c r="D10" s="21">
        <f>WACC!M34</f>
        <v>0.12212281999550885</v>
      </c>
      <c r="F10" s="106" t="s">
        <v>71</v>
      </c>
      <c r="G10" s="106"/>
      <c r="H10" s="106"/>
      <c r="I10" s="21">
        <f>'Growth Rate'!H59</f>
        <v>5.5991147345622379E-3</v>
      </c>
      <c r="K10" t="s">
        <v>158</v>
      </c>
      <c r="M10" s="21">
        <f>AVERAGE(E22:I22)</f>
        <v>0.15576524484134052</v>
      </c>
    </row>
    <row r="11" spans="1:14" x14ac:dyDescent="0.25">
      <c r="B11" t="s">
        <v>64</v>
      </c>
      <c r="D11" s="60">
        <v>5.8999999999999997E-2</v>
      </c>
      <c r="F11" s="106" t="s">
        <v>157</v>
      </c>
      <c r="G11" s="106"/>
      <c r="H11" s="106"/>
      <c r="I11" s="61">
        <v>0.08</v>
      </c>
    </row>
    <row r="12" spans="1:14" x14ac:dyDescent="0.25">
      <c r="D12" s="19"/>
    </row>
    <row r="13" spans="1:14" x14ac:dyDescent="0.25">
      <c r="I13" s="63">
        <v>1</v>
      </c>
      <c r="J13" s="63">
        <v>2</v>
      </c>
      <c r="K13" s="63">
        <v>3</v>
      </c>
      <c r="L13" s="63">
        <v>4</v>
      </c>
      <c r="M13" s="63">
        <v>5</v>
      </c>
    </row>
    <row r="14" spans="1:14" x14ac:dyDescent="0.25">
      <c r="A14" t="s">
        <v>63</v>
      </c>
      <c r="B14" s="9" t="s">
        <v>61</v>
      </c>
      <c r="C14" s="9"/>
      <c r="D14" s="9"/>
      <c r="E14" s="9">
        <v>2020</v>
      </c>
      <c r="F14" s="9">
        <f>E14+1</f>
        <v>2021</v>
      </c>
      <c r="G14" s="9">
        <f t="shared" ref="G14:N14" si="0">F14+1</f>
        <v>2022</v>
      </c>
      <c r="H14" s="9">
        <f t="shared" si="0"/>
        <v>2023</v>
      </c>
      <c r="I14" s="9">
        <f t="shared" si="0"/>
        <v>2024</v>
      </c>
      <c r="J14" s="10">
        <f t="shared" si="0"/>
        <v>2025</v>
      </c>
      <c r="K14" s="10">
        <f t="shared" si="0"/>
        <v>2026</v>
      </c>
      <c r="L14" s="10">
        <f t="shared" si="0"/>
        <v>2027</v>
      </c>
      <c r="M14" s="10">
        <f t="shared" si="0"/>
        <v>2028</v>
      </c>
      <c r="N14" s="10">
        <f t="shared" si="0"/>
        <v>2029</v>
      </c>
    </row>
    <row r="16" spans="1:14" x14ac:dyDescent="0.25">
      <c r="B16" t="s">
        <v>65</v>
      </c>
      <c r="E16" s="44">
        <f>'Data Sheet'!$G$17</f>
        <v>32837.5</v>
      </c>
      <c r="F16" s="44">
        <f>'Data Sheet'!H17</f>
        <v>33498.14</v>
      </c>
      <c r="G16" s="44">
        <f>'Data Sheet'!I17</f>
        <v>38654.49</v>
      </c>
      <c r="H16" s="44">
        <f>'Data Sheet'!J17</f>
        <v>43885.68</v>
      </c>
      <c r="I16" s="44">
        <f>'Data Sheet'!K17</f>
        <v>48496.85</v>
      </c>
      <c r="J16" s="44">
        <f>I16*(1+$I$10)</f>
        <v>48768.389427414855</v>
      </c>
      <c r="K16" s="44">
        <f>J16*(1+K17)</f>
        <v>49767.122869918698</v>
      </c>
      <c r="L16" s="44">
        <f t="shared" ref="L16:N16" si="1">K16*(1+L17)</f>
        <v>51526.844277485208</v>
      </c>
      <c r="M16" s="44">
        <f t="shared" si="1"/>
        <v>54115.507319051707</v>
      </c>
      <c r="N16" s="44">
        <f t="shared" si="1"/>
        <v>57639.461249080079</v>
      </c>
    </row>
    <row r="17" spans="1:15" x14ac:dyDescent="0.25">
      <c r="B17" t="s">
        <v>66</v>
      </c>
      <c r="E17" s="45"/>
      <c r="F17" s="46">
        <f>F16/E16-1</f>
        <v>2.0118462124095959E-2</v>
      </c>
      <c r="G17" s="46">
        <f t="shared" ref="G17:J17" si="2">G16/F16-1</f>
        <v>0.15392944205260339</v>
      </c>
      <c r="H17" s="46">
        <f t="shared" si="2"/>
        <v>0.1353320144697292</v>
      </c>
      <c r="I17" s="46">
        <f t="shared" si="2"/>
        <v>0.10507231516066295</v>
      </c>
      <c r="J17" s="46">
        <f t="shared" si="2"/>
        <v>5.599114734562205E-3</v>
      </c>
      <c r="K17" s="46">
        <f>MIN($I$11, J17 + 1.488%)</f>
        <v>2.0479114734562202E-2</v>
      </c>
      <c r="L17" s="46">
        <f t="shared" ref="L17:N17" si="3">MIN($I$11, K17 + 1.488%)</f>
        <v>3.53591147345622E-2</v>
      </c>
      <c r="M17" s="46">
        <f t="shared" si="3"/>
        <v>5.0239114734562197E-2</v>
      </c>
      <c r="N17" s="46">
        <f t="shared" si="3"/>
        <v>6.5119114734562195E-2</v>
      </c>
      <c r="O17" s="11"/>
    </row>
    <row r="18" spans="1:15" x14ac:dyDescent="0.25">
      <c r="E18" s="45"/>
      <c r="F18" s="45"/>
      <c r="G18" s="45"/>
      <c r="H18" s="45"/>
      <c r="I18" s="45"/>
      <c r="J18" s="45"/>
      <c r="K18" s="45"/>
      <c r="L18" s="45"/>
      <c r="M18" s="45"/>
      <c r="N18" s="45"/>
    </row>
    <row r="19" spans="1:15" x14ac:dyDescent="0.25">
      <c r="B19" t="s">
        <v>67</v>
      </c>
      <c r="E19" s="48">
        <f>'Data Sheet'!G33</f>
        <v>5312.32</v>
      </c>
      <c r="F19" s="48">
        <f>'Data Sheet'!H33</f>
        <v>2940.7999999999997</v>
      </c>
      <c r="G19" s="48">
        <f>'Data Sheet'!I33</f>
        <v>4608.67</v>
      </c>
      <c r="H19" s="48">
        <f>'Data Sheet'!J33</f>
        <v>9580.43</v>
      </c>
      <c r="I19" s="48">
        <f>'Data Sheet'!K33</f>
        <v>11326.359999999999</v>
      </c>
      <c r="J19" s="48">
        <f>I19*(1+J17)</f>
        <v>11389.777589164954</v>
      </c>
      <c r="K19" s="48">
        <f t="shared" ref="K19:N19" si="4">J19*(1+K17)</f>
        <v>11623.030151214609</v>
      </c>
      <c r="L19" s="48">
        <f t="shared" si="4"/>
        <v>12034.010207894682</v>
      </c>
      <c r="M19" s="48">
        <f t="shared" si="4"/>
        <v>12638.588227445996</v>
      </c>
      <c r="N19" s="48">
        <f t="shared" si="4"/>
        <v>13461.60190431194</v>
      </c>
    </row>
    <row r="20" spans="1:15" x14ac:dyDescent="0.25">
      <c r="B20" t="s">
        <v>68</v>
      </c>
      <c r="E20" s="46">
        <f>E19/E16</f>
        <v>0.16177601827179292</v>
      </c>
      <c r="F20" s="46">
        <f t="shared" ref="F20:N20" si="5">F19/F16</f>
        <v>8.778994893447814E-2</v>
      </c>
      <c r="G20" s="46">
        <f t="shared" si="5"/>
        <v>0.11922728769672036</v>
      </c>
      <c r="H20" s="46">
        <f t="shared" si="5"/>
        <v>0.21830423956060382</v>
      </c>
      <c r="I20" s="46">
        <f t="shared" si="5"/>
        <v>0.23354836448140445</v>
      </c>
      <c r="J20" s="46">
        <f>J19/J16</f>
        <v>0.23354836448140442</v>
      </c>
      <c r="K20" s="46">
        <f t="shared" si="5"/>
        <v>0.2335483644814044</v>
      </c>
      <c r="L20" s="46">
        <f t="shared" si="5"/>
        <v>0.2335483644814044</v>
      </c>
      <c r="M20" s="46">
        <f t="shared" si="5"/>
        <v>0.23354836448140442</v>
      </c>
      <c r="N20" s="46">
        <f t="shared" si="5"/>
        <v>0.2335483644814044</v>
      </c>
    </row>
    <row r="21" spans="1:15" x14ac:dyDescent="0.25"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5" x14ac:dyDescent="0.25">
      <c r="B22" t="s">
        <v>158</v>
      </c>
      <c r="E22" s="46">
        <f>E24/E19</f>
        <v>0.15488524787663394</v>
      </c>
      <c r="F22" s="46">
        <f t="shared" ref="F22:I22" si="6">F24/F19</f>
        <v>0.17501700217627861</v>
      </c>
      <c r="G22" s="46">
        <f t="shared" si="6"/>
        <v>0.23336450646281898</v>
      </c>
      <c r="H22" s="46">
        <f t="shared" si="6"/>
        <v>8.8470976772441326E-2</v>
      </c>
      <c r="I22" s="46">
        <f t="shared" si="6"/>
        <v>0.12708849091852989</v>
      </c>
      <c r="J22" s="46">
        <f>M10</f>
        <v>0.15576524484134052</v>
      </c>
      <c r="K22" s="46">
        <f>J22</f>
        <v>0.15576524484134052</v>
      </c>
      <c r="L22" s="46">
        <f t="shared" ref="L22:N22" si="7">K22</f>
        <v>0.15576524484134052</v>
      </c>
      <c r="M22" s="46">
        <f t="shared" si="7"/>
        <v>0.15576524484134052</v>
      </c>
      <c r="N22" s="46">
        <f t="shared" si="7"/>
        <v>0.15576524484134052</v>
      </c>
    </row>
    <row r="23" spans="1:15" x14ac:dyDescent="0.25">
      <c r="E23" s="45"/>
      <c r="F23" s="45"/>
      <c r="G23" s="45"/>
      <c r="H23" s="45"/>
      <c r="I23" s="45"/>
      <c r="J23" s="45"/>
      <c r="K23" s="45"/>
      <c r="L23" s="45"/>
      <c r="M23" s="45"/>
      <c r="N23" s="45"/>
    </row>
    <row r="24" spans="1:15" x14ac:dyDescent="0.25">
      <c r="B24" t="s">
        <v>69</v>
      </c>
      <c r="E24" s="44">
        <f>'Data Sheet'!G29</f>
        <v>822.8</v>
      </c>
      <c r="F24" s="44">
        <f>'Data Sheet'!H29</f>
        <v>514.69000000000005</v>
      </c>
      <c r="G24" s="44">
        <f>'Data Sheet'!I29</f>
        <v>1075.5</v>
      </c>
      <c r="H24" s="44">
        <f>'Data Sheet'!J29</f>
        <v>847.59</v>
      </c>
      <c r="I24" s="44">
        <f>'Data Sheet'!K29</f>
        <v>1439.45</v>
      </c>
      <c r="J24" s="48">
        <f>J19*$M$10</f>
        <v>1774.1314948646923</v>
      </c>
      <c r="K24" s="48">
        <f>K19*$M$10</f>
        <v>1810.4641373022266</v>
      </c>
      <c r="L24" s="48">
        <f>L19*$M$10</f>
        <v>1874.4805464559063</v>
      </c>
      <c r="M24" s="48">
        <f>M19*$M$10</f>
        <v>1968.6527896970094</v>
      </c>
      <c r="N24" s="48">
        <f>N19*$M$10</f>
        <v>2096.8497165818053</v>
      </c>
      <c r="O24" s="12"/>
    </row>
    <row r="25" spans="1:15" x14ac:dyDescent="0.25">
      <c r="B25" t="s">
        <v>68</v>
      </c>
      <c r="E25" s="46">
        <f>E24/E16</f>
        <v>2.5056718690521507E-2</v>
      </c>
      <c r="F25" s="46">
        <f t="shared" ref="F25:H25" si="8">F24/F16</f>
        <v>1.5364733683720948E-2</v>
      </c>
      <c r="G25" s="46">
        <f t="shared" si="8"/>
        <v>2.7823417150245677E-2</v>
      </c>
      <c r="H25" s="46">
        <f t="shared" si="8"/>
        <v>1.9313589307491646E-2</v>
      </c>
      <c r="I25" s="46">
        <f>I24/I16</f>
        <v>2.9681309198432478E-2</v>
      </c>
      <c r="J25" s="46">
        <f t="shared" ref="J25:N25" si="9">J24/J16</f>
        <v>3.6378718175740593E-2</v>
      </c>
      <c r="K25" s="46">
        <f t="shared" si="9"/>
        <v>3.6378718175740593E-2</v>
      </c>
      <c r="L25" s="46">
        <f t="shared" si="9"/>
        <v>3.6378718175740593E-2</v>
      </c>
      <c r="M25" s="46">
        <f t="shared" si="9"/>
        <v>3.6378718175740593E-2</v>
      </c>
      <c r="N25" s="46">
        <f t="shared" si="9"/>
        <v>3.63787181757406E-2</v>
      </c>
    </row>
    <row r="27" spans="1:15" x14ac:dyDescent="0.25">
      <c r="A27" t="s">
        <v>63</v>
      </c>
      <c r="B27" s="9" t="s">
        <v>60</v>
      </c>
      <c r="C27" s="9"/>
      <c r="D27" s="9"/>
      <c r="E27" s="9">
        <f>E14</f>
        <v>2020</v>
      </c>
      <c r="F27" s="9">
        <f t="shared" ref="F27:I27" si="10">F14</f>
        <v>2021</v>
      </c>
      <c r="G27" s="9">
        <f t="shared" si="10"/>
        <v>2022</v>
      </c>
      <c r="H27" s="9">
        <f t="shared" si="10"/>
        <v>2023</v>
      </c>
      <c r="I27" s="9">
        <f t="shared" si="10"/>
        <v>2024</v>
      </c>
      <c r="J27" s="10">
        <f t="shared" ref="J27" si="11">I27+1</f>
        <v>2025</v>
      </c>
      <c r="K27" s="10">
        <f t="shared" ref="K27" si="12">J27+1</f>
        <v>2026</v>
      </c>
      <c r="L27" s="10">
        <f t="shared" ref="L27" si="13">K27+1</f>
        <v>2027</v>
      </c>
      <c r="M27" s="10">
        <f t="shared" ref="M27" si="14">L27+1</f>
        <v>2028</v>
      </c>
      <c r="N27" s="10">
        <f t="shared" ref="N27" si="15">M27+1</f>
        <v>2029</v>
      </c>
    </row>
    <row r="29" spans="1:15" x14ac:dyDescent="0.25">
      <c r="B29" t="s">
        <v>154</v>
      </c>
      <c r="E29" s="44">
        <f>'Data Sheet'!G26</f>
        <v>2052.7800000000002</v>
      </c>
      <c r="F29" s="44">
        <f>'Data Sheet'!H26</f>
        <v>2079.9499999999998</v>
      </c>
      <c r="G29" s="44">
        <f>'Data Sheet'!I26</f>
        <v>2143.7399999999998</v>
      </c>
      <c r="H29" s="44">
        <f>'Data Sheet'!J26</f>
        <v>2529.4299999999998</v>
      </c>
      <c r="I29" s="44">
        <f>'Data Sheet'!K26</f>
        <v>2556.64</v>
      </c>
      <c r="J29" s="45"/>
      <c r="K29" s="45"/>
      <c r="L29" s="45"/>
      <c r="M29" s="45"/>
      <c r="N29" s="45"/>
    </row>
    <row r="30" spans="1:15" x14ac:dyDescent="0.25">
      <c r="B30" t="s">
        <v>68</v>
      </c>
      <c r="E30" s="46">
        <f>E29/E16</f>
        <v>6.2513285116102019E-2</v>
      </c>
      <c r="F30" s="46">
        <f t="shared" ref="F30:I30" si="16">F29/F16</f>
        <v>6.2091507170248854E-2</v>
      </c>
      <c r="G30" s="46">
        <f t="shared" si="16"/>
        <v>5.5459016533396244E-2</v>
      </c>
      <c r="H30" s="46">
        <f t="shared" si="16"/>
        <v>5.7636796330830464E-2</v>
      </c>
      <c r="I30" s="46">
        <f t="shared" si="16"/>
        <v>5.2717650734016741E-2</v>
      </c>
      <c r="J30" s="45"/>
      <c r="K30" s="45"/>
      <c r="L30" s="45"/>
      <c r="M30" s="45"/>
      <c r="N30" s="45"/>
    </row>
    <row r="31" spans="1:15" x14ac:dyDescent="0.25">
      <c r="E31" s="45"/>
      <c r="F31" s="45"/>
      <c r="G31" s="45"/>
      <c r="H31" s="45"/>
      <c r="I31" s="45"/>
      <c r="J31" s="45"/>
      <c r="K31" s="45"/>
      <c r="L31" s="45"/>
      <c r="M31" s="45"/>
      <c r="N31" s="45"/>
    </row>
    <row r="32" spans="1:15" x14ac:dyDescent="0.25">
      <c r="B32" t="s">
        <v>155</v>
      </c>
      <c r="E32" s="49">
        <f>-('Raw BS'!B54)</f>
        <v>1542</v>
      </c>
      <c r="F32" s="49">
        <f>-('Raw BS'!C54)</f>
        <v>1170</v>
      </c>
      <c r="G32" s="49">
        <f>-('Raw BS'!D54)</f>
        <v>1495</v>
      </c>
      <c r="H32" s="49">
        <f>-('Raw BS'!E54)</f>
        <v>2086</v>
      </c>
      <c r="I32" s="49">
        <f>-('Raw BS'!F54)</f>
        <v>2202</v>
      </c>
      <c r="J32" s="45"/>
      <c r="K32" s="45"/>
      <c r="L32" s="45"/>
      <c r="M32" s="45"/>
      <c r="N32" s="45"/>
    </row>
    <row r="33" spans="1:14" x14ac:dyDescent="0.25">
      <c r="B33" t="s">
        <v>68</v>
      </c>
      <c r="E33" s="46">
        <f>E32/E16</f>
        <v>4.6958507803578228E-2</v>
      </c>
      <c r="F33" s="46">
        <f t="shared" ref="F33:I33" si="17">F32/F16</f>
        <v>3.4927312382120324E-2</v>
      </c>
      <c r="G33" s="46">
        <f t="shared" si="17"/>
        <v>3.8675972700713428E-2</v>
      </c>
      <c r="H33" s="46">
        <f t="shared" si="17"/>
        <v>4.7532589218168657E-2</v>
      </c>
      <c r="I33" s="46">
        <f t="shared" si="17"/>
        <v>4.5405010840910288E-2</v>
      </c>
      <c r="J33" s="45"/>
      <c r="K33" s="45"/>
      <c r="L33" s="45"/>
      <c r="M33" s="45"/>
      <c r="N33" s="45"/>
    </row>
    <row r="34" spans="1:14" x14ac:dyDescent="0.25">
      <c r="E34" s="45"/>
      <c r="F34" s="45"/>
      <c r="G34" s="45"/>
      <c r="H34" s="45"/>
      <c r="I34" s="45"/>
      <c r="J34" s="45"/>
      <c r="K34" s="45"/>
      <c r="L34" s="45"/>
      <c r="M34" s="45"/>
      <c r="N34" s="45"/>
    </row>
    <row r="35" spans="1:14" x14ac:dyDescent="0.25">
      <c r="B35" t="s">
        <v>156</v>
      </c>
      <c r="E35" s="50">
        <f>'Growth Rate'!D43</f>
        <v>-858</v>
      </c>
      <c r="F35" s="50">
        <f>'Growth Rate'!E43</f>
        <v>-2613</v>
      </c>
      <c r="G35" s="50">
        <f>'Growth Rate'!F43</f>
        <v>-5061</v>
      </c>
      <c r="H35" s="50">
        <f>'Growth Rate'!G43</f>
        <v>6783</v>
      </c>
      <c r="I35" s="50">
        <f>'Growth Rate'!H43</f>
        <v>4450</v>
      </c>
      <c r="J35" s="45"/>
      <c r="K35" s="45"/>
      <c r="L35" s="45"/>
      <c r="M35" s="45"/>
      <c r="N35" s="45"/>
    </row>
    <row r="36" spans="1:14" x14ac:dyDescent="0.25">
      <c r="B36" t="s">
        <v>68</v>
      </c>
      <c r="E36" s="51">
        <f>E35/E16</f>
        <v>-2.612866387514275E-2</v>
      </c>
      <c r="F36" s="51">
        <f t="shared" ref="F36:I36" si="18">F35/F16</f>
        <v>-7.8004330986735385E-2</v>
      </c>
      <c r="G36" s="51">
        <f t="shared" si="18"/>
        <v>-0.1309291624336526</v>
      </c>
      <c r="H36" s="51">
        <f t="shared" si="18"/>
        <v>0.15456066762552159</v>
      </c>
      <c r="I36" s="51">
        <f t="shared" si="18"/>
        <v>9.1758536894664289E-2</v>
      </c>
      <c r="J36" s="45"/>
      <c r="K36" s="45"/>
      <c r="L36" s="45"/>
      <c r="M36" s="45"/>
      <c r="N36" s="45"/>
    </row>
    <row r="37" spans="1:14" ht="0.75" customHeight="1" x14ac:dyDescent="0.25">
      <c r="E37" s="22"/>
      <c r="F37" s="22"/>
      <c r="G37" s="22"/>
      <c r="H37" s="22"/>
      <c r="I37" s="22"/>
    </row>
    <row r="38" spans="1:14" x14ac:dyDescent="0.25">
      <c r="I38" s="64">
        <v>0</v>
      </c>
      <c r="J38" s="64">
        <v>1</v>
      </c>
      <c r="K38" s="64">
        <v>2</v>
      </c>
      <c r="L38" s="64">
        <v>3</v>
      </c>
      <c r="M38" s="64">
        <v>4</v>
      </c>
      <c r="N38" s="64">
        <v>5</v>
      </c>
    </row>
    <row r="39" spans="1:14" x14ac:dyDescent="0.25">
      <c r="A39" t="s">
        <v>63</v>
      </c>
      <c r="B39" s="9" t="s">
        <v>194</v>
      </c>
      <c r="C39" s="9"/>
      <c r="D39" s="9"/>
      <c r="E39" s="9">
        <v>2020</v>
      </c>
      <c r="F39" s="9">
        <f>E39+1</f>
        <v>2021</v>
      </c>
      <c r="G39" s="9">
        <f t="shared" ref="G39" si="19">F39+1</f>
        <v>2022</v>
      </c>
      <c r="H39" s="9">
        <f t="shared" ref="H39" si="20">G39+1</f>
        <v>2023</v>
      </c>
      <c r="I39" s="9">
        <f t="shared" ref="I39" si="21">H39+1</f>
        <v>2024</v>
      </c>
      <c r="J39" s="10">
        <f t="shared" ref="J39" si="22">I39+1</f>
        <v>2025</v>
      </c>
      <c r="K39" s="10">
        <f t="shared" ref="K39" si="23">J39+1</f>
        <v>2026</v>
      </c>
      <c r="L39" s="10">
        <f t="shared" ref="L39" si="24">K39+1</f>
        <v>2027</v>
      </c>
      <c r="M39" s="10">
        <f t="shared" ref="M39" si="25">L39+1</f>
        <v>2028</v>
      </c>
      <c r="N39" s="10">
        <f t="shared" ref="N39" si="26">M39+1</f>
        <v>2029</v>
      </c>
    </row>
    <row r="41" spans="1:14" x14ac:dyDescent="0.25">
      <c r="B41" t="s">
        <v>65</v>
      </c>
      <c r="E41" s="44">
        <f t="shared" ref="E41:N41" si="27">E16</f>
        <v>32837.5</v>
      </c>
      <c r="F41" s="44">
        <f t="shared" si="27"/>
        <v>33498.14</v>
      </c>
      <c r="G41" s="44">
        <f t="shared" si="27"/>
        <v>38654.49</v>
      </c>
      <c r="H41" s="44">
        <f t="shared" si="27"/>
        <v>43885.68</v>
      </c>
      <c r="I41" s="44">
        <f t="shared" si="27"/>
        <v>48496.85</v>
      </c>
      <c r="J41" s="44">
        <f t="shared" si="27"/>
        <v>48768.389427414855</v>
      </c>
      <c r="K41" s="44">
        <f t="shared" si="27"/>
        <v>49767.122869918698</v>
      </c>
      <c r="L41" s="44">
        <f t="shared" si="27"/>
        <v>51526.844277485208</v>
      </c>
      <c r="M41" s="44">
        <f t="shared" si="27"/>
        <v>54115.507319051707</v>
      </c>
      <c r="N41" s="44">
        <f t="shared" si="27"/>
        <v>57639.461249080079</v>
      </c>
    </row>
    <row r="42" spans="1:14" x14ac:dyDescent="0.25">
      <c r="B42" t="s">
        <v>66</v>
      </c>
      <c r="E42" s="45"/>
      <c r="F42" s="46">
        <f>F41/E41-1</f>
        <v>2.0118462124095959E-2</v>
      </c>
      <c r="G42" s="46">
        <f t="shared" ref="G42" si="28">G41/F41-1</f>
        <v>0.15392944205260339</v>
      </c>
      <c r="H42" s="46">
        <f t="shared" ref="H42" si="29">H41/G41-1</f>
        <v>0.1353320144697292</v>
      </c>
      <c r="I42" s="46">
        <f t="shared" ref="I42" si="30">I41/H41-1</f>
        <v>0.10507231516066295</v>
      </c>
      <c r="J42" s="47">
        <f>J17</f>
        <v>5.599114734562205E-3</v>
      </c>
      <c r="K42" s="47">
        <f>K17</f>
        <v>2.0479114734562202E-2</v>
      </c>
      <c r="L42" s="47">
        <f>L17</f>
        <v>3.53591147345622E-2</v>
      </c>
      <c r="M42" s="47">
        <f>M17</f>
        <v>5.0239114734562197E-2</v>
      </c>
      <c r="N42" s="47">
        <f>N17</f>
        <v>6.5119114734562195E-2</v>
      </c>
    </row>
    <row r="43" spans="1:14" x14ac:dyDescent="0.25">
      <c r="E43" s="45"/>
      <c r="F43" s="45"/>
      <c r="G43" s="45"/>
      <c r="H43" s="45"/>
      <c r="I43" s="45"/>
      <c r="J43" s="45"/>
      <c r="K43" s="45"/>
      <c r="L43" s="45"/>
      <c r="M43" s="45"/>
      <c r="N43" s="45"/>
    </row>
    <row r="44" spans="1:14" x14ac:dyDescent="0.25">
      <c r="B44" t="s">
        <v>67</v>
      </c>
      <c r="E44" s="48">
        <f t="shared" ref="E44:N44" si="31">E19</f>
        <v>5312.32</v>
      </c>
      <c r="F44" s="48">
        <f t="shared" si="31"/>
        <v>2940.7999999999997</v>
      </c>
      <c r="G44" s="48">
        <f t="shared" si="31"/>
        <v>4608.67</v>
      </c>
      <c r="H44" s="48">
        <f t="shared" si="31"/>
        <v>9580.43</v>
      </c>
      <c r="I44" s="48">
        <f t="shared" si="31"/>
        <v>11326.359999999999</v>
      </c>
      <c r="J44" s="48">
        <f t="shared" si="31"/>
        <v>11389.777589164954</v>
      </c>
      <c r="K44" s="48">
        <f t="shared" si="31"/>
        <v>11623.030151214609</v>
      </c>
      <c r="L44" s="48">
        <f t="shared" si="31"/>
        <v>12034.010207894682</v>
      </c>
      <c r="M44" s="48">
        <f t="shared" si="31"/>
        <v>12638.588227445996</v>
      </c>
      <c r="N44" s="48">
        <f t="shared" si="31"/>
        <v>13461.60190431194</v>
      </c>
    </row>
    <row r="45" spans="1:14" x14ac:dyDescent="0.25">
      <c r="B45" t="s">
        <v>68</v>
      </c>
      <c r="E45" s="46">
        <f>E44/E41</f>
        <v>0.16177601827179292</v>
      </c>
      <c r="F45" s="46">
        <f t="shared" ref="F45:I45" si="32">F44/F41</f>
        <v>8.778994893447814E-2</v>
      </c>
      <c r="G45" s="46">
        <f t="shared" si="32"/>
        <v>0.11922728769672036</v>
      </c>
      <c r="H45" s="46">
        <f t="shared" si="32"/>
        <v>0.21830423956060382</v>
      </c>
      <c r="I45" s="46">
        <f t="shared" si="32"/>
        <v>0.23354836448140445</v>
      </c>
      <c r="J45" s="47">
        <f>J20</f>
        <v>0.23354836448140442</v>
      </c>
      <c r="K45" s="47">
        <f>K20</f>
        <v>0.2335483644814044</v>
      </c>
      <c r="L45" s="47">
        <f>L20</f>
        <v>0.2335483644814044</v>
      </c>
      <c r="M45" s="47">
        <f>M20</f>
        <v>0.23354836448140442</v>
      </c>
      <c r="N45" s="47">
        <f>N20</f>
        <v>0.2335483644814044</v>
      </c>
    </row>
    <row r="46" spans="1:14" x14ac:dyDescent="0.25">
      <c r="E46" s="45"/>
      <c r="F46" s="45"/>
      <c r="G46" s="45"/>
      <c r="H46" s="45"/>
      <c r="I46" s="45"/>
      <c r="J46" s="45"/>
      <c r="K46" s="45"/>
      <c r="L46" s="45"/>
      <c r="M46" s="45"/>
      <c r="N46" s="45"/>
    </row>
    <row r="47" spans="1:14" x14ac:dyDescent="0.25">
      <c r="B47" t="s">
        <v>69</v>
      </c>
      <c r="E47" s="44">
        <f t="shared" ref="E47:N47" si="33">E24</f>
        <v>822.8</v>
      </c>
      <c r="F47" s="44">
        <f t="shared" si="33"/>
        <v>514.69000000000005</v>
      </c>
      <c r="G47" s="44">
        <f t="shared" si="33"/>
        <v>1075.5</v>
      </c>
      <c r="H47" s="44">
        <f t="shared" si="33"/>
        <v>847.59</v>
      </c>
      <c r="I47" s="44">
        <f t="shared" si="33"/>
        <v>1439.45</v>
      </c>
      <c r="J47" s="48">
        <f t="shared" si="33"/>
        <v>1774.1314948646923</v>
      </c>
      <c r="K47" s="48">
        <f t="shared" si="33"/>
        <v>1810.4641373022266</v>
      </c>
      <c r="L47" s="48">
        <f t="shared" si="33"/>
        <v>1874.4805464559063</v>
      </c>
      <c r="M47" s="48">
        <f t="shared" si="33"/>
        <v>1968.6527896970094</v>
      </c>
      <c r="N47" s="48">
        <f t="shared" si="33"/>
        <v>2096.8497165818053</v>
      </c>
    </row>
    <row r="48" spans="1:14" x14ac:dyDescent="0.25">
      <c r="B48" t="s">
        <v>70</v>
      </c>
      <c r="E48" s="46">
        <f>E47/E41</f>
        <v>2.5056718690521507E-2</v>
      </c>
      <c r="F48" s="46">
        <f t="shared" ref="F48:I48" si="34">F47/F41</f>
        <v>1.5364733683720948E-2</v>
      </c>
      <c r="G48" s="46">
        <f t="shared" si="34"/>
        <v>2.7823417150245677E-2</v>
      </c>
      <c r="H48" s="46">
        <f t="shared" si="34"/>
        <v>1.9313589307491646E-2</v>
      </c>
      <c r="I48" s="46">
        <f t="shared" si="34"/>
        <v>2.9681309198432478E-2</v>
      </c>
      <c r="J48" s="47">
        <f>J25</f>
        <v>3.6378718175740593E-2</v>
      </c>
      <c r="K48" s="47">
        <f>K25</f>
        <v>3.6378718175740593E-2</v>
      </c>
      <c r="L48" s="47">
        <f>L25</f>
        <v>3.6378718175740593E-2</v>
      </c>
      <c r="M48" s="47">
        <f>M25</f>
        <v>3.6378718175740593E-2</v>
      </c>
      <c r="N48" s="47">
        <f>N25</f>
        <v>3.63787181757406E-2</v>
      </c>
    </row>
    <row r="49" spans="2:16" ht="7.5" customHeight="1" x14ac:dyDescent="0.25"/>
    <row r="50" spans="2:16" x14ac:dyDescent="0.25">
      <c r="B50" s="35" t="s">
        <v>117</v>
      </c>
      <c r="C50" s="36"/>
      <c r="D50" s="36"/>
      <c r="E50" s="37">
        <f>E44-E47</f>
        <v>4489.5199999999995</v>
      </c>
      <c r="F50" s="37">
        <f t="shared" ref="F50:N50" si="35">F44-F47</f>
        <v>2426.1099999999997</v>
      </c>
      <c r="G50" s="37">
        <f t="shared" si="35"/>
        <v>3533.17</v>
      </c>
      <c r="H50" s="37">
        <f t="shared" si="35"/>
        <v>8732.84</v>
      </c>
      <c r="I50" s="37">
        <f t="shared" si="35"/>
        <v>9886.909999999998</v>
      </c>
      <c r="J50" s="37">
        <f t="shared" si="35"/>
        <v>9615.6460943002621</v>
      </c>
      <c r="K50" s="37">
        <f t="shared" si="35"/>
        <v>9812.5660139123829</v>
      </c>
      <c r="L50" s="37">
        <f t="shared" si="35"/>
        <v>10159.529661438775</v>
      </c>
      <c r="M50" s="37">
        <f t="shared" si="35"/>
        <v>10669.935437748987</v>
      </c>
      <c r="N50" s="38">
        <f t="shared" si="35"/>
        <v>11364.752187730133</v>
      </c>
      <c r="P50" s="12"/>
    </row>
    <row r="52" spans="2:16" x14ac:dyDescent="0.25">
      <c r="B52" t="s">
        <v>154</v>
      </c>
      <c r="E52" s="44">
        <f>E29</f>
        <v>2052.7800000000002</v>
      </c>
      <c r="F52" s="44">
        <f t="shared" ref="F52:I52" si="36">F29</f>
        <v>2079.9499999999998</v>
      </c>
      <c r="G52" s="44">
        <f t="shared" si="36"/>
        <v>2143.7399999999998</v>
      </c>
      <c r="H52" s="44">
        <f t="shared" si="36"/>
        <v>2529.4299999999998</v>
      </c>
      <c r="I52" s="44">
        <f t="shared" si="36"/>
        <v>2556.64</v>
      </c>
      <c r="J52" s="44">
        <f>J53*J41</f>
        <v>2832.6461199621026</v>
      </c>
      <c r="K52" s="44">
        <f t="shared" ref="K52:N52" si="37">K53*K41</f>
        <v>2890.6562048552191</v>
      </c>
      <c r="L52" s="44">
        <f t="shared" si="37"/>
        <v>2992.8672492608689</v>
      </c>
      <c r="M52" s="44">
        <f t="shared" si="37"/>
        <v>3143.2262503817992</v>
      </c>
      <c r="N52" s="44">
        <f t="shared" si="37"/>
        <v>3347.9103612170998</v>
      </c>
    </row>
    <row r="53" spans="2:16" x14ac:dyDescent="0.25">
      <c r="B53" t="s">
        <v>68</v>
      </c>
      <c r="E53" s="46">
        <f>E30</f>
        <v>6.2513285116102019E-2</v>
      </c>
      <c r="F53" s="46">
        <f t="shared" ref="F53:I53" si="38">F30</f>
        <v>6.2091507170248854E-2</v>
      </c>
      <c r="G53" s="46">
        <f t="shared" si="38"/>
        <v>5.5459016533396244E-2</v>
      </c>
      <c r="H53" s="46">
        <f t="shared" si="38"/>
        <v>5.7636796330830464E-2</v>
      </c>
      <c r="I53" s="46">
        <f t="shared" si="38"/>
        <v>5.2717650734016741E-2</v>
      </c>
      <c r="J53" s="47">
        <f>AVERAGE(E53:I53)</f>
        <v>5.8083651176918868E-2</v>
      </c>
      <c r="K53" s="47">
        <f>J53</f>
        <v>5.8083651176918868E-2</v>
      </c>
      <c r="L53" s="47">
        <f t="shared" ref="L53:N53" si="39">K53</f>
        <v>5.8083651176918868E-2</v>
      </c>
      <c r="M53" s="47">
        <f t="shared" si="39"/>
        <v>5.8083651176918868E-2</v>
      </c>
      <c r="N53" s="47">
        <f t="shared" si="39"/>
        <v>5.8083651176918868E-2</v>
      </c>
    </row>
    <row r="54" spans="2:16" x14ac:dyDescent="0.25">
      <c r="E54" s="45"/>
      <c r="F54" s="45"/>
      <c r="G54" s="45"/>
      <c r="H54" s="45"/>
      <c r="I54" s="45"/>
      <c r="J54" s="45"/>
      <c r="K54" s="45"/>
      <c r="L54" s="45"/>
      <c r="M54" s="45"/>
      <c r="N54" s="45"/>
    </row>
    <row r="55" spans="2:16" x14ac:dyDescent="0.25">
      <c r="B55" t="s">
        <v>155</v>
      </c>
      <c r="E55" s="49">
        <f>E32</f>
        <v>1542</v>
      </c>
      <c r="F55" s="49">
        <f t="shared" ref="F55:I55" si="40">F32</f>
        <v>1170</v>
      </c>
      <c r="G55" s="49">
        <f t="shared" si="40"/>
        <v>1495</v>
      </c>
      <c r="H55" s="49">
        <f t="shared" si="40"/>
        <v>2086</v>
      </c>
      <c r="I55" s="49">
        <f t="shared" si="40"/>
        <v>2202</v>
      </c>
      <c r="J55" s="49">
        <f>J56*J41</f>
        <v>2082.4043075364739</v>
      </c>
      <c r="K55" s="49">
        <f t="shared" ref="K55:N55" si="41">K56*K41</f>
        <v>2125.0501042742599</v>
      </c>
      <c r="L55" s="49">
        <f t="shared" si="41"/>
        <v>2200.1899947279867</v>
      </c>
      <c r="M55" s="49">
        <f t="shared" si="41"/>
        <v>2310.7255923109619</v>
      </c>
      <c r="N55" s="49">
        <f t="shared" si="41"/>
        <v>2461.197997276749</v>
      </c>
    </row>
    <row r="56" spans="2:16" x14ac:dyDescent="0.25">
      <c r="B56" t="s">
        <v>68</v>
      </c>
      <c r="E56" s="46">
        <f>E33</f>
        <v>4.6958507803578228E-2</v>
      </c>
      <c r="F56" s="46">
        <f t="shared" ref="F56:I56" si="42">F33</f>
        <v>3.4927312382120324E-2</v>
      </c>
      <c r="G56" s="46">
        <f t="shared" si="42"/>
        <v>3.8675972700713428E-2</v>
      </c>
      <c r="H56" s="46">
        <f t="shared" si="42"/>
        <v>4.7532589218168657E-2</v>
      </c>
      <c r="I56" s="46">
        <f t="shared" si="42"/>
        <v>4.5405010840910288E-2</v>
      </c>
      <c r="J56" s="47">
        <f>AVERAGE(E56:I56)</f>
        <v>4.2699878589098184E-2</v>
      </c>
      <c r="K56" s="47">
        <f>J56</f>
        <v>4.2699878589098184E-2</v>
      </c>
      <c r="L56" s="47">
        <f t="shared" ref="L56:N56" si="43">K56</f>
        <v>4.2699878589098184E-2</v>
      </c>
      <c r="M56" s="47">
        <f t="shared" si="43"/>
        <v>4.2699878589098184E-2</v>
      </c>
      <c r="N56" s="47">
        <f t="shared" si="43"/>
        <v>4.2699878589098184E-2</v>
      </c>
    </row>
    <row r="57" spans="2:16" x14ac:dyDescent="0.25">
      <c r="E57" s="45"/>
      <c r="F57" s="45"/>
      <c r="G57" s="45"/>
      <c r="H57" s="45"/>
      <c r="I57" s="45"/>
      <c r="J57" s="45"/>
      <c r="K57" s="45"/>
      <c r="L57" s="45"/>
      <c r="M57" s="45"/>
      <c r="N57" s="45"/>
    </row>
    <row r="58" spans="2:16" x14ac:dyDescent="0.25">
      <c r="B58" t="s">
        <v>156</v>
      </c>
      <c r="E58" s="50">
        <f>E35</f>
        <v>-858</v>
      </c>
      <c r="F58" s="50">
        <f t="shared" ref="F58:I58" si="44">F35</f>
        <v>-2613</v>
      </c>
      <c r="G58" s="50">
        <f t="shared" si="44"/>
        <v>-5061</v>
      </c>
      <c r="H58" s="50">
        <f t="shared" si="44"/>
        <v>6783</v>
      </c>
      <c r="I58" s="50">
        <f t="shared" si="44"/>
        <v>4450</v>
      </c>
      <c r="J58" s="50">
        <f>J59*J41</f>
        <v>109.79761257095637</v>
      </c>
      <c r="K58" s="50">
        <f t="shared" ref="K58:N58" si="45">K59*K41</f>
        <v>112.04617047637801</v>
      </c>
      <c r="L58" s="50">
        <f t="shared" si="45"/>
        <v>116.00802387382058</v>
      </c>
      <c r="M58" s="50">
        <f t="shared" si="45"/>
        <v>121.83616429534727</v>
      </c>
      <c r="N58" s="50">
        <f t="shared" si="45"/>
        <v>129.77002745691499</v>
      </c>
    </row>
    <row r="59" spans="2:16" x14ac:dyDescent="0.25">
      <c r="B59" t="s">
        <v>68</v>
      </c>
      <c r="E59" s="51">
        <f>E36</f>
        <v>-2.612866387514275E-2</v>
      </c>
      <c r="F59" s="51">
        <f t="shared" ref="F59:I59" si="46">F36</f>
        <v>-7.8004330986735385E-2</v>
      </c>
      <c r="G59" s="51">
        <f t="shared" si="46"/>
        <v>-0.1309291624336526</v>
      </c>
      <c r="H59" s="51">
        <f t="shared" si="46"/>
        <v>0.15456066762552159</v>
      </c>
      <c r="I59" s="51">
        <f t="shared" si="46"/>
        <v>9.1758536894664289E-2</v>
      </c>
      <c r="J59" s="58">
        <f>AVERAGE(E59:I59)</f>
        <v>2.2514094449310297E-3</v>
      </c>
      <c r="K59" s="58">
        <f>J59</f>
        <v>2.2514094449310297E-3</v>
      </c>
      <c r="L59" s="58">
        <f t="shared" ref="L59:N59" si="47">K59</f>
        <v>2.2514094449310297E-3</v>
      </c>
      <c r="M59" s="58">
        <f t="shared" si="47"/>
        <v>2.2514094449310297E-3</v>
      </c>
      <c r="N59" s="58">
        <f t="shared" si="47"/>
        <v>2.2514094449310297E-3</v>
      </c>
    </row>
    <row r="60" spans="2:16" ht="15.75" thickBot="1" x14ac:dyDescent="0.3"/>
    <row r="61" spans="2:16" ht="15.75" thickBot="1" x14ac:dyDescent="0.3"/>
    <row r="62" spans="2:16" ht="15.75" thickBot="1" x14ac:dyDescent="0.3">
      <c r="B62" s="93" t="s">
        <v>195</v>
      </c>
      <c r="C62" s="93"/>
      <c r="D62" s="93"/>
      <c r="E62" s="94">
        <f>E50+E52-E55-E58</f>
        <v>5858.2999999999993</v>
      </c>
      <c r="F62" s="94">
        <f t="shared" ref="F62:N62" si="48">F50+F52-F55-F58</f>
        <v>5949.0599999999995</v>
      </c>
      <c r="G62" s="94">
        <f t="shared" si="48"/>
        <v>9242.91</v>
      </c>
      <c r="H62" s="94">
        <f t="shared" si="48"/>
        <v>2393.2700000000004</v>
      </c>
      <c r="I62" s="94">
        <f t="shared" si="48"/>
        <v>5791.5499999999975</v>
      </c>
      <c r="J62" s="94">
        <f t="shared" si="48"/>
        <v>10256.090294154936</v>
      </c>
      <c r="K62" s="94">
        <f t="shared" si="48"/>
        <v>10466.125944016963</v>
      </c>
      <c r="L62" s="94">
        <f t="shared" si="48"/>
        <v>10836.198892097837</v>
      </c>
      <c r="M62" s="94">
        <f t="shared" si="48"/>
        <v>11380.599931524475</v>
      </c>
      <c r="N62" s="94">
        <f t="shared" si="48"/>
        <v>12121.69452421357</v>
      </c>
    </row>
    <row r="63" spans="2:16" x14ac:dyDescent="0.25">
      <c r="E63" s="19"/>
      <c r="F63" s="19"/>
      <c r="G63" s="19"/>
      <c r="H63" s="19"/>
      <c r="I63" s="19"/>
    </row>
    <row r="64" spans="2:16" x14ac:dyDescent="0.25">
      <c r="B64" s="39" t="s">
        <v>196</v>
      </c>
      <c r="C64" s="39"/>
      <c r="D64" s="39"/>
      <c r="E64" s="39"/>
      <c r="F64" s="39"/>
      <c r="G64" s="39"/>
      <c r="H64" s="39"/>
      <c r="I64" s="40">
        <f>(I62*I66)/(1+WACC)^I67</f>
        <v>575.82801518696635</v>
      </c>
      <c r="J64" s="40">
        <f>J62/(1+WACC)^J67</f>
        <v>9571.0062321615515</v>
      </c>
      <c r="K64" s="40">
        <f>K62/(1+WACC)^K67</f>
        <v>8704.0489622644745</v>
      </c>
      <c r="L64" s="40">
        <f>L62/(1+WACC)^L67</f>
        <v>8031.0428302425034</v>
      </c>
      <c r="M64" s="40">
        <f>M62/(1+WACC)^M67</f>
        <v>7516.5705234147172</v>
      </c>
      <c r="N64" s="40">
        <f>N62/(1+WACC)^N67</f>
        <v>7134.7296383932662</v>
      </c>
    </row>
    <row r="65" spans="1:14" x14ac:dyDescent="0.25">
      <c r="B65" s="2"/>
      <c r="C65" s="2"/>
      <c r="D65" s="2"/>
      <c r="E65" s="2"/>
      <c r="F65" s="2"/>
      <c r="G65" s="2"/>
      <c r="H65" s="2"/>
      <c r="I65" s="100"/>
      <c r="J65" s="100"/>
      <c r="K65" s="100"/>
      <c r="L65" s="100"/>
      <c r="M65" s="100"/>
      <c r="N65" s="100"/>
    </row>
    <row r="66" spans="1:14" x14ac:dyDescent="0.25">
      <c r="B66" s="2" t="s">
        <v>214</v>
      </c>
      <c r="C66" s="2"/>
      <c r="D66" s="2"/>
      <c r="E66" s="2"/>
      <c r="F66" s="2"/>
      <c r="G66" s="2"/>
      <c r="H66" s="2"/>
      <c r="I66" s="103">
        <v>0.1</v>
      </c>
      <c r="J66" s="100"/>
      <c r="K66" s="100"/>
      <c r="L66" s="100"/>
      <c r="M66" s="100"/>
      <c r="N66" s="100"/>
    </row>
    <row r="67" spans="1:14" x14ac:dyDescent="0.25">
      <c r="B67" s="2" t="s">
        <v>215</v>
      </c>
      <c r="C67" s="2"/>
      <c r="D67" s="2"/>
      <c r="E67" s="2"/>
      <c r="F67" s="2"/>
      <c r="G67" s="2"/>
      <c r="H67" s="2"/>
      <c r="I67" s="103">
        <f>I66/2</f>
        <v>0.05</v>
      </c>
      <c r="J67" s="100">
        <f>I66+0.5</f>
        <v>0.6</v>
      </c>
      <c r="K67" s="100">
        <f>J67+1</f>
        <v>1.6</v>
      </c>
      <c r="L67" s="100">
        <f t="shared" ref="L67:N67" si="49">K67+1</f>
        <v>2.6</v>
      </c>
      <c r="M67" s="100">
        <f t="shared" si="49"/>
        <v>3.6</v>
      </c>
      <c r="N67" s="100">
        <f t="shared" si="49"/>
        <v>4.5999999999999996</v>
      </c>
    </row>
    <row r="68" spans="1:14" x14ac:dyDescent="0.25">
      <c r="E68" s="18"/>
      <c r="F68" s="18"/>
      <c r="G68" s="18"/>
      <c r="H68" s="18"/>
      <c r="I68" s="18"/>
    </row>
    <row r="69" spans="1:14" x14ac:dyDescent="0.25">
      <c r="A69" t="s">
        <v>63</v>
      </c>
      <c r="B69" t="s">
        <v>197</v>
      </c>
      <c r="E69" s="20"/>
      <c r="F69" s="20"/>
      <c r="G69" s="20"/>
      <c r="H69" s="20"/>
      <c r="I69" s="20"/>
      <c r="N69" s="65">
        <f>(N62*(1+TGR))/(WACC-TGR)</f>
        <v>203363.45084163707</v>
      </c>
    </row>
    <row r="70" spans="1:14" x14ac:dyDescent="0.25">
      <c r="B70" t="s">
        <v>198</v>
      </c>
      <c r="N70" s="65">
        <f>N69/(1+WACC)^N38</f>
        <v>114306.50087071309</v>
      </c>
    </row>
    <row r="71" spans="1:14" x14ac:dyDescent="0.25">
      <c r="B71" s="41" t="s">
        <v>199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2">
        <f>SUM(J64:N64,N70)</f>
        <v>155263.89905718958</v>
      </c>
    </row>
    <row r="72" spans="1:14" x14ac:dyDescent="0.25">
      <c r="B72" t="str">
        <f>"+ Cash"</f>
        <v>+ Cash</v>
      </c>
      <c r="N72" s="65">
        <f>'Data Sheet'!K69</f>
        <v>10520.68</v>
      </c>
    </row>
    <row r="73" spans="1:14" x14ac:dyDescent="0.25">
      <c r="B73" t="str">
        <f>"- Debt"</f>
        <v>- Debt</v>
      </c>
      <c r="N73" s="66">
        <v>2845</v>
      </c>
    </row>
    <row r="74" spans="1:14" x14ac:dyDescent="0.25">
      <c r="B74" s="41" t="s">
        <v>200</v>
      </c>
      <c r="C74" s="41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43">
        <f>N71+N72-N73</f>
        <v>162939.57905718958</v>
      </c>
    </row>
    <row r="75" spans="1:14" x14ac:dyDescent="0.25">
      <c r="B75" t="s">
        <v>201</v>
      </c>
      <c r="N75" s="12">
        <f>'Data Sheet'!B6</f>
        <v>239.93349558017232</v>
      </c>
    </row>
    <row r="76" spans="1:14" ht="4.5" customHeight="1" thickBot="1" x14ac:dyDescent="0.3">
      <c r="N76" s="12"/>
    </row>
    <row r="77" spans="1:14" ht="15.75" thickBot="1" x14ac:dyDescent="0.3">
      <c r="A77" t="s">
        <v>63</v>
      </c>
      <c r="B77" s="91" t="s">
        <v>202</v>
      </c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2">
        <f>N74/N75</f>
        <v>679.103093393412</v>
      </c>
    </row>
    <row r="78" spans="1:14" ht="15.75" thickTop="1" x14ac:dyDescent="0.25"/>
    <row r="79" spans="1:14" x14ac:dyDescent="0.25">
      <c r="A79" t="s">
        <v>63</v>
      </c>
      <c r="B79" s="16" t="s">
        <v>204</v>
      </c>
      <c r="C79" s="84"/>
      <c r="D79" s="84"/>
      <c r="E79" s="84"/>
      <c r="F79" s="84"/>
      <c r="G79" s="84"/>
      <c r="I79" s="16" t="s">
        <v>205</v>
      </c>
      <c r="J79" s="84"/>
      <c r="K79" s="84"/>
      <c r="L79" s="84"/>
      <c r="M79" s="84"/>
      <c r="N79" s="84"/>
    </row>
    <row r="80" spans="1:14" x14ac:dyDescent="0.25">
      <c r="B80" s="82">
        <f>N71</f>
        <v>155263.89905718958</v>
      </c>
      <c r="C80" s="89">
        <v>0.08</v>
      </c>
      <c r="D80" s="89">
        <v>0.1</v>
      </c>
      <c r="E80" s="83">
        <v>0.1221</v>
      </c>
      <c r="F80" s="89">
        <v>0.14000000000000001</v>
      </c>
      <c r="G80" s="89">
        <v>0.16</v>
      </c>
      <c r="I80" s="82">
        <f>G4</f>
        <v>679.103093393412</v>
      </c>
      <c r="J80" s="89">
        <v>0.08</v>
      </c>
      <c r="K80" s="89">
        <v>0.1</v>
      </c>
      <c r="L80" s="83">
        <v>0.1221</v>
      </c>
      <c r="M80" s="89">
        <v>0.14000000000000001</v>
      </c>
      <c r="N80" s="89">
        <v>0.16</v>
      </c>
    </row>
    <row r="81" spans="1:17" x14ac:dyDescent="0.25">
      <c r="B81" s="89">
        <v>0.03</v>
      </c>
      <c r="C81" s="44">
        <f t="dataTable" ref="C81:G85" dt2D="1" dtr="1" r1="D10" r2="D11" ca="1"/>
        <v>214998.52301100374</v>
      </c>
      <c r="D81" s="44">
        <v>153772.71741063049</v>
      </c>
      <c r="E81" s="44">
        <v>117164.37932492807</v>
      </c>
      <c r="F81" s="44">
        <v>98360.218009267919</v>
      </c>
      <c r="G81" s="44">
        <v>83523.543627798994</v>
      </c>
      <c r="I81" s="90">
        <v>0.03</v>
      </c>
      <c r="J81" s="44">
        <f t="dataTable" ref="J81:N85" dt2D="1" dtr="1" r1="D10" r2="D11"/>
        <v>928.06634802100189</v>
      </c>
      <c r="K81" s="44">
        <v>672.88811435118475</v>
      </c>
      <c r="L81" s="44">
        <v>520.31109296789919</v>
      </c>
      <c r="M81" s="44">
        <v>441.93870369315181</v>
      </c>
      <c r="N81" s="44">
        <v>380.10209207044755</v>
      </c>
    </row>
    <row r="82" spans="1:17" x14ac:dyDescent="0.25">
      <c r="B82" s="89">
        <v>0.04</v>
      </c>
      <c r="C82" s="44">
        <v>259547.55971988518</v>
      </c>
      <c r="D82" s="44">
        <v>173485.28993887565</v>
      </c>
      <c r="E82" s="44">
        <v>127276.31500466735</v>
      </c>
      <c r="F82" s="44">
        <v>104884.77824207982</v>
      </c>
      <c r="G82" s="44">
        <v>87815.020536100055</v>
      </c>
      <c r="I82" s="90">
        <v>0.04</v>
      </c>
      <c r="J82" s="44">
        <v>1113.73878446494</v>
      </c>
      <c r="K82" s="44">
        <v>755.04659947882021</v>
      </c>
      <c r="L82" s="44">
        <v>562.45583668235247</v>
      </c>
      <c r="M82" s="44">
        <v>469.13190661396601</v>
      </c>
      <c r="N82" s="44">
        <v>397.98820212741998</v>
      </c>
    </row>
    <row r="83" spans="1:17" x14ac:dyDescent="0.25">
      <c r="B83" s="83">
        <v>5.8999999999999997E-2</v>
      </c>
      <c r="C83" s="44">
        <v>461078.91626006266</v>
      </c>
      <c r="D83" s="44">
        <v>237430.95204269525</v>
      </c>
      <c r="E83" s="85">
        <v>155318.90810447052</v>
      </c>
      <c r="F83" s="44">
        <v>121719.7546452611</v>
      </c>
      <c r="G83" s="44">
        <v>98310.018519766993</v>
      </c>
      <c r="I83" s="86">
        <v>5.8999999999999997E-2</v>
      </c>
      <c r="J83" s="44">
        <v>1953.6855207589435</v>
      </c>
      <c r="K83" s="44">
        <v>1021.5607097709054</v>
      </c>
      <c r="L83" s="85">
        <v>679.33236128761712</v>
      </c>
      <c r="M83" s="44">
        <v>539.29708452075795</v>
      </c>
      <c r="N83" s="44">
        <v>441.72948117763957</v>
      </c>
    </row>
    <row r="84" spans="1:17" x14ac:dyDescent="0.25">
      <c r="B84" s="89">
        <v>0.06</v>
      </c>
      <c r="C84" s="44">
        <v>482292.7432642919</v>
      </c>
      <c r="D84" s="44">
        <v>242479.29378773365</v>
      </c>
      <c r="E84" s="44">
        <v>157270.17252814528</v>
      </c>
      <c r="F84" s="44">
        <v>122827.31888231251</v>
      </c>
      <c r="G84" s="44">
        <v>98972.860497682806</v>
      </c>
      <c r="I84" s="90">
        <v>6.2E-2</v>
      </c>
      <c r="J84" s="44">
        <v>2248.4036738445598</v>
      </c>
      <c r="K84" s="44">
        <v>1088.0046707855527</v>
      </c>
      <c r="L84" s="44">
        <v>704.5418262234931</v>
      </c>
      <c r="M84" s="44">
        <v>553.50056182982507</v>
      </c>
      <c r="N84" s="44">
        <v>450.18644168144141</v>
      </c>
    </row>
    <row r="85" spans="1:17" x14ac:dyDescent="0.25">
      <c r="B85" s="89">
        <v>7.0000000000000007E-2</v>
      </c>
      <c r="C85" s="44">
        <v>927783.11035310605</v>
      </c>
      <c r="D85" s="44">
        <v>311473.29763659171</v>
      </c>
      <c r="E85" s="44">
        <v>180902.56890700842</v>
      </c>
      <c r="F85" s="44">
        <v>135643.41933962156</v>
      </c>
      <c r="G85" s="44">
        <v>106411.42047207132</v>
      </c>
      <c r="I85" s="90">
        <v>7.0000000000000007E-2</v>
      </c>
      <c r="J85" s="44">
        <v>3898.8253311240082</v>
      </c>
      <c r="K85" s="44">
        <v>1330.1559953722676</v>
      </c>
      <c r="L85" s="44">
        <v>785.96049480717932</v>
      </c>
      <c r="M85" s="44">
        <v>597.32843466923248</v>
      </c>
      <c r="N85" s="44">
        <v>475.49467904096707</v>
      </c>
    </row>
    <row r="87" spans="1:17" ht="15.75" x14ac:dyDescent="0.25">
      <c r="A87" t="s">
        <v>63</v>
      </c>
      <c r="B87" s="96" t="s">
        <v>208</v>
      </c>
      <c r="C87" s="84"/>
      <c r="D87" s="84"/>
      <c r="E87" s="84"/>
      <c r="F87" s="84"/>
      <c r="G87" s="84"/>
    </row>
    <row r="88" spans="1:17" x14ac:dyDescent="0.25">
      <c r="P88" s="64" t="s">
        <v>210</v>
      </c>
      <c r="Q88" s="64" t="s">
        <v>211</v>
      </c>
    </row>
    <row r="89" spans="1:17" x14ac:dyDescent="0.25">
      <c r="P89" s="64" t="s">
        <v>212</v>
      </c>
      <c r="Q89" s="97">
        <f>G5</f>
        <v>1830</v>
      </c>
    </row>
    <row r="90" spans="1:17" x14ac:dyDescent="0.25">
      <c r="P90" s="64" t="s">
        <v>209</v>
      </c>
      <c r="Q90" s="97">
        <f>-K4</f>
        <v>-1150.8969066065879</v>
      </c>
    </row>
    <row r="91" spans="1:17" x14ac:dyDescent="0.25">
      <c r="P91" s="64" t="s">
        <v>213</v>
      </c>
      <c r="Q91" s="97">
        <f>Q89+Q90</f>
        <v>679.10309339341211</v>
      </c>
    </row>
  </sheetData>
  <mergeCells count="5">
    <mergeCell ref="F10:H10"/>
    <mergeCell ref="F11:H11"/>
    <mergeCell ref="H5:J5"/>
    <mergeCell ref="B2:N2"/>
    <mergeCell ref="H4:J4"/>
  </mergeCells>
  <pageMargins left="0.39370078740157483" right="7.874015748031496E-2" top="0.39370078740157483" bottom="0.74803149606299213" header="0.31496062992125984" footer="0.31496062992125984"/>
  <pageSetup paperSize="9" scale="5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AB7C-BF63-42E5-900D-FECFD2C65E7C}">
  <sheetPr>
    <pageSetUpPr fitToPage="1"/>
  </sheetPr>
  <dimension ref="A2:M34"/>
  <sheetViews>
    <sheetView showGridLines="0" topLeftCell="A7" zoomScaleNormal="100" workbookViewId="0">
      <selection activeCell="P25" sqref="P25"/>
    </sheetView>
  </sheetViews>
  <sheetFormatPr defaultRowHeight="15" x14ac:dyDescent="0.25"/>
  <cols>
    <col min="1" max="1" width="1.85546875" customWidth="1"/>
    <col min="6" max="6" width="9.7109375" bestFit="1" customWidth="1"/>
    <col min="7" max="7" width="11.85546875" bestFit="1" customWidth="1"/>
    <col min="8" max="8" width="10.140625" bestFit="1" customWidth="1"/>
    <col min="12" max="12" width="10.85546875" customWidth="1"/>
    <col min="13" max="13" width="20.42578125" bestFit="1" customWidth="1"/>
  </cols>
  <sheetData>
    <row r="2" spans="1:13" ht="23.25" x14ac:dyDescent="0.35">
      <c r="B2" s="109" t="s">
        <v>159</v>
      </c>
      <c r="C2" s="109"/>
      <c r="D2" s="109"/>
      <c r="E2" s="109"/>
      <c r="F2" s="109"/>
      <c r="G2" s="109"/>
      <c r="H2" s="53"/>
      <c r="I2" s="53"/>
      <c r="J2" s="53"/>
      <c r="K2" s="53"/>
      <c r="L2" s="53"/>
      <c r="M2" s="53"/>
    </row>
    <row r="3" spans="1:13" ht="4.5" customHeight="1" x14ac:dyDescent="0.25"/>
    <row r="4" spans="1:13" x14ac:dyDescent="0.25">
      <c r="J4" s="67" t="s">
        <v>165</v>
      </c>
      <c r="K4" s="67" t="s">
        <v>165</v>
      </c>
      <c r="L4" s="67" t="s">
        <v>169</v>
      </c>
      <c r="M4" s="67" t="s">
        <v>171</v>
      </c>
    </row>
    <row r="5" spans="1:13" x14ac:dyDescent="0.25">
      <c r="B5" s="32" t="s">
        <v>160</v>
      </c>
      <c r="C5" s="32"/>
      <c r="D5" s="32"/>
      <c r="E5" s="32"/>
      <c r="F5" s="68" t="s">
        <v>161</v>
      </c>
      <c r="G5" s="68" t="s">
        <v>162</v>
      </c>
      <c r="H5" s="68" t="s">
        <v>163</v>
      </c>
      <c r="I5" s="68" t="s">
        <v>164</v>
      </c>
      <c r="J5" s="68" t="s">
        <v>166</v>
      </c>
      <c r="K5" s="68" t="s">
        <v>167</v>
      </c>
      <c r="L5" s="68" t="s">
        <v>170</v>
      </c>
      <c r="M5" s="68" t="s">
        <v>170</v>
      </c>
    </row>
    <row r="6" spans="1:13" x14ac:dyDescent="0.25">
      <c r="B6" s="12" t="str">
        <f>'Data Sheet'!B1</f>
        <v>SUN PHARMACEUTICAL INDUSTRIES LTD</v>
      </c>
      <c r="F6" s="69" t="s">
        <v>172</v>
      </c>
      <c r="G6" s="78">
        <v>442113.46</v>
      </c>
      <c r="H6" s="78">
        <v>2571.9499999999998</v>
      </c>
      <c r="I6" s="70">
        <v>0.3</v>
      </c>
      <c r="J6" s="71">
        <f>H6/G6</f>
        <v>5.8173980950500803E-3</v>
      </c>
      <c r="K6" s="71">
        <f>H6/(G6+H6)</f>
        <v>5.7837517088766182E-3</v>
      </c>
      <c r="L6" s="80">
        <v>0.62</v>
      </c>
      <c r="M6" s="72">
        <f>L6/(1+(1-I6)*J6)</f>
        <v>0.61748548876575315</v>
      </c>
    </row>
    <row r="7" spans="1:13" x14ac:dyDescent="0.25">
      <c r="B7" t="s">
        <v>173</v>
      </c>
      <c r="F7" s="45" t="s">
        <v>172</v>
      </c>
      <c r="G7" s="79">
        <v>125184.7</v>
      </c>
      <c r="H7" s="79">
        <v>461.38</v>
      </c>
      <c r="I7" s="73">
        <v>0.3</v>
      </c>
      <c r="J7" s="46">
        <f t="shared" ref="J7:J10" si="0">H7/G7</f>
        <v>3.6855941660602293E-3</v>
      </c>
      <c r="K7" s="46">
        <f t="shared" ref="K7:K10" si="1">H7/(G7+H7)</f>
        <v>3.6720604415195444E-3</v>
      </c>
      <c r="L7" s="81">
        <v>0.56999999999999995</v>
      </c>
      <c r="M7" s="74">
        <f t="shared" ref="M7:M10" si="2">L7/(1+(1-I7)*J7)</f>
        <v>0.56853323206568118</v>
      </c>
    </row>
    <row r="8" spans="1:13" x14ac:dyDescent="0.25">
      <c r="B8" t="s">
        <v>174</v>
      </c>
      <c r="F8" s="45" t="s">
        <v>172</v>
      </c>
      <c r="G8" s="79">
        <v>105234.35</v>
      </c>
      <c r="H8" s="79">
        <v>207.46</v>
      </c>
      <c r="I8" s="73">
        <v>0.3</v>
      </c>
      <c r="J8" s="46">
        <f t="shared" si="0"/>
        <v>1.9714095255018915E-3</v>
      </c>
      <c r="K8" s="46">
        <f t="shared" si="1"/>
        <v>1.9675307167052614E-3</v>
      </c>
      <c r="L8" s="81">
        <v>0.5</v>
      </c>
      <c r="M8" s="74">
        <f t="shared" si="2"/>
        <v>0.49931095753548899</v>
      </c>
    </row>
    <row r="9" spans="1:13" x14ac:dyDescent="0.25">
      <c r="B9" t="s">
        <v>175</v>
      </c>
      <c r="F9" s="45" t="s">
        <v>172</v>
      </c>
      <c r="G9" s="79">
        <v>100969.1</v>
      </c>
      <c r="H9" s="79">
        <v>4854.1000000000004</v>
      </c>
      <c r="I9" s="73">
        <v>0.3</v>
      </c>
      <c r="J9" s="46">
        <f t="shared" si="0"/>
        <v>4.8075104165531832E-2</v>
      </c>
      <c r="K9" s="46">
        <f t="shared" si="1"/>
        <v>4.5869903764013939E-2</v>
      </c>
      <c r="L9" s="81">
        <v>0.54</v>
      </c>
      <c r="M9" s="74">
        <f t="shared" si="2"/>
        <v>0.52241924815868468</v>
      </c>
    </row>
    <row r="10" spans="1:13" x14ac:dyDescent="0.25">
      <c r="B10" t="s">
        <v>176</v>
      </c>
      <c r="F10" s="45" t="s">
        <v>172</v>
      </c>
      <c r="G10" s="79">
        <v>96125.2</v>
      </c>
      <c r="H10" s="79">
        <v>3442.5</v>
      </c>
      <c r="I10" s="73">
        <v>0.3</v>
      </c>
      <c r="J10" s="46">
        <f t="shared" si="0"/>
        <v>3.581266931044097E-2</v>
      </c>
      <c r="K10" s="46">
        <f t="shared" si="1"/>
        <v>3.4574465413984658E-2</v>
      </c>
      <c r="L10" s="81">
        <v>0.7</v>
      </c>
      <c r="M10" s="74">
        <f t="shared" si="2"/>
        <v>0.68288094731869253</v>
      </c>
    </row>
    <row r="11" spans="1:13" x14ac:dyDescent="0.25">
      <c r="I11" s="23"/>
      <c r="J11" s="11"/>
      <c r="K11" s="11"/>
    </row>
    <row r="12" spans="1:13" x14ac:dyDescent="0.25">
      <c r="H12" s="24" t="s">
        <v>177</v>
      </c>
      <c r="I12" s="25">
        <f>AVERAGE(I6:I10)</f>
        <v>0.3</v>
      </c>
      <c r="J12" s="25">
        <f t="shared" ref="J12:M12" si="3">AVERAGE(J6:J10)</f>
        <v>1.9072435052517E-2</v>
      </c>
      <c r="K12" s="25">
        <f t="shared" si="3"/>
        <v>1.8373542409020005E-2</v>
      </c>
      <c r="L12" s="28">
        <f t="shared" si="3"/>
        <v>0.58599999999999997</v>
      </c>
      <c r="M12" s="28">
        <f t="shared" si="3"/>
        <v>0.57812597476886007</v>
      </c>
    </row>
    <row r="13" spans="1:13" x14ac:dyDescent="0.25">
      <c r="H13" s="26" t="s">
        <v>178</v>
      </c>
      <c r="I13" s="27">
        <f>MEDIAN(I6:I10)</f>
        <v>0.3</v>
      </c>
      <c r="J13" s="27">
        <f t="shared" ref="J13:M13" si="4">MEDIAN(J6:J10)</f>
        <v>5.8173980950500803E-3</v>
      </c>
      <c r="K13" s="27">
        <f t="shared" si="4"/>
        <v>5.7837517088766182E-3</v>
      </c>
      <c r="L13" s="29">
        <f t="shared" si="4"/>
        <v>0.56999999999999995</v>
      </c>
      <c r="M13" s="29">
        <f t="shared" si="4"/>
        <v>0.56853323206568118</v>
      </c>
    </row>
    <row r="15" spans="1:13" x14ac:dyDescent="0.25">
      <c r="A15" t="s">
        <v>63</v>
      </c>
      <c r="B15" s="32" t="s">
        <v>179</v>
      </c>
      <c r="C15" s="32"/>
      <c r="D15" s="32"/>
      <c r="E15" s="32"/>
      <c r="F15" s="32"/>
      <c r="G15" s="32"/>
      <c r="H15" s="32"/>
      <c r="I15" s="2"/>
      <c r="J15" s="32" t="s">
        <v>180</v>
      </c>
      <c r="K15" s="26"/>
      <c r="L15" s="26"/>
      <c r="M15" s="26"/>
    </row>
    <row r="17" spans="1:13" x14ac:dyDescent="0.25">
      <c r="B17" t="s">
        <v>181</v>
      </c>
      <c r="H17" s="46">
        <f>'Data Sheet'!K27/WACC!H6</f>
        <v>9.2719531872703598E-2</v>
      </c>
      <c r="J17" t="s">
        <v>188</v>
      </c>
      <c r="M17" s="73">
        <v>6.4399999999999999E-2</v>
      </c>
    </row>
    <row r="18" spans="1:13" x14ac:dyDescent="0.25">
      <c r="B18" t="s">
        <v>8</v>
      </c>
      <c r="H18" s="75">
        <f>I13</f>
        <v>0.3</v>
      </c>
      <c r="J18" t="s">
        <v>189</v>
      </c>
      <c r="M18" s="47">
        <f>16.65%-M17</f>
        <v>0.10209999999999998</v>
      </c>
    </row>
    <row r="19" spans="1:13" x14ac:dyDescent="0.25">
      <c r="B19" s="24" t="s">
        <v>182</v>
      </c>
      <c r="C19" s="24"/>
      <c r="D19" s="24"/>
      <c r="E19" s="24"/>
      <c r="F19" s="24"/>
      <c r="G19" s="24"/>
      <c r="H19" s="25">
        <f>H17*(1-H18)</f>
        <v>6.4903672310892516E-2</v>
      </c>
      <c r="J19" t="s">
        <v>168</v>
      </c>
      <c r="M19" s="76">
        <f>M27</f>
        <v>0.57584541068088835</v>
      </c>
    </row>
    <row r="20" spans="1:13" x14ac:dyDescent="0.25">
      <c r="J20" s="24" t="s">
        <v>180</v>
      </c>
      <c r="K20" s="24"/>
      <c r="L20" s="24"/>
      <c r="M20" s="25">
        <f>M17+(M18*M19)</f>
        <v>0.12319381643051869</v>
      </c>
    </row>
    <row r="22" spans="1:13" x14ac:dyDescent="0.25">
      <c r="A22" t="s">
        <v>63</v>
      </c>
      <c r="B22" s="32" t="s">
        <v>183</v>
      </c>
      <c r="C22" s="32"/>
      <c r="D22" s="32"/>
      <c r="E22" s="32"/>
      <c r="F22" s="32"/>
      <c r="G22" s="32"/>
      <c r="H22" s="32"/>
      <c r="J22" s="32" t="s">
        <v>168</v>
      </c>
      <c r="K22" s="26"/>
      <c r="L22" s="26"/>
      <c r="M22" s="26"/>
    </row>
    <row r="23" spans="1:13" x14ac:dyDescent="0.25">
      <c r="G23" s="67" t="s">
        <v>187</v>
      </c>
      <c r="H23" s="67" t="s">
        <v>186</v>
      </c>
    </row>
    <row r="24" spans="1:13" x14ac:dyDescent="0.25">
      <c r="B24" t="s">
        <v>163</v>
      </c>
      <c r="F24" s="44">
        <f>H6</f>
        <v>2571.9499999999998</v>
      </c>
      <c r="G24" s="47">
        <f>F24/F26</f>
        <v>5.7837517088766182E-3</v>
      </c>
      <c r="H24" s="47">
        <f>K12</f>
        <v>1.8373542409020005E-2</v>
      </c>
      <c r="J24" t="s">
        <v>190</v>
      </c>
      <c r="M24" s="74">
        <f>M13</f>
        <v>0.56853323206568118</v>
      </c>
    </row>
    <row r="25" spans="1:13" x14ac:dyDescent="0.25">
      <c r="B25" t="s">
        <v>184</v>
      </c>
      <c r="F25" s="77">
        <f>G6</f>
        <v>442113.46</v>
      </c>
      <c r="G25" s="75">
        <f>F25/F26</f>
        <v>0.99421624829112332</v>
      </c>
      <c r="H25" s="75">
        <f>H26-H24</f>
        <v>0.98162645759097999</v>
      </c>
      <c r="J25" t="s">
        <v>191</v>
      </c>
      <c r="M25" s="47">
        <f>H24</f>
        <v>1.8373542409020005E-2</v>
      </c>
    </row>
    <row r="26" spans="1:13" x14ac:dyDescent="0.25">
      <c r="B26" s="24" t="s">
        <v>185</v>
      </c>
      <c r="C26" s="24"/>
      <c r="D26" s="24"/>
      <c r="E26" s="24"/>
      <c r="F26" s="24">
        <f>SUM(F24:F25)</f>
        <v>444685.41000000003</v>
      </c>
      <c r="G26" s="31">
        <f>F26/F26</f>
        <v>1</v>
      </c>
      <c r="H26" s="31">
        <f t="shared" ref="H26" si="5">G26/G26</f>
        <v>1</v>
      </c>
      <c r="J26" t="s">
        <v>164</v>
      </c>
      <c r="M26" s="75">
        <f>I13</f>
        <v>0.3</v>
      </c>
    </row>
    <row r="27" spans="1:13" x14ac:dyDescent="0.25">
      <c r="J27" s="24" t="s">
        <v>168</v>
      </c>
      <c r="K27" s="24"/>
      <c r="L27" s="24"/>
      <c r="M27" s="28">
        <f>M24*(1+(1-M26)*M25)</f>
        <v>0.57584541068088835</v>
      </c>
    </row>
    <row r="29" spans="1:13" x14ac:dyDescent="0.25">
      <c r="J29" s="32" t="s">
        <v>159</v>
      </c>
      <c r="K29" s="26"/>
      <c r="L29" s="26"/>
      <c r="M29" s="26"/>
    </row>
    <row r="30" spans="1:13" x14ac:dyDescent="0.25">
      <c r="J30" s="2"/>
    </row>
    <row r="31" spans="1:13" x14ac:dyDescent="0.25">
      <c r="L31" s="30" t="s">
        <v>192</v>
      </c>
      <c r="M31" s="30" t="s">
        <v>193</v>
      </c>
    </row>
    <row r="32" spans="1:13" x14ac:dyDescent="0.25">
      <c r="J32" t="s">
        <v>179</v>
      </c>
      <c r="L32" s="47">
        <f>H19</f>
        <v>6.4903672310892516E-2</v>
      </c>
      <c r="M32" s="47">
        <f>H24</f>
        <v>1.8373542409020005E-2</v>
      </c>
    </row>
    <row r="33" spans="10:13" x14ac:dyDescent="0.25">
      <c r="J33" t="s">
        <v>180</v>
      </c>
      <c r="L33" s="75">
        <f>M20</f>
        <v>0.12319381643051869</v>
      </c>
      <c r="M33" s="75">
        <f t="shared" ref="M33" si="6">H25</f>
        <v>0.98162645759097999</v>
      </c>
    </row>
    <row r="34" spans="10:13" ht="15.75" thickBot="1" x14ac:dyDescent="0.3">
      <c r="J34" s="33" t="s">
        <v>62</v>
      </c>
      <c r="K34" s="33"/>
      <c r="L34" s="33"/>
      <c r="M34" s="34">
        <f>(L32*M32)+(L33*M33)</f>
        <v>0.12212281999550885</v>
      </c>
    </row>
  </sheetData>
  <mergeCells count="1">
    <mergeCell ref="B2:G2"/>
  </mergeCells>
  <pageMargins left="0.70866141732283472" right="0.5118110236220472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77DB-578B-4CD5-B537-05D9624DDE69}">
  <sheetPr>
    <pageSetUpPr autoPageBreaks="0" fitToPage="1"/>
  </sheetPr>
  <dimension ref="A2:I59"/>
  <sheetViews>
    <sheetView showGridLines="0" zoomScaleNormal="100" zoomScaleSheetLayoutView="100" workbookViewId="0">
      <selection activeCell="H46" sqref="H46"/>
    </sheetView>
  </sheetViews>
  <sheetFormatPr defaultRowHeight="15" x14ac:dyDescent="0.25"/>
  <cols>
    <col min="1" max="1" width="1.85546875" customWidth="1"/>
    <col min="2" max="2" width="23.5703125" bestFit="1" customWidth="1"/>
    <col min="4" max="4" width="9" bestFit="1" customWidth="1"/>
    <col min="5" max="5" width="9.28515625" bestFit="1" customWidth="1"/>
    <col min="6" max="6" width="10.28515625" bestFit="1" customWidth="1"/>
    <col min="7" max="8" width="10.140625" bestFit="1" customWidth="1"/>
  </cols>
  <sheetData>
    <row r="2" spans="1:9" ht="23.25" x14ac:dyDescent="0.35">
      <c r="B2" s="112" t="s">
        <v>151</v>
      </c>
      <c r="C2" s="112"/>
      <c r="D2" s="112"/>
      <c r="E2" s="112"/>
      <c r="F2" s="112"/>
      <c r="G2" s="112"/>
      <c r="H2" s="112"/>
    </row>
    <row r="4" spans="1:9" x14ac:dyDescent="0.25">
      <c r="A4" t="s">
        <v>63</v>
      </c>
      <c r="B4" s="16" t="s">
        <v>106</v>
      </c>
      <c r="C4" s="16"/>
      <c r="D4" s="16">
        <v>2020</v>
      </c>
      <c r="E4" s="16">
        <f>D4+1</f>
        <v>2021</v>
      </c>
      <c r="F4" s="16">
        <f>E4+1</f>
        <v>2022</v>
      </c>
      <c r="G4" s="16">
        <f>F4+1</f>
        <v>2023</v>
      </c>
      <c r="H4" s="16">
        <f>G4+1</f>
        <v>2024</v>
      </c>
    </row>
    <row r="6" spans="1:9" x14ac:dyDescent="0.25">
      <c r="B6" s="2" t="s">
        <v>107</v>
      </c>
      <c r="C6" s="2"/>
    </row>
    <row r="7" spans="1:9" x14ac:dyDescent="0.25">
      <c r="B7" t="s">
        <v>90</v>
      </c>
      <c r="D7" s="49">
        <v>7875</v>
      </c>
      <c r="E7" s="49">
        <v>8997</v>
      </c>
      <c r="F7" s="49">
        <v>8925</v>
      </c>
      <c r="G7" s="49">
        <v>10513</v>
      </c>
      <c r="H7" s="49">
        <v>9868</v>
      </c>
      <c r="I7" s="14"/>
    </row>
    <row r="8" spans="1:9" x14ac:dyDescent="0.25">
      <c r="B8" t="s">
        <v>91</v>
      </c>
      <c r="D8" s="49">
        <v>9421</v>
      </c>
      <c r="E8" s="49">
        <v>9061</v>
      </c>
      <c r="F8" s="49">
        <v>10485</v>
      </c>
      <c r="G8" s="49">
        <v>11439</v>
      </c>
      <c r="H8" s="49">
        <v>11249</v>
      </c>
      <c r="I8" s="14"/>
    </row>
    <row r="9" spans="1:9" x14ac:dyDescent="0.25">
      <c r="B9" t="s">
        <v>92</v>
      </c>
      <c r="D9" s="49">
        <v>6488</v>
      </c>
      <c r="E9" s="49">
        <v>6446</v>
      </c>
      <c r="F9" s="49">
        <v>5033</v>
      </c>
      <c r="G9" s="49">
        <v>5770</v>
      </c>
      <c r="H9" s="49">
        <v>10521</v>
      </c>
      <c r="I9" s="14"/>
    </row>
    <row r="10" spans="1:9" x14ac:dyDescent="0.25">
      <c r="B10" t="s">
        <v>93</v>
      </c>
      <c r="D10" s="45">
        <v>678</v>
      </c>
      <c r="E10" s="45">
        <v>649</v>
      </c>
      <c r="F10" s="45">
        <v>720</v>
      </c>
      <c r="G10" s="45">
        <v>818</v>
      </c>
      <c r="H10" s="45">
        <v>855</v>
      </c>
    </row>
    <row r="11" spans="1:9" x14ac:dyDescent="0.25">
      <c r="B11" t="s">
        <v>94</v>
      </c>
      <c r="D11" s="59">
        <v>9522</v>
      </c>
      <c r="E11" s="59">
        <v>9737</v>
      </c>
      <c r="F11" s="59">
        <v>7812</v>
      </c>
      <c r="G11" s="59">
        <v>8309</v>
      </c>
      <c r="H11" s="59">
        <v>9223</v>
      </c>
      <c r="I11" s="14"/>
    </row>
    <row r="12" spans="1:9" x14ac:dyDescent="0.25">
      <c r="B12" s="39" t="s">
        <v>108</v>
      </c>
      <c r="C12" s="39"/>
      <c r="D12" s="55">
        <f>SUM(D7:D11)</f>
        <v>33984</v>
      </c>
      <c r="E12" s="55">
        <f t="shared" ref="E12:H12" si="0">SUM(E7:E11)</f>
        <v>34890</v>
      </c>
      <c r="F12" s="55">
        <f t="shared" si="0"/>
        <v>32975</v>
      </c>
      <c r="G12" s="55">
        <f t="shared" si="0"/>
        <v>36849</v>
      </c>
      <c r="H12" s="55">
        <f t="shared" si="0"/>
        <v>41716</v>
      </c>
    </row>
    <row r="14" spans="1:9" x14ac:dyDescent="0.25">
      <c r="B14" s="2" t="s">
        <v>109</v>
      </c>
      <c r="C14" s="2"/>
      <c r="D14" s="2"/>
      <c r="E14" s="2"/>
      <c r="F14" s="2"/>
      <c r="G14" s="2"/>
      <c r="H14" s="2"/>
    </row>
    <row r="15" spans="1:9" x14ac:dyDescent="0.25">
      <c r="B15" t="s">
        <v>77</v>
      </c>
      <c r="D15" s="49">
        <v>3584</v>
      </c>
      <c r="E15" s="49">
        <v>3974</v>
      </c>
      <c r="F15" s="49">
        <v>4490</v>
      </c>
      <c r="G15" s="49">
        <v>5682</v>
      </c>
      <c r="H15" s="49">
        <v>5653</v>
      </c>
    </row>
    <row r="16" spans="1:9" x14ac:dyDescent="0.25">
      <c r="B16" t="s">
        <v>78</v>
      </c>
      <c r="D16" s="49">
        <v>53</v>
      </c>
      <c r="E16" s="49">
        <v>47</v>
      </c>
      <c r="F16" s="49">
        <v>29</v>
      </c>
      <c r="G16" s="49">
        <v>41</v>
      </c>
      <c r="H16" s="49">
        <v>43</v>
      </c>
    </row>
    <row r="17" spans="2:8" x14ac:dyDescent="0.25">
      <c r="B17" t="s">
        <v>79</v>
      </c>
      <c r="D17" s="59">
        <v>7118</v>
      </c>
      <c r="E17" s="59">
        <v>10253</v>
      </c>
      <c r="F17" s="59">
        <v>12901</v>
      </c>
      <c r="G17" s="59">
        <v>8788</v>
      </c>
      <c r="H17" s="59">
        <v>9232</v>
      </c>
    </row>
    <row r="18" spans="2:8" x14ac:dyDescent="0.25">
      <c r="B18" s="39" t="s">
        <v>110</v>
      </c>
      <c r="C18" s="39"/>
      <c r="D18" s="55">
        <f>SUM(D15:D17)</f>
        <v>10755</v>
      </c>
      <c r="E18" s="55">
        <f t="shared" ref="E18:H18" si="1">SUM(E15:E17)</f>
        <v>14274</v>
      </c>
      <c r="F18" s="55">
        <f t="shared" si="1"/>
        <v>17420</v>
      </c>
      <c r="G18" s="55">
        <f t="shared" si="1"/>
        <v>14511</v>
      </c>
      <c r="H18" s="55">
        <f t="shared" si="1"/>
        <v>14928</v>
      </c>
    </row>
    <row r="19" spans="2:8" x14ac:dyDescent="0.25">
      <c r="B19" s="2"/>
      <c r="C19" s="2"/>
      <c r="D19" s="15"/>
      <c r="E19" s="15"/>
      <c r="F19" s="15"/>
      <c r="G19" s="15"/>
      <c r="H19" s="15"/>
    </row>
    <row r="20" spans="2:8" x14ac:dyDescent="0.25">
      <c r="B20" s="39" t="s">
        <v>114</v>
      </c>
      <c r="C20" s="54">
        <v>24087</v>
      </c>
      <c r="D20" s="55">
        <f>D12-D18</f>
        <v>23229</v>
      </c>
      <c r="E20" s="55">
        <f t="shared" ref="E20:H20" si="2">E12-E18</f>
        <v>20616</v>
      </c>
      <c r="F20" s="55">
        <f t="shared" si="2"/>
        <v>15555</v>
      </c>
      <c r="G20" s="55">
        <f t="shared" si="2"/>
        <v>22338</v>
      </c>
      <c r="H20" s="55">
        <f t="shared" si="2"/>
        <v>26788</v>
      </c>
    </row>
    <row r="22" spans="2:8" x14ac:dyDescent="0.25">
      <c r="B22" s="2" t="s">
        <v>111</v>
      </c>
    </row>
    <row r="23" spans="2:8" x14ac:dyDescent="0.25">
      <c r="B23" t="s">
        <v>80</v>
      </c>
      <c r="D23" s="49">
        <v>686</v>
      </c>
      <c r="E23" s="49">
        <v>642</v>
      </c>
      <c r="F23" s="49">
        <v>862</v>
      </c>
      <c r="G23" s="49">
        <v>898</v>
      </c>
      <c r="H23" s="49">
        <v>1047</v>
      </c>
    </row>
    <row r="24" spans="2:8" x14ac:dyDescent="0.25">
      <c r="B24" t="s">
        <v>81</v>
      </c>
      <c r="D24" s="49">
        <v>5844</v>
      </c>
      <c r="E24" s="49">
        <v>5937</v>
      </c>
      <c r="F24" s="49">
        <v>6048</v>
      </c>
      <c r="G24" s="49">
        <v>6820</v>
      </c>
      <c r="H24" s="49">
        <v>6803</v>
      </c>
    </row>
    <row r="25" spans="2:8" x14ac:dyDescent="0.25">
      <c r="B25" t="s">
        <v>82</v>
      </c>
      <c r="D25" s="49">
        <v>10976</v>
      </c>
      <c r="E25" s="49">
        <v>11629</v>
      </c>
      <c r="F25" s="49">
        <v>12363</v>
      </c>
      <c r="G25" s="49">
        <v>13077</v>
      </c>
      <c r="H25" s="49">
        <v>13706</v>
      </c>
    </row>
    <row r="26" spans="2:8" x14ac:dyDescent="0.25">
      <c r="B26" t="s">
        <v>83</v>
      </c>
      <c r="D26" s="49">
        <v>233</v>
      </c>
      <c r="E26" s="49">
        <v>273</v>
      </c>
      <c r="F26" s="49">
        <v>305</v>
      </c>
      <c r="G26" s="49">
        <v>327</v>
      </c>
      <c r="H26" s="49">
        <v>345</v>
      </c>
    </row>
    <row r="27" spans="2:8" x14ac:dyDescent="0.25">
      <c r="B27" t="s">
        <v>84</v>
      </c>
      <c r="D27" s="49">
        <v>427</v>
      </c>
      <c r="E27" s="49">
        <v>421</v>
      </c>
      <c r="F27" s="49">
        <v>423</v>
      </c>
      <c r="G27" s="49">
        <v>444</v>
      </c>
      <c r="H27" s="49">
        <v>454</v>
      </c>
    </row>
    <row r="28" spans="2:8" x14ac:dyDescent="0.25">
      <c r="B28" t="s">
        <v>85</v>
      </c>
      <c r="D28" s="49">
        <v>319</v>
      </c>
      <c r="E28" s="49">
        <v>371</v>
      </c>
      <c r="F28" s="49">
        <v>408</v>
      </c>
      <c r="G28" s="49">
        <v>447</v>
      </c>
      <c r="H28" s="49">
        <v>414</v>
      </c>
    </row>
    <row r="29" spans="2:8" x14ac:dyDescent="0.25">
      <c r="B29" t="s">
        <v>86</v>
      </c>
      <c r="D29" s="49">
        <v>16322</v>
      </c>
      <c r="E29" s="49">
        <v>15934</v>
      </c>
      <c r="F29" s="49">
        <v>6591</v>
      </c>
      <c r="G29" s="49">
        <v>8358</v>
      </c>
      <c r="H29" s="49">
        <v>8599</v>
      </c>
    </row>
    <row r="30" spans="2:8" x14ac:dyDescent="0.25">
      <c r="B30" t="s">
        <v>87</v>
      </c>
      <c r="D30" s="49">
        <v>310</v>
      </c>
      <c r="E30" s="49">
        <v>371</v>
      </c>
      <c r="F30" s="49">
        <v>11707</v>
      </c>
      <c r="G30" s="49">
        <v>12729</v>
      </c>
      <c r="H30" s="49">
        <v>12916</v>
      </c>
    </row>
    <row r="31" spans="2:8" x14ac:dyDescent="0.25">
      <c r="B31" t="s">
        <v>88</v>
      </c>
      <c r="D31" s="49">
        <v>35116</v>
      </c>
      <c r="E31" s="49">
        <v>35579</v>
      </c>
      <c r="F31" s="49">
        <v>38707</v>
      </c>
      <c r="G31" s="49">
        <v>43100</v>
      </c>
      <c r="H31" s="49">
        <v>44284</v>
      </c>
    </row>
    <row r="32" spans="2:8" x14ac:dyDescent="0.25">
      <c r="B32" t="s">
        <v>89</v>
      </c>
      <c r="D32" s="59">
        <v>12269</v>
      </c>
      <c r="E32" s="59">
        <v>14026</v>
      </c>
      <c r="F32" s="59">
        <v>16042</v>
      </c>
      <c r="G32" s="59">
        <v>19035</v>
      </c>
      <c r="H32" s="59">
        <v>21072</v>
      </c>
    </row>
    <row r="33" spans="1:8" x14ac:dyDescent="0.25">
      <c r="B33" s="39" t="s">
        <v>112</v>
      </c>
      <c r="C33" s="39"/>
      <c r="D33" s="39">
        <f>SUM(D23:D32)</f>
        <v>82502</v>
      </c>
      <c r="E33" s="39">
        <f t="shared" ref="E33:H33" si="3">SUM(E23:E32)</f>
        <v>85183</v>
      </c>
      <c r="F33" s="39">
        <f t="shared" si="3"/>
        <v>93456</v>
      </c>
      <c r="G33" s="39">
        <f t="shared" si="3"/>
        <v>105235</v>
      </c>
      <c r="H33" s="39">
        <f t="shared" si="3"/>
        <v>109640</v>
      </c>
    </row>
    <row r="35" spans="1:8" x14ac:dyDescent="0.25">
      <c r="B35" t="s">
        <v>115</v>
      </c>
      <c r="C35" s="45"/>
      <c r="D35" s="49">
        <f>D33+D20</f>
        <v>105731</v>
      </c>
      <c r="E35" s="49">
        <f t="shared" ref="E35:H35" si="4">E33+E20</f>
        <v>105799</v>
      </c>
      <c r="F35" s="49">
        <f t="shared" si="4"/>
        <v>109011</v>
      </c>
      <c r="G35" s="49">
        <f t="shared" si="4"/>
        <v>127573</v>
      </c>
      <c r="H35" s="49">
        <f t="shared" si="4"/>
        <v>136428</v>
      </c>
    </row>
    <row r="36" spans="1:8" x14ac:dyDescent="0.25">
      <c r="B36" t="s">
        <v>117</v>
      </c>
      <c r="C36" s="45"/>
      <c r="D36" s="48">
        <f>DCF!E19-DCF!E24</f>
        <v>4489.5199999999995</v>
      </c>
      <c r="E36" s="48">
        <f>DCF!F19-DCF!F24</f>
        <v>2426.1099999999997</v>
      </c>
      <c r="F36" s="48">
        <f>DCF!G19-DCF!G24</f>
        <v>3533.17</v>
      </c>
      <c r="G36" s="48">
        <f>DCF!H19-DCF!H24</f>
        <v>8732.84</v>
      </c>
      <c r="H36" s="48">
        <f>DCF!I19-DCF!I24</f>
        <v>9886.909999999998</v>
      </c>
    </row>
    <row r="38" spans="1:8" ht="15.75" thickBot="1" x14ac:dyDescent="0.3">
      <c r="B38" s="33" t="s">
        <v>116</v>
      </c>
      <c r="C38" s="33"/>
      <c r="D38" s="56">
        <f>D36/D35</f>
        <v>4.2461718890391652E-2</v>
      </c>
      <c r="E38" s="56">
        <f t="shared" ref="E38:H38" si="5">E36/E35</f>
        <v>2.2931313150407844E-2</v>
      </c>
      <c r="F38" s="56">
        <f t="shared" si="5"/>
        <v>3.2411132821458383E-2</v>
      </c>
      <c r="G38" s="56">
        <f t="shared" si="5"/>
        <v>6.8453669663643565E-2</v>
      </c>
      <c r="H38" s="56">
        <f t="shared" si="5"/>
        <v>7.2469800920632113E-2</v>
      </c>
    </row>
    <row r="40" spans="1:8" x14ac:dyDescent="0.25">
      <c r="A40" t="s">
        <v>63</v>
      </c>
      <c r="B40" s="16" t="s">
        <v>118</v>
      </c>
      <c r="C40" s="16"/>
      <c r="D40" s="16">
        <v>2020</v>
      </c>
      <c r="E40" s="16">
        <f>D40+1</f>
        <v>2021</v>
      </c>
      <c r="F40" s="16">
        <f>E40+1</f>
        <v>2022</v>
      </c>
      <c r="G40" s="16">
        <f>F40+1</f>
        <v>2023</v>
      </c>
      <c r="H40" s="16">
        <f>G40+1</f>
        <v>2024</v>
      </c>
    </row>
    <row r="42" spans="1:8" x14ac:dyDescent="0.25">
      <c r="B42" t="s">
        <v>119</v>
      </c>
      <c r="D42" s="49">
        <f>-SUM('Raw BS'!B54:B55)</f>
        <v>1450</v>
      </c>
      <c r="E42" s="49">
        <f>-SUM('Raw BS'!C54:C55)</f>
        <v>1073</v>
      </c>
      <c r="F42" s="49">
        <f>-SUM('Raw BS'!D54:D55)</f>
        <v>1434</v>
      </c>
      <c r="G42" s="49">
        <f>-SUM('Raw BS'!E54:E55)</f>
        <v>2065</v>
      </c>
      <c r="H42" s="49">
        <f>-SUM('Raw BS'!F54:F55)</f>
        <v>2171</v>
      </c>
    </row>
    <row r="43" spans="1:8" x14ac:dyDescent="0.25">
      <c r="B43" t="s">
        <v>113</v>
      </c>
      <c r="D43" s="50">
        <f>D20-C20</f>
        <v>-858</v>
      </c>
      <c r="E43" s="50">
        <f>E20-D20</f>
        <v>-2613</v>
      </c>
      <c r="F43" s="50">
        <f t="shared" ref="F43:H43" si="6">F20-E20</f>
        <v>-5061</v>
      </c>
      <c r="G43" s="50">
        <f t="shared" si="6"/>
        <v>6783</v>
      </c>
      <c r="H43" s="50">
        <f t="shared" si="6"/>
        <v>4450</v>
      </c>
    </row>
    <row r="44" spans="1:8" x14ac:dyDescent="0.25">
      <c r="B44" t="s">
        <v>120</v>
      </c>
      <c r="D44" s="48">
        <f>D36</f>
        <v>4489.5199999999995</v>
      </c>
      <c r="E44" s="48">
        <f t="shared" ref="E44:H44" si="7">E36</f>
        <v>2426.1099999999997</v>
      </c>
      <c r="F44" s="48">
        <f t="shared" si="7"/>
        <v>3533.17</v>
      </c>
      <c r="G44" s="48">
        <f t="shared" si="7"/>
        <v>8732.84</v>
      </c>
      <c r="H44" s="48">
        <f t="shared" si="7"/>
        <v>9886.909999999998</v>
      </c>
    </row>
    <row r="45" spans="1:8" ht="4.5" customHeight="1" x14ac:dyDescent="0.25"/>
    <row r="46" spans="1:8" ht="15.75" thickBot="1" x14ac:dyDescent="0.3">
      <c r="B46" s="33" t="s">
        <v>149</v>
      </c>
      <c r="C46" s="33"/>
      <c r="D46" s="57">
        <f>(D42+D43)/D44</f>
        <v>0.13186264901370304</v>
      </c>
      <c r="E46" s="57">
        <f t="shared" ref="E46:G46" si="8">(E42+E43)/E44</f>
        <v>-0.6347609959977083</v>
      </c>
      <c r="F46" s="57">
        <f t="shared" si="8"/>
        <v>-1.026556888007087</v>
      </c>
      <c r="G46" s="57">
        <f t="shared" si="8"/>
        <v>1.0131870044567404</v>
      </c>
      <c r="H46" s="57">
        <f>(H42+H43)/H44</f>
        <v>0.66967333575404264</v>
      </c>
    </row>
    <row r="47" spans="1:8" x14ac:dyDescent="0.25">
      <c r="B47" s="2"/>
      <c r="C47" s="2"/>
      <c r="D47" s="17"/>
      <c r="E47" s="17"/>
      <c r="F47" s="17"/>
      <c r="G47" s="17"/>
      <c r="H47" s="17"/>
    </row>
    <row r="48" spans="1:8" x14ac:dyDescent="0.25">
      <c r="B48" s="2"/>
      <c r="C48" s="2"/>
      <c r="D48" s="17"/>
      <c r="E48" s="17"/>
      <c r="F48" s="110" t="s">
        <v>152</v>
      </c>
      <c r="G48" s="110"/>
      <c r="H48" s="98">
        <f>AVERAGE(D46:H46)</f>
        <v>3.0681021043938127E-2</v>
      </c>
    </row>
    <row r="49" spans="1:8" x14ac:dyDescent="0.25">
      <c r="B49" s="2"/>
      <c r="C49" s="2"/>
      <c r="D49" s="17"/>
      <c r="E49" s="17"/>
      <c r="F49" s="111" t="s">
        <v>153</v>
      </c>
      <c r="G49" s="111"/>
      <c r="H49" s="99">
        <f>MEDIAN(D46:H46)</f>
        <v>0.13186264901370304</v>
      </c>
    </row>
    <row r="51" spans="1:8" x14ac:dyDescent="0.25">
      <c r="A51" t="s">
        <v>63</v>
      </c>
      <c r="B51" s="16" t="s">
        <v>150</v>
      </c>
      <c r="C51" s="16"/>
      <c r="D51" s="16">
        <v>2020</v>
      </c>
      <c r="E51" s="16">
        <f>D51+1</f>
        <v>2021</v>
      </c>
      <c r="F51" s="16">
        <f>E51+1</f>
        <v>2022</v>
      </c>
      <c r="G51" s="16">
        <f>F51+1</f>
        <v>2023</v>
      </c>
      <c r="H51" s="16">
        <f>G51+1</f>
        <v>2024</v>
      </c>
    </row>
    <row r="53" spans="1:8" x14ac:dyDescent="0.25">
      <c r="B53" t="str">
        <f>B38</f>
        <v>ROIC</v>
      </c>
      <c r="D53" s="47">
        <f>D38</f>
        <v>4.2461718890391652E-2</v>
      </c>
      <c r="E53" s="47">
        <f t="shared" ref="E53:H53" si="9">E38</f>
        <v>2.2931313150407844E-2</v>
      </c>
      <c r="F53" s="47">
        <f t="shared" si="9"/>
        <v>3.2411132821458383E-2</v>
      </c>
      <c r="G53" s="47">
        <f t="shared" si="9"/>
        <v>6.8453669663643565E-2</v>
      </c>
      <c r="H53" s="47">
        <f t="shared" si="9"/>
        <v>7.2469800920632113E-2</v>
      </c>
    </row>
    <row r="54" spans="1:8" x14ac:dyDescent="0.25">
      <c r="B54" t="str">
        <f>B46</f>
        <v>Reinvestment Rate</v>
      </c>
      <c r="D54" s="58">
        <f>D46</f>
        <v>0.13186264901370304</v>
      </c>
      <c r="E54" s="58">
        <f t="shared" ref="E54:H54" si="10">E46</f>
        <v>-0.6347609959977083</v>
      </c>
      <c r="F54" s="58">
        <f t="shared" si="10"/>
        <v>-1.026556888007087</v>
      </c>
      <c r="G54" s="58">
        <f t="shared" si="10"/>
        <v>1.0131870044567404</v>
      </c>
      <c r="H54" s="58">
        <f t="shared" si="10"/>
        <v>0.66967333575404264</v>
      </c>
    </row>
    <row r="55" spans="1:8" ht="4.5" customHeight="1" x14ac:dyDescent="0.25"/>
    <row r="56" spans="1:8" ht="15.75" thickBot="1" x14ac:dyDescent="0.3">
      <c r="B56" s="33" t="s">
        <v>151</v>
      </c>
      <c r="C56" s="33"/>
      <c r="D56" s="57">
        <f>D53*D54</f>
        <v>5.5991147345622379E-3</v>
      </c>
      <c r="E56" s="57">
        <f t="shared" ref="E56:H56" si="11">E53*E54</f>
        <v>-1.4555903174888229E-2</v>
      </c>
      <c r="F56" s="57">
        <f t="shared" si="11"/>
        <v>-3.3271871645980673E-2</v>
      </c>
      <c r="G56" s="57">
        <f t="shared" si="11"/>
        <v>6.9356368510578262E-2</v>
      </c>
      <c r="H56" s="57">
        <f t="shared" si="11"/>
        <v>4.8531093323951099E-2</v>
      </c>
    </row>
    <row r="58" spans="1:8" x14ac:dyDescent="0.25">
      <c r="F58" s="110" t="s">
        <v>152</v>
      </c>
      <c r="G58" s="110"/>
      <c r="H58" s="98">
        <f>AVERAGE(D56:H56)</f>
        <v>1.513176034964454E-2</v>
      </c>
    </row>
    <row r="59" spans="1:8" x14ac:dyDescent="0.25">
      <c r="F59" s="111" t="s">
        <v>153</v>
      </c>
      <c r="G59" s="111"/>
      <c r="H59" s="99">
        <f>MEDIAN(D56:H56)</f>
        <v>5.5991147345622379E-3</v>
      </c>
    </row>
  </sheetData>
  <mergeCells count="5">
    <mergeCell ref="F58:G58"/>
    <mergeCell ref="F59:G59"/>
    <mergeCell ref="F48:G48"/>
    <mergeCell ref="F49:G49"/>
    <mergeCell ref="B2:H2"/>
  </mergeCells>
  <pageMargins left="0.39370078740157483" right="0.70866141732283472" top="0.39370078740157483" bottom="0.15748031496062992" header="0.31496062992125984" footer="0.31496062992125984"/>
  <pageSetup paperSize="9" scale="96" orientation="portrait" r:id="rId1"/>
  <ignoredErrors>
    <ignoredError sqref="D12:H12 D42:H42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28E1-0875-40AD-8B43-6324FF329A8B}">
  <dimension ref="A2:H73"/>
  <sheetViews>
    <sheetView topLeftCell="A28" workbookViewId="0">
      <selection activeCell="B54" sqref="B54:F55"/>
    </sheetView>
  </sheetViews>
  <sheetFormatPr defaultRowHeight="15" x14ac:dyDescent="0.25"/>
  <cols>
    <col min="1" max="1" width="27.140625" bestFit="1" customWidth="1"/>
  </cols>
  <sheetData>
    <row r="2" spans="1:8" x14ac:dyDescent="0.25">
      <c r="A2" t="s">
        <v>95</v>
      </c>
      <c r="B2" s="13">
        <v>43891</v>
      </c>
      <c r="C2" s="13">
        <v>44256</v>
      </c>
      <c r="D2" s="13">
        <v>44621</v>
      </c>
      <c r="E2" s="13">
        <v>44986</v>
      </c>
      <c r="F2" s="13">
        <v>45352</v>
      </c>
    </row>
    <row r="3" spans="1:8" x14ac:dyDescent="0.25">
      <c r="A3" t="s">
        <v>96</v>
      </c>
      <c r="B3">
        <v>240</v>
      </c>
      <c r="C3">
        <v>240</v>
      </c>
      <c r="D3">
        <v>240</v>
      </c>
      <c r="E3">
        <v>240</v>
      </c>
      <c r="F3">
        <v>240</v>
      </c>
    </row>
    <row r="4" spans="1:8" x14ac:dyDescent="0.25">
      <c r="A4" t="s">
        <v>97</v>
      </c>
      <c r="B4" s="14">
        <v>45025</v>
      </c>
      <c r="C4" s="14">
        <v>46223</v>
      </c>
      <c r="D4" s="14">
        <v>47771</v>
      </c>
      <c r="E4" s="14">
        <v>55755</v>
      </c>
      <c r="F4" s="14">
        <v>63427</v>
      </c>
    </row>
    <row r="5" spans="1:8" x14ac:dyDescent="0.25">
      <c r="B5" s="14"/>
      <c r="C5" s="14"/>
      <c r="D5" s="14"/>
      <c r="E5" s="14"/>
      <c r="F5" s="14"/>
    </row>
    <row r="6" spans="1:8" x14ac:dyDescent="0.25">
      <c r="A6" s="2" t="s">
        <v>102</v>
      </c>
      <c r="B6" s="14">
        <v>8315</v>
      </c>
      <c r="C6" s="14">
        <v>3869</v>
      </c>
      <c r="D6" s="14">
        <v>1290</v>
      </c>
      <c r="E6" s="14">
        <v>6886</v>
      </c>
      <c r="F6" s="14">
        <v>3274</v>
      </c>
    </row>
    <row r="7" spans="1:8" x14ac:dyDescent="0.25">
      <c r="A7" t="s">
        <v>72</v>
      </c>
      <c r="B7" s="14">
        <v>2029</v>
      </c>
      <c r="C7">
        <v>655</v>
      </c>
      <c r="D7">
        <v>230</v>
      </c>
      <c r="E7">
        <v>0</v>
      </c>
      <c r="F7">
        <v>1</v>
      </c>
    </row>
    <row r="8" spans="1:8" x14ac:dyDescent="0.25">
      <c r="A8" t="s">
        <v>73</v>
      </c>
      <c r="B8" s="14">
        <v>5549</v>
      </c>
      <c r="C8" s="14">
        <v>2869</v>
      </c>
      <c r="D8">
        <v>701</v>
      </c>
      <c r="E8" s="14">
        <v>6198</v>
      </c>
      <c r="F8" s="14">
        <v>2844</v>
      </c>
    </row>
    <row r="9" spans="1:8" x14ac:dyDescent="0.25">
      <c r="A9" t="s">
        <v>74</v>
      </c>
      <c r="B9">
        <v>0</v>
      </c>
      <c r="C9">
        <v>345</v>
      </c>
      <c r="D9">
        <v>360</v>
      </c>
      <c r="E9">
        <v>688</v>
      </c>
      <c r="F9">
        <v>428</v>
      </c>
    </row>
    <row r="10" spans="1:8" x14ac:dyDescent="0.25">
      <c r="A10" t="s">
        <v>75</v>
      </c>
      <c r="B10">
        <v>737</v>
      </c>
      <c r="C10">
        <v>0</v>
      </c>
      <c r="D10" s="14">
        <f>SUM(D4:D9)</f>
        <v>50352</v>
      </c>
      <c r="E10" s="14">
        <f t="shared" ref="E10:H10" si="0">SUM(E4:E9)</f>
        <v>69527</v>
      </c>
      <c r="F10" s="14">
        <f t="shared" si="0"/>
        <v>69974</v>
      </c>
      <c r="G10" s="14">
        <f t="shared" si="0"/>
        <v>0</v>
      </c>
      <c r="H10" s="14">
        <f t="shared" si="0"/>
        <v>0</v>
      </c>
    </row>
    <row r="12" spans="1:8" x14ac:dyDescent="0.25">
      <c r="A12" s="2" t="s">
        <v>103</v>
      </c>
      <c r="B12" s="14">
        <v>14615</v>
      </c>
      <c r="C12" s="14">
        <v>17291</v>
      </c>
      <c r="D12" s="14">
        <v>20474</v>
      </c>
      <c r="E12" s="14">
        <v>17831</v>
      </c>
      <c r="F12" s="14">
        <v>18367</v>
      </c>
    </row>
    <row r="13" spans="1:8" x14ac:dyDescent="0.25">
      <c r="A13" t="s">
        <v>76</v>
      </c>
      <c r="B13" s="14">
        <v>3860</v>
      </c>
      <c r="C13" s="14">
        <v>3017</v>
      </c>
      <c r="D13" s="14">
        <v>3055</v>
      </c>
      <c r="E13" s="14">
        <v>3320</v>
      </c>
      <c r="F13" s="14">
        <v>3439</v>
      </c>
    </row>
    <row r="14" spans="1:8" x14ac:dyDescent="0.25">
      <c r="A14" t="s">
        <v>77</v>
      </c>
      <c r="B14" s="14">
        <v>3584</v>
      </c>
      <c r="C14" s="14">
        <v>3974</v>
      </c>
      <c r="D14" s="14">
        <v>4490</v>
      </c>
      <c r="E14" s="14">
        <v>5682</v>
      </c>
      <c r="F14" s="14">
        <v>5653</v>
      </c>
    </row>
    <row r="15" spans="1:8" x14ac:dyDescent="0.25">
      <c r="A15" t="s">
        <v>78</v>
      </c>
      <c r="B15">
        <v>53</v>
      </c>
      <c r="C15">
        <v>47</v>
      </c>
      <c r="D15">
        <v>29</v>
      </c>
      <c r="E15">
        <v>41</v>
      </c>
      <c r="F15">
        <v>43</v>
      </c>
    </row>
    <row r="16" spans="1:8" x14ac:dyDescent="0.25">
      <c r="A16" t="s">
        <v>79</v>
      </c>
      <c r="B16" s="14">
        <v>7118</v>
      </c>
      <c r="C16" s="14">
        <v>10253</v>
      </c>
      <c r="D16" s="14">
        <v>12901</v>
      </c>
      <c r="E16" s="14">
        <v>8788</v>
      </c>
      <c r="F16" s="14">
        <v>9232</v>
      </c>
    </row>
    <row r="17" spans="1:6" x14ac:dyDescent="0.25">
      <c r="A17" t="s">
        <v>98</v>
      </c>
      <c r="B17" s="14">
        <v>68194</v>
      </c>
      <c r="C17" s="14">
        <v>67622</v>
      </c>
      <c r="D17" s="14">
        <v>69776</v>
      </c>
      <c r="E17" s="14">
        <v>80712</v>
      </c>
      <c r="F17" s="14">
        <v>85308</v>
      </c>
    </row>
    <row r="18" spans="1:6" x14ac:dyDescent="0.25">
      <c r="B18" s="14"/>
      <c r="C18" s="14"/>
      <c r="D18" s="14"/>
      <c r="E18" s="14"/>
      <c r="F18" s="14"/>
    </row>
    <row r="19" spans="1:6" x14ac:dyDescent="0.25">
      <c r="A19" s="2" t="s">
        <v>104</v>
      </c>
      <c r="B19" s="14">
        <v>22847</v>
      </c>
      <c r="C19" s="14">
        <v>21553</v>
      </c>
      <c r="D19" s="14">
        <v>22665</v>
      </c>
      <c r="E19" s="14">
        <v>24065</v>
      </c>
      <c r="F19" s="14">
        <v>23211</v>
      </c>
    </row>
    <row r="20" spans="1:6" x14ac:dyDescent="0.25">
      <c r="A20" t="s">
        <v>80</v>
      </c>
      <c r="B20">
        <v>686</v>
      </c>
      <c r="C20">
        <v>642</v>
      </c>
      <c r="D20">
        <v>862</v>
      </c>
      <c r="E20">
        <v>898</v>
      </c>
      <c r="F20" s="14">
        <v>1047</v>
      </c>
    </row>
    <row r="21" spans="1:6" x14ac:dyDescent="0.25">
      <c r="A21" t="s">
        <v>81</v>
      </c>
      <c r="B21" s="14">
        <v>5844</v>
      </c>
      <c r="C21" s="14">
        <v>5937</v>
      </c>
      <c r="D21" s="14">
        <v>6048</v>
      </c>
      <c r="E21" s="14">
        <v>6820</v>
      </c>
      <c r="F21" s="14">
        <v>6803</v>
      </c>
    </row>
    <row r="22" spans="1:6" x14ac:dyDescent="0.25">
      <c r="A22" t="s">
        <v>82</v>
      </c>
      <c r="B22" s="14">
        <v>10976</v>
      </c>
      <c r="C22" s="14">
        <v>11629</v>
      </c>
      <c r="D22" s="14">
        <v>12363</v>
      </c>
      <c r="E22" s="14">
        <v>13077</v>
      </c>
      <c r="F22" s="14">
        <v>13706</v>
      </c>
    </row>
    <row r="23" spans="1:6" x14ac:dyDescent="0.25">
      <c r="A23" t="s">
        <v>83</v>
      </c>
      <c r="B23">
        <v>233</v>
      </c>
      <c r="C23">
        <v>273</v>
      </c>
      <c r="D23">
        <v>305</v>
      </c>
      <c r="E23">
        <v>327</v>
      </c>
      <c r="F23">
        <v>345</v>
      </c>
    </row>
    <row r="24" spans="1:6" x14ac:dyDescent="0.25">
      <c r="A24" t="s">
        <v>84</v>
      </c>
      <c r="B24">
        <v>427</v>
      </c>
      <c r="C24">
        <v>421</v>
      </c>
      <c r="D24">
        <v>423</v>
      </c>
      <c r="E24">
        <v>444</v>
      </c>
      <c r="F24">
        <v>454</v>
      </c>
    </row>
    <row r="25" spans="1:6" x14ac:dyDescent="0.25">
      <c r="A25" t="s">
        <v>85</v>
      </c>
      <c r="B25">
        <v>319</v>
      </c>
      <c r="C25">
        <v>371</v>
      </c>
      <c r="D25">
        <v>408</v>
      </c>
      <c r="E25">
        <v>447</v>
      </c>
      <c r="F25">
        <v>414</v>
      </c>
    </row>
    <row r="26" spans="1:6" x14ac:dyDescent="0.25">
      <c r="A26" t="s">
        <v>86</v>
      </c>
      <c r="B26" s="14">
        <v>16322</v>
      </c>
      <c r="C26" s="14">
        <v>15934</v>
      </c>
      <c r="D26" s="14">
        <v>6591</v>
      </c>
      <c r="E26" s="14">
        <v>8358</v>
      </c>
      <c r="F26" s="14">
        <v>8599</v>
      </c>
    </row>
    <row r="27" spans="1:6" x14ac:dyDescent="0.25">
      <c r="A27" t="s">
        <v>87</v>
      </c>
      <c r="B27">
        <v>310</v>
      </c>
      <c r="C27">
        <v>371</v>
      </c>
      <c r="D27" s="14">
        <v>11707</v>
      </c>
      <c r="E27" s="14">
        <v>12729</v>
      </c>
      <c r="F27" s="14">
        <v>12916</v>
      </c>
    </row>
    <row r="28" spans="1:6" x14ac:dyDescent="0.25">
      <c r="A28" t="s">
        <v>88</v>
      </c>
      <c r="B28" s="14">
        <v>35116</v>
      </c>
      <c r="C28" s="14">
        <v>35579</v>
      </c>
      <c r="D28" s="14">
        <v>38707</v>
      </c>
      <c r="E28" s="14">
        <v>43100</v>
      </c>
      <c r="F28" s="14">
        <v>44284</v>
      </c>
    </row>
    <row r="29" spans="1:6" x14ac:dyDescent="0.25">
      <c r="A29" t="s">
        <v>89</v>
      </c>
      <c r="B29" s="14">
        <v>12269</v>
      </c>
      <c r="C29" s="14">
        <v>14026</v>
      </c>
      <c r="D29" s="14">
        <v>16042</v>
      </c>
      <c r="E29" s="14">
        <v>19035</v>
      </c>
      <c r="F29" s="14">
        <v>21072</v>
      </c>
    </row>
    <row r="30" spans="1:6" x14ac:dyDescent="0.25">
      <c r="A30" t="s">
        <v>99</v>
      </c>
      <c r="B30" s="14">
        <v>1220</v>
      </c>
      <c r="C30" s="14">
        <v>1567</v>
      </c>
      <c r="D30" s="14">
        <v>1287</v>
      </c>
      <c r="E30" s="14">
        <v>4973</v>
      </c>
      <c r="F30" s="14">
        <v>5354</v>
      </c>
    </row>
    <row r="31" spans="1:6" x14ac:dyDescent="0.25">
      <c r="A31" t="s">
        <v>100</v>
      </c>
      <c r="B31" s="14">
        <v>10143</v>
      </c>
      <c r="C31" s="14">
        <v>9612</v>
      </c>
      <c r="D31" s="14">
        <v>12849</v>
      </c>
      <c r="E31" s="14">
        <v>14824</v>
      </c>
      <c r="F31" s="14">
        <v>15026</v>
      </c>
    </row>
    <row r="32" spans="1:6" x14ac:dyDescent="0.25">
      <c r="B32" s="14"/>
      <c r="C32" s="14"/>
      <c r="D32" s="14"/>
      <c r="E32" s="14"/>
      <c r="F32" s="14"/>
    </row>
    <row r="33" spans="1:6" x14ac:dyDescent="0.25">
      <c r="A33" s="2" t="s">
        <v>105</v>
      </c>
      <c r="B33" s="14">
        <v>33984</v>
      </c>
      <c r="C33" s="14">
        <v>34890</v>
      </c>
      <c r="D33" s="14">
        <v>32975</v>
      </c>
      <c r="E33" s="14">
        <v>36849</v>
      </c>
      <c r="F33" s="14">
        <v>41717</v>
      </c>
    </row>
    <row r="34" spans="1:6" x14ac:dyDescent="0.25">
      <c r="A34" t="s">
        <v>90</v>
      </c>
      <c r="B34" s="14">
        <v>7875</v>
      </c>
      <c r="C34" s="14">
        <v>8997</v>
      </c>
      <c r="D34" s="14">
        <v>8925</v>
      </c>
      <c r="E34" s="14">
        <v>10513</v>
      </c>
      <c r="F34" s="14">
        <v>9868</v>
      </c>
    </row>
    <row r="35" spans="1:6" x14ac:dyDescent="0.25">
      <c r="A35" t="s">
        <v>91</v>
      </c>
      <c r="B35" s="14">
        <v>9421</v>
      </c>
      <c r="C35" s="14">
        <v>9061</v>
      </c>
      <c r="D35" s="14">
        <v>10485</v>
      </c>
      <c r="E35" s="14">
        <v>11439</v>
      </c>
      <c r="F35" s="14">
        <v>11249</v>
      </c>
    </row>
    <row r="36" spans="1:6" x14ac:dyDescent="0.25">
      <c r="A36" t="s">
        <v>92</v>
      </c>
      <c r="B36" s="14">
        <v>6488</v>
      </c>
      <c r="C36" s="14">
        <v>6446</v>
      </c>
      <c r="D36" s="14">
        <v>5033</v>
      </c>
      <c r="E36" s="14">
        <v>5770</v>
      </c>
      <c r="F36" s="14">
        <v>10521</v>
      </c>
    </row>
    <row r="37" spans="1:6" x14ac:dyDescent="0.25">
      <c r="A37" t="s">
        <v>93</v>
      </c>
      <c r="B37">
        <v>678</v>
      </c>
      <c r="C37">
        <v>649</v>
      </c>
      <c r="D37">
        <v>720</v>
      </c>
      <c r="E37">
        <v>818</v>
      </c>
      <c r="F37">
        <v>855</v>
      </c>
    </row>
    <row r="38" spans="1:6" x14ac:dyDescent="0.25">
      <c r="A38" t="s">
        <v>94</v>
      </c>
      <c r="B38" s="14">
        <v>9522</v>
      </c>
      <c r="C38" s="14">
        <v>9737</v>
      </c>
      <c r="D38" s="14">
        <v>7812</v>
      </c>
      <c r="E38" s="14">
        <v>8309</v>
      </c>
      <c r="F38" s="14">
        <v>9223</v>
      </c>
    </row>
    <row r="39" spans="1:6" x14ac:dyDescent="0.25">
      <c r="A39" t="s">
        <v>101</v>
      </c>
      <c r="B39" s="14">
        <v>68194</v>
      </c>
      <c r="C39" s="14">
        <v>67622</v>
      </c>
      <c r="D39" s="14">
        <v>69776</v>
      </c>
      <c r="E39" s="14">
        <v>80712</v>
      </c>
      <c r="F39" s="14">
        <v>85308</v>
      </c>
    </row>
    <row r="41" spans="1:6" x14ac:dyDescent="0.25">
      <c r="A41" t="s">
        <v>121</v>
      </c>
    </row>
    <row r="42" spans="1:6" x14ac:dyDescent="0.25">
      <c r="A42" t="s">
        <v>95</v>
      </c>
      <c r="B42" s="13">
        <v>43891</v>
      </c>
      <c r="C42" s="13">
        <v>44256</v>
      </c>
      <c r="D42" s="13">
        <v>44621</v>
      </c>
      <c r="E42" s="13">
        <v>44986</v>
      </c>
      <c r="F42" s="13">
        <v>45352</v>
      </c>
    </row>
    <row r="43" spans="1:6" x14ac:dyDescent="0.25">
      <c r="A43" t="s">
        <v>146</v>
      </c>
      <c r="B43" s="14">
        <v>6555</v>
      </c>
      <c r="C43" s="14">
        <v>6170</v>
      </c>
      <c r="D43" s="14">
        <v>8985</v>
      </c>
      <c r="E43" s="14">
        <v>4959</v>
      </c>
      <c r="F43" s="14">
        <v>12135</v>
      </c>
    </row>
    <row r="44" spans="1:6" x14ac:dyDescent="0.25">
      <c r="A44" t="s">
        <v>122</v>
      </c>
      <c r="B44" s="14">
        <v>7002</v>
      </c>
      <c r="C44" s="14">
        <v>4609</v>
      </c>
      <c r="D44" s="14">
        <v>6456</v>
      </c>
      <c r="E44" s="14">
        <v>12131</v>
      </c>
      <c r="F44" s="14">
        <v>12642</v>
      </c>
    </row>
    <row r="45" spans="1:6" x14ac:dyDescent="0.25">
      <c r="A45" t="s">
        <v>42</v>
      </c>
      <c r="B45">
        <v>-374</v>
      </c>
      <c r="C45">
        <v>94</v>
      </c>
      <c r="D45" s="14">
        <v>-1342</v>
      </c>
      <c r="E45">
        <v>-953</v>
      </c>
      <c r="F45">
        <v>353</v>
      </c>
    </row>
    <row r="46" spans="1:6" x14ac:dyDescent="0.25">
      <c r="A46" t="s">
        <v>29</v>
      </c>
      <c r="B46">
        <v>257</v>
      </c>
      <c r="C46" s="14">
        <v>-1080</v>
      </c>
      <c r="D46">
        <v>307</v>
      </c>
      <c r="E46" s="14">
        <v>-1202</v>
      </c>
      <c r="F46">
        <v>599</v>
      </c>
    </row>
    <row r="47" spans="1:6" x14ac:dyDescent="0.25">
      <c r="A47" t="s">
        <v>123</v>
      </c>
      <c r="B47">
        <v>-210</v>
      </c>
      <c r="C47">
        <v>381</v>
      </c>
      <c r="D47">
        <v>370</v>
      </c>
      <c r="E47" s="14">
        <v>1182</v>
      </c>
      <c r="F47">
        <v>250</v>
      </c>
    </row>
    <row r="48" spans="1:6" x14ac:dyDescent="0.25">
      <c r="A48" t="s">
        <v>124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125</v>
      </c>
      <c r="B49" s="14">
        <v>1226</v>
      </c>
      <c r="C49" s="14">
        <v>3169</v>
      </c>
      <c r="D49" s="14">
        <v>2224</v>
      </c>
      <c r="E49" s="14">
        <v>-4689</v>
      </c>
      <c r="F49">
        <v>-139</v>
      </c>
    </row>
    <row r="50" spans="1:6" x14ac:dyDescent="0.25">
      <c r="A50" t="s">
        <v>126</v>
      </c>
      <c r="B50">
        <v>899</v>
      </c>
      <c r="C50" s="14">
        <v>2564</v>
      </c>
      <c r="D50" s="14">
        <v>1559</v>
      </c>
      <c r="E50" s="14">
        <v>-5662</v>
      </c>
      <c r="F50" s="14">
        <v>1062</v>
      </c>
    </row>
    <row r="51" spans="1:6" x14ac:dyDescent="0.25">
      <c r="A51" t="s">
        <v>127</v>
      </c>
      <c r="B51" s="14">
        <v>-1346</v>
      </c>
      <c r="C51" s="14">
        <v>-1003</v>
      </c>
      <c r="D51">
        <v>969</v>
      </c>
      <c r="E51" s="14">
        <v>-1510</v>
      </c>
      <c r="F51" s="14">
        <v>-1569</v>
      </c>
    </row>
    <row r="52" spans="1:6" x14ac:dyDescent="0.25">
      <c r="B52" s="14"/>
      <c r="C52" s="14"/>
      <c r="E52" s="14"/>
      <c r="F52" s="14"/>
    </row>
    <row r="53" spans="1:6" x14ac:dyDescent="0.25">
      <c r="A53" t="s">
        <v>147</v>
      </c>
      <c r="B53" s="14">
        <v>-2225</v>
      </c>
      <c r="C53">
        <v>407</v>
      </c>
      <c r="D53" s="14">
        <v>-5556</v>
      </c>
      <c r="E53" s="14">
        <v>-7220</v>
      </c>
      <c r="F53">
        <v>-763</v>
      </c>
    </row>
    <row r="54" spans="1:6" x14ac:dyDescent="0.25">
      <c r="A54" t="s">
        <v>128</v>
      </c>
      <c r="B54" s="14">
        <v>-1542</v>
      </c>
      <c r="C54" s="14">
        <v>-1170</v>
      </c>
      <c r="D54" s="14">
        <v>-1495</v>
      </c>
      <c r="E54" s="14">
        <v>-2086</v>
      </c>
      <c r="F54" s="14">
        <v>-2202</v>
      </c>
    </row>
    <row r="55" spans="1:6" x14ac:dyDescent="0.25">
      <c r="A55" t="s">
        <v>129</v>
      </c>
      <c r="B55">
        <v>92</v>
      </c>
      <c r="C55">
        <v>97</v>
      </c>
      <c r="D55">
        <v>61</v>
      </c>
      <c r="E55">
        <v>21</v>
      </c>
      <c r="F55">
        <v>31</v>
      </c>
    </row>
    <row r="56" spans="1:6" x14ac:dyDescent="0.25">
      <c r="A56" t="s">
        <v>130</v>
      </c>
      <c r="B56" s="14">
        <v>-33445</v>
      </c>
      <c r="C56" s="14">
        <v>-18542</v>
      </c>
      <c r="D56" s="14">
        <v>-24135</v>
      </c>
      <c r="E56" s="14">
        <v>-21809</v>
      </c>
      <c r="F56" s="14">
        <v>-29004</v>
      </c>
    </row>
    <row r="57" spans="1:6" x14ac:dyDescent="0.25">
      <c r="A57" t="s">
        <v>131</v>
      </c>
      <c r="B57" s="14">
        <v>31894</v>
      </c>
      <c r="C57" s="14">
        <v>19709</v>
      </c>
      <c r="D57" s="14">
        <v>20702</v>
      </c>
      <c r="E57" s="14">
        <v>20897</v>
      </c>
      <c r="F57" s="14">
        <v>30094</v>
      </c>
    </row>
    <row r="58" spans="1:6" x14ac:dyDescent="0.25">
      <c r="A58" t="s">
        <v>132</v>
      </c>
      <c r="B58">
        <v>338</v>
      </c>
      <c r="C58">
        <v>72</v>
      </c>
      <c r="D58">
        <v>76</v>
      </c>
      <c r="E58">
        <v>318</v>
      </c>
      <c r="F58">
        <v>613</v>
      </c>
    </row>
    <row r="59" spans="1:6" x14ac:dyDescent="0.25">
      <c r="A59" t="s">
        <v>133</v>
      </c>
      <c r="B59">
        <v>56</v>
      </c>
      <c r="C59">
        <v>138</v>
      </c>
      <c r="D59">
        <v>134</v>
      </c>
      <c r="E59">
        <v>132</v>
      </c>
      <c r="F59">
        <v>99</v>
      </c>
    </row>
    <row r="60" spans="1:6" x14ac:dyDescent="0.25">
      <c r="A60" t="s">
        <v>134</v>
      </c>
      <c r="B60">
        <v>0</v>
      </c>
      <c r="C60">
        <v>0</v>
      </c>
      <c r="D60">
        <v>-15</v>
      </c>
      <c r="E60">
        <v>-155</v>
      </c>
      <c r="F60">
        <v>-87</v>
      </c>
    </row>
    <row r="61" spans="1:6" x14ac:dyDescent="0.25">
      <c r="A61" t="s">
        <v>135</v>
      </c>
      <c r="B61">
        <v>0</v>
      </c>
      <c r="C61">
        <v>0</v>
      </c>
      <c r="D61">
        <v>24</v>
      </c>
      <c r="E61">
        <v>0</v>
      </c>
      <c r="F61">
        <v>0</v>
      </c>
    </row>
    <row r="62" spans="1:6" x14ac:dyDescent="0.25">
      <c r="A62" t="s">
        <v>136</v>
      </c>
      <c r="B62">
        <v>0</v>
      </c>
      <c r="C62">
        <v>-62</v>
      </c>
      <c r="D62">
        <v>-740</v>
      </c>
      <c r="E62" s="14">
        <v>-4686</v>
      </c>
      <c r="F62">
        <v>-143</v>
      </c>
    </row>
    <row r="63" spans="1:6" x14ac:dyDescent="0.25">
      <c r="A63" t="s">
        <v>137</v>
      </c>
      <c r="B63">
        <v>382</v>
      </c>
      <c r="C63">
        <v>165</v>
      </c>
      <c r="D63">
        <v>-167</v>
      </c>
      <c r="E63">
        <v>148</v>
      </c>
      <c r="F63">
        <v>-164</v>
      </c>
    </row>
    <row r="65" spans="1:6" x14ac:dyDescent="0.25">
      <c r="A65" t="s">
        <v>148</v>
      </c>
      <c r="B65" s="14">
        <v>-5715</v>
      </c>
      <c r="C65" s="14">
        <v>-5980</v>
      </c>
      <c r="D65" s="14">
        <v>-5193</v>
      </c>
      <c r="E65" s="14">
        <v>2376</v>
      </c>
      <c r="F65" s="14">
        <v>-6710</v>
      </c>
    </row>
    <row r="66" spans="1:6" x14ac:dyDescent="0.25">
      <c r="A66" t="s">
        <v>138</v>
      </c>
      <c r="B66">
        <v>0</v>
      </c>
      <c r="C66">
        <v>425</v>
      </c>
      <c r="D66">
        <v>0</v>
      </c>
      <c r="E66">
        <v>0</v>
      </c>
      <c r="F66">
        <v>0</v>
      </c>
    </row>
    <row r="67" spans="1:6" x14ac:dyDescent="0.25">
      <c r="A67" t="s">
        <v>139</v>
      </c>
      <c r="B67" s="14">
        <v>10552</v>
      </c>
      <c r="C67" s="14">
        <v>6603</v>
      </c>
      <c r="D67" s="14">
        <v>1763</v>
      </c>
      <c r="E67" s="14">
        <v>8160</v>
      </c>
      <c r="F67" s="14">
        <v>4573</v>
      </c>
    </row>
    <row r="68" spans="1:6" x14ac:dyDescent="0.25">
      <c r="A68" t="s">
        <v>140</v>
      </c>
      <c r="B68" s="14">
        <v>-13893</v>
      </c>
      <c r="C68" s="14">
        <v>-10802</v>
      </c>
      <c r="D68" s="14">
        <v>-4400</v>
      </c>
      <c r="E68" s="14">
        <v>-3030</v>
      </c>
      <c r="F68" s="14">
        <v>-7963</v>
      </c>
    </row>
    <row r="69" spans="1:6" x14ac:dyDescent="0.25">
      <c r="A69" t="s">
        <v>141</v>
      </c>
      <c r="B69">
        <v>-272</v>
      </c>
      <c r="C69">
        <v>-144</v>
      </c>
      <c r="D69">
        <v>-73</v>
      </c>
      <c r="E69">
        <v>-132</v>
      </c>
      <c r="F69">
        <v>-219</v>
      </c>
    </row>
    <row r="70" spans="1:6" x14ac:dyDescent="0.25">
      <c r="A70" t="s">
        <v>142</v>
      </c>
      <c r="B70" s="14">
        <v>-1399</v>
      </c>
      <c r="C70" s="14">
        <v>-1586</v>
      </c>
      <c r="D70" s="14">
        <v>-2169</v>
      </c>
      <c r="E70" s="14">
        <v>-2520</v>
      </c>
      <c r="F70" s="14">
        <v>-2901</v>
      </c>
    </row>
    <row r="71" spans="1:6" x14ac:dyDescent="0.25">
      <c r="A71" t="s">
        <v>143</v>
      </c>
      <c r="B71">
        <v>0</v>
      </c>
      <c r="C71">
        <v>-118</v>
      </c>
      <c r="D71">
        <v>-129</v>
      </c>
      <c r="E71">
        <v>-101</v>
      </c>
      <c r="F71">
        <v>-123</v>
      </c>
    </row>
    <row r="72" spans="1:6" x14ac:dyDescent="0.25">
      <c r="A72" t="s">
        <v>144</v>
      </c>
      <c r="B72">
        <v>-702</v>
      </c>
      <c r="C72">
        <v>-358</v>
      </c>
      <c r="D72">
        <v>-186</v>
      </c>
      <c r="E72">
        <v>0</v>
      </c>
      <c r="F72">
        <v>-77</v>
      </c>
    </row>
    <row r="73" spans="1:6" x14ac:dyDescent="0.25">
      <c r="A73" t="s">
        <v>145</v>
      </c>
      <c r="B73" s="14">
        <v>-1386</v>
      </c>
      <c r="C73">
        <v>596</v>
      </c>
      <c r="D73" s="14">
        <v>-1765</v>
      </c>
      <c r="E73">
        <v>115</v>
      </c>
      <c r="F73" s="14">
        <v>4662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Data Sheet</vt:lpstr>
      <vt:lpstr>DCF</vt:lpstr>
      <vt:lpstr>WACC</vt:lpstr>
      <vt:lpstr>Growth Rate</vt:lpstr>
      <vt:lpstr>Raw BS</vt:lpstr>
      <vt:lpstr>DCF!Print_Area</vt:lpstr>
      <vt:lpstr>'Growth Rate'!Print_Area</vt:lpstr>
      <vt:lpstr>WACC!Print_Area</vt:lpstr>
      <vt:lpstr>TGR</vt:lpstr>
      <vt:lpstr>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swaraj samant</cp:lastModifiedBy>
  <cp:lastPrinted>2025-10-05T04:34:26Z</cp:lastPrinted>
  <dcterms:created xsi:type="dcterms:W3CDTF">2012-08-17T09:55:37Z</dcterms:created>
  <dcterms:modified xsi:type="dcterms:W3CDTF">2025-10-05T04:40:54Z</dcterms:modified>
</cp:coreProperties>
</file>