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79c3b6ccd3a77/Desktop/Financial Modals/"/>
    </mc:Choice>
  </mc:AlternateContent>
  <xr:revisionPtr revIDLastSave="1876" documentId="8_{4EB6A9BC-7B5B-42FE-ACDE-368F1632B686}" xr6:coauthVersionLast="47" xr6:coauthVersionMax="47" xr10:uidLastSave="{19112E5D-3040-4F8E-9EBF-0A21931EA08E}"/>
  <bookViews>
    <workbookView xWindow="-120" yWindow="-120" windowWidth="29040" windowHeight="15720" activeTab="1" xr2:uid="{D9EA2E9E-6E1C-4BFB-B06F-58DE16BCAABC}"/>
  </bookViews>
  <sheets>
    <sheet name="Cover Page" sheetId="6" r:id="rId1"/>
    <sheet name="IPO_MODEL" sheetId="1" r:id="rId2"/>
  </sheets>
  <externalReferences>
    <externalReference r:id="rId3"/>
  </externalReferences>
  <definedNames>
    <definedName name="Existing_shares">IPO_MODEL!$F$17</definedName>
    <definedName name="Forward_year_1_ebitda">IPO_MODEL!$L$24</definedName>
    <definedName name="Forward_year_1_net_income">IPO_MODEL!$L$25</definedName>
    <definedName name="Forward_Year_1_Revenue">IPO_MODEL!$L$23</definedName>
    <definedName name="Greenshoe_pct">IPO_MODEL!$F$14</definedName>
    <definedName name="Greenshoe_Primary_Pct">'[1]IPO-Model'!$E$16</definedName>
    <definedName name="IPO_Discount">'[1]IPO-Model'!$E$10</definedName>
    <definedName name="ipo_pricing_discount">IPO_MODEL!$F$9</definedName>
    <definedName name="IPO_Spread">'[1]IPO-Model'!$E$9</definedName>
    <definedName name="Issuer_Existing_Shares">'[1]IPO-Model'!$E$18</definedName>
    <definedName name="primary_raise">IPO_MODEL!$L$7</definedName>
    <definedName name="primary_share">IPO_MODEL!$F$11</definedName>
    <definedName name="Primary_Shares">#REF!</definedName>
    <definedName name="_xlnm.Print_Area" localSheetId="1">IPO_MODEL!$B$2:$N$113</definedName>
    <definedName name="secondary_raise">IPO_MODEL!$L$8</definedName>
    <definedName name="Secondary_Shares">#REF!</definedName>
    <definedName name="underwriting_discount">IPO_MODEL!$F$8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6" l="1"/>
  <c r="H6" i="6"/>
  <c r="H5" i="6"/>
  <c r="D8" i="6"/>
  <c r="L25" i="1" l="1"/>
  <c r="D7" i="6" s="1"/>
  <c r="L24" i="1"/>
  <c r="L23" i="1"/>
  <c r="H32" i="6"/>
  <c r="G32" i="6"/>
  <c r="H31" i="6"/>
  <c r="G31" i="6"/>
  <c r="H30" i="6"/>
  <c r="G30" i="6"/>
  <c r="F32" i="6"/>
  <c r="E32" i="6"/>
  <c r="D32" i="6"/>
  <c r="C32" i="6"/>
  <c r="F31" i="6"/>
  <c r="E31" i="6"/>
  <c r="D31" i="6"/>
  <c r="C31" i="6"/>
  <c r="F30" i="6"/>
  <c r="E30" i="6"/>
  <c r="D30" i="6"/>
  <c r="C30" i="6"/>
  <c r="G29" i="6"/>
  <c r="F29" i="6"/>
  <c r="E29" i="6"/>
  <c r="D29" i="6"/>
  <c r="C29" i="6"/>
  <c r="K101" i="1"/>
  <c r="H25" i="6"/>
  <c r="G25" i="6"/>
  <c r="H24" i="6"/>
  <c r="G24" i="6"/>
  <c r="H23" i="6"/>
  <c r="G23" i="6"/>
  <c r="H22" i="6"/>
  <c r="F25" i="6"/>
  <c r="E25" i="6"/>
  <c r="D25" i="6"/>
  <c r="C25" i="6"/>
  <c r="F24" i="6"/>
  <c r="E24" i="6"/>
  <c r="D24" i="6"/>
  <c r="C24" i="6"/>
  <c r="F23" i="6"/>
  <c r="E23" i="6"/>
  <c r="D23" i="6"/>
  <c r="C23" i="6"/>
  <c r="G22" i="6"/>
  <c r="F22" i="6"/>
  <c r="E22" i="6"/>
  <c r="D22" i="6"/>
  <c r="C22" i="6"/>
  <c r="D101" i="1"/>
  <c r="N104" i="1" l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G104" i="1"/>
  <c r="F104" i="1"/>
  <c r="E104" i="1"/>
  <c r="D104" i="1"/>
  <c r="G103" i="1"/>
  <c r="F103" i="1"/>
  <c r="E103" i="1"/>
  <c r="D103" i="1"/>
  <c r="G102" i="1"/>
  <c r="F102" i="1"/>
  <c r="E102" i="1"/>
  <c r="D102" i="1"/>
  <c r="G101" i="1"/>
  <c r="F101" i="1"/>
  <c r="E101" i="1"/>
  <c r="L9" i="1" l="1"/>
  <c r="H7" i="6" s="1"/>
  <c r="N38" i="1"/>
  <c r="M38" i="1"/>
  <c r="L38" i="1"/>
  <c r="K38" i="1"/>
  <c r="N33" i="1"/>
  <c r="M33" i="1"/>
  <c r="L33" i="1"/>
  <c r="K33" i="1"/>
  <c r="N30" i="1"/>
  <c r="N31" i="1" s="1"/>
  <c r="M30" i="1"/>
  <c r="M31" i="1" s="1"/>
  <c r="L30" i="1"/>
  <c r="L31" i="1" s="1"/>
  <c r="K30" i="1"/>
  <c r="K31" i="1" s="1"/>
  <c r="L36" i="1" l="1"/>
  <c r="L77" i="1"/>
  <c r="K36" i="1"/>
  <c r="K40" i="1" s="1"/>
  <c r="K77" i="1"/>
  <c r="M36" i="1"/>
  <c r="M77" i="1"/>
  <c r="N36" i="1"/>
  <c r="N77" i="1"/>
  <c r="N87" i="1" l="1"/>
  <c r="N90" i="1" s="1"/>
  <c r="N40" i="1"/>
  <c r="M87" i="1"/>
  <c r="M90" i="1" s="1"/>
  <c r="M40" i="1"/>
  <c r="M45" i="1" s="1"/>
  <c r="M46" i="1" s="1"/>
  <c r="M47" i="1" s="1"/>
  <c r="L87" i="1"/>
  <c r="L90" i="1" s="1"/>
  <c r="L40" i="1"/>
  <c r="L52" i="1" s="1"/>
  <c r="K87" i="1"/>
  <c r="K90" i="1" s="1"/>
  <c r="M34" i="1"/>
  <c r="K34" i="1"/>
  <c r="L45" i="1"/>
  <c r="L66" i="1" s="1"/>
  <c r="L72" i="1" s="1"/>
  <c r="L91" i="1"/>
  <c r="M91" i="1"/>
  <c r="N91" i="1"/>
  <c r="K91" i="1"/>
  <c r="L34" i="1"/>
  <c r="N34" i="1"/>
  <c r="N21" i="1"/>
  <c r="L71" i="1" l="1"/>
  <c r="L46" i="1"/>
  <c r="L47" i="1" s="1"/>
  <c r="L49" i="1" s="1"/>
  <c r="L62" i="1" s="1"/>
  <c r="N45" i="1"/>
  <c r="N46" i="1" s="1"/>
  <c r="M52" i="1"/>
  <c r="M66" i="1"/>
  <c r="M72" i="1" s="1"/>
  <c r="M68" i="1"/>
  <c r="L68" i="1"/>
  <c r="K68" i="1"/>
  <c r="N68" i="1"/>
  <c r="L67" i="1"/>
  <c r="N52" i="1"/>
  <c r="K52" i="1"/>
  <c r="K45" i="1"/>
  <c r="K46" i="1" s="1"/>
  <c r="K47" i="1" s="1"/>
  <c r="K49" i="1" s="1"/>
  <c r="K62" i="1" s="1"/>
  <c r="M49" i="1"/>
  <c r="M62" i="1" s="1"/>
  <c r="L69" i="1" l="1"/>
  <c r="L78" i="1" s="1"/>
  <c r="L88" i="1" s="1"/>
  <c r="M71" i="1"/>
  <c r="N66" i="1"/>
  <c r="N72" i="1" s="1"/>
  <c r="M67" i="1"/>
  <c r="M69" i="1" s="1"/>
  <c r="M78" i="1" s="1"/>
  <c r="K66" i="1"/>
  <c r="K72" i="1" s="1"/>
  <c r="L50" i="1"/>
  <c r="N47" i="1"/>
  <c r="M50" i="1"/>
  <c r="K50" i="1"/>
  <c r="F15" i="1"/>
  <c r="L85" i="1" l="1"/>
  <c r="L94" i="1" s="1"/>
  <c r="N67" i="1"/>
  <c r="N69" i="1" s="1"/>
  <c r="N78" i="1" s="1"/>
  <c r="N85" i="1" s="1"/>
  <c r="M85" i="1"/>
  <c r="M97" i="1" s="1"/>
  <c r="M88" i="1"/>
  <c r="M96" i="1" s="1"/>
  <c r="N71" i="1"/>
  <c r="L96" i="1"/>
  <c r="L93" i="1"/>
  <c r="K67" i="1"/>
  <c r="K69" i="1" s="1"/>
  <c r="H9" i="6" s="1"/>
  <c r="K71" i="1"/>
  <c r="N49" i="1"/>
  <c r="N62" i="1" s="1"/>
  <c r="M55" i="1"/>
  <c r="M54" i="1" s="1"/>
  <c r="M58" i="1"/>
  <c r="M57" i="1" s="1"/>
  <c r="M63" i="1"/>
  <c r="M64" i="1" s="1"/>
  <c r="M73" i="1" s="1"/>
  <c r="L55" i="1"/>
  <c r="L54" i="1" s="1"/>
  <c r="L58" i="1"/>
  <c r="L57" i="1" s="1"/>
  <c r="L63" i="1"/>
  <c r="L64" i="1" s="1"/>
  <c r="L73" i="1" s="1"/>
  <c r="K55" i="1"/>
  <c r="K54" i="1" s="1"/>
  <c r="K58" i="1"/>
  <c r="K57" i="1" s="1"/>
  <c r="K63" i="1"/>
  <c r="K64" i="1" s="1"/>
  <c r="K73" i="1" s="1"/>
  <c r="L97" i="1" l="1"/>
  <c r="N88" i="1"/>
  <c r="N96" i="1" s="1"/>
  <c r="M93" i="1"/>
  <c r="M94" i="1"/>
  <c r="K78" i="1"/>
  <c r="N97" i="1"/>
  <c r="N94" i="1"/>
  <c r="N50" i="1"/>
  <c r="N58" i="1" s="1"/>
  <c r="N57" i="1" s="1"/>
  <c r="N93" i="1" l="1"/>
  <c r="K85" i="1"/>
  <c r="K97" i="1" s="1"/>
  <c r="K88" i="1"/>
  <c r="K93" i="1" s="1"/>
  <c r="N55" i="1"/>
  <c r="N54" i="1" s="1"/>
  <c r="N63" i="1"/>
  <c r="N64" i="1" s="1"/>
  <c r="N73" i="1" s="1"/>
  <c r="K96" i="1" l="1"/>
  <c r="K94" i="1"/>
</calcChain>
</file>

<file path=xl/sharedStrings.xml><?xml version="1.0" encoding="utf-8"?>
<sst xmlns="http://schemas.openxmlformats.org/spreadsheetml/2006/main" count="194" uniqueCount="134">
  <si>
    <t>EV/EBITDA</t>
  </si>
  <si>
    <t>#</t>
  </si>
  <si>
    <t>Underwriting Discount</t>
  </si>
  <si>
    <t xml:space="preserve">Currency of Deal </t>
  </si>
  <si>
    <t>INR</t>
  </si>
  <si>
    <t>IPO Pricing Discount</t>
  </si>
  <si>
    <t>Primary Shares %</t>
  </si>
  <si>
    <t>Secondary Shares %</t>
  </si>
  <si>
    <t>IPO Valuation Model - JSW Cement</t>
  </si>
  <si>
    <t>Greenshoe Provision</t>
  </si>
  <si>
    <t>Primary Allocation</t>
  </si>
  <si>
    <t>Fees to BRLMs + Commission (incl. underwriting, selling)</t>
  </si>
  <si>
    <t>SCSB + Sponsor Bank Fees, Bidding Charges</t>
  </si>
  <si>
    <t>Registrar Fees</t>
  </si>
  <si>
    <t>Legal, Accounting, and Other Advisory</t>
  </si>
  <si>
    <t>Listing, SEBI, BSE/NSE Processing Fees, Software</t>
  </si>
  <si>
    <t>Printing &amp; Stationery</t>
  </si>
  <si>
    <t>Advertising &amp; Marketing</t>
  </si>
  <si>
    <t>Miscellaneous</t>
  </si>
  <si>
    <t>Total Fees/Expenses</t>
  </si>
  <si>
    <t>Forward Year 1 Revenue:</t>
  </si>
  <si>
    <t>Forward Year 1 EBITDA:</t>
  </si>
  <si>
    <t>Forward Year 1 Net Income:</t>
  </si>
  <si>
    <t>Deal &amp; Expense Assumptions:</t>
  </si>
  <si>
    <t>Units</t>
  </si>
  <si>
    <t>Forward  Year 1 P/E Multiple at Trading</t>
  </si>
  <si>
    <t>Pricing Discount %:</t>
  </si>
  <si>
    <t>Implied Post-Money Equity Value @ Trading:</t>
  </si>
  <si>
    <t>Implied Post-Money Equity Value @ Pricing:</t>
  </si>
  <si>
    <t>Issuer Exisiting Shares Outstanding:</t>
  </si>
  <si>
    <t>Implied Offering Price Per Share:</t>
  </si>
  <si>
    <t>Pricing Discount Amount:</t>
  </si>
  <si>
    <t>₹ M</t>
  </si>
  <si>
    <t>₹ as Stated</t>
  </si>
  <si>
    <t>M Shares</t>
  </si>
  <si>
    <t>%</t>
  </si>
  <si>
    <t xml:space="preserve">Expense </t>
  </si>
  <si>
    <t>Post-Transaction Shares Outstanding Calculation</t>
  </si>
  <si>
    <t>Primary Shares Issued In IPO</t>
  </si>
  <si>
    <t>Secondary Shares Sold In IPO</t>
  </si>
  <si>
    <t>Total Shares Isssued or Sold in IPO:</t>
  </si>
  <si>
    <t>Total Shares Issued or Sold in Base Deal</t>
  </si>
  <si>
    <t>Total Overallotment  Shares</t>
  </si>
  <si>
    <t>Pro-Forma Shares Outstanding Post IPO</t>
  </si>
  <si>
    <t>Primary Shares issued - Base Offering</t>
  </si>
  <si>
    <t>Primary Shares issued - Overallotment</t>
  </si>
  <si>
    <t>Secondary Shares issued - Base Offering</t>
  </si>
  <si>
    <t>Secondary Shares issued - Overallotment</t>
  </si>
  <si>
    <t>Deal Size &amp; Gross and Net Proceeds to Issuer</t>
  </si>
  <si>
    <t>Base Deal Size (Primary + Secondary)</t>
  </si>
  <si>
    <t xml:space="preserve">    Plus: Total Overallotment</t>
  </si>
  <si>
    <t>Total Offering Size</t>
  </si>
  <si>
    <t>Gross Primary Proceeds</t>
  </si>
  <si>
    <t xml:space="preserve">    Less: Underwrting Discount</t>
  </si>
  <si>
    <t xml:space="preserve">    Less: Deal-Related Fees</t>
  </si>
  <si>
    <t>Net IPO Proceeds tro Issuer</t>
  </si>
  <si>
    <t>Implied Pre-Money Equity Value</t>
  </si>
  <si>
    <t>% Company Sold in IPO</t>
  </si>
  <si>
    <t>Valuation Multiples @ Pricing and Trading</t>
  </si>
  <si>
    <t xml:space="preserve">    Less: Net IPO Proceeds</t>
  </si>
  <si>
    <t xml:space="preserve">    Less: Cash and Cash-Equivalents</t>
  </si>
  <si>
    <t xml:space="preserve">    Less: Equity Investment</t>
  </si>
  <si>
    <t xml:space="preserve">    Less: Net Non-Core Assets</t>
  </si>
  <si>
    <t xml:space="preserve">    Less: Net Operating Losses</t>
  </si>
  <si>
    <t xml:space="preserve">    Plus: Total Debt</t>
  </si>
  <si>
    <t xml:space="preserve">    Plus: Noncontrolling Interest</t>
  </si>
  <si>
    <t>Implied Post-Money Enterprise Value @ Trading:</t>
  </si>
  <si>
    <t>Implied Post-Money Equity Value @ Pricing</t>
  </si>
  <si>
    <t>Implied Post-Money Enterprise Value @ Pricing</t>
  </si>
  <si>
    <t>Implied Forward P / E Multiple at Pricing:</t>
  </si>
  <si>
    <t>Implied Forward P / E Multiple at Trading:</t>
  </si>
  <si>
    <t>Implied Forward EV / EBITDA Multiple at Pricing:</t>
  </si>
  <si>
    <t>Implied Forward EV / EBITDA Multiple at Trading:</t>
  </si>
  <si>
    <t>Implied Forward EV / Revenue Multiple at Pricing:</t>
  </si>
  <si>
    <t>Implied Forward EV / Revenue Multiple at Trading:</t>
  </si>
  <si>
    <t>x</t>
  </si>
  <si>
    <t>-</t>
  </si>
  <si>
    <t>Primary Raise</t>
  </si>
  <si>
    <t>Secondary Raise (OFS)</t>
  </si>
  <si>
    <t>IPO Size</t>
  </si>
  <si>
    <t>Note: Offer price per share reflects pre-money value per existing share, derived from post-money valuation minus fresh issue proceeds.</t>
  </si>
  <si>
    <r>
      <t>Offer Price Sensitivity</t>
    </r>
    <r>
      <rPr>
        <sz val="11"/>
        <color theme="1"/>
        <rFont val="Calibri"/>
        <family val="2"/>
      </rPr>
      <t>:</t>
    </r>
  </si>
  <si>
    <t>P/E ↓ / Disc →</t>
  </si>
  <si>
    <t>% Dillution ↓ \ Price →</t>
  </si>
  <si>
    <t>Proceeds vs Dilution Sensitivity Table: (₹ Cr)</t>
  </si>
  <si>
    <t>📘 Deal Summary</t>
  </si>
  <si>
    <t>Company</t>
  </si>
  <si>
    <t>JSW Cement</t>
  </si>
  <si>
    <t>Valuation Method</t>
  </si>
  <si>
    <t>Forward P/E (FY25)</t>
  </si>
  <si>
    <t>FY25 Projected Net Income</t>
  </si>
  <si>
    <t>IPO Discount</t>
  </si>
  <si>
    <t>Offer Price Range</t>
  </si>
  <si>
    <t>Total Shares (Post-IPO)</t>
  </si>
  <si>
    <t>Greenshoe Option</t>
  </si>
  <si>
    <t>15% of Base Issue</t>
  </si>
  <si>
    <t>💰 Capital Structure &amp; Proceeds</t>
  </si>
  <si>
    <t>Primary Issue</t>
  </si>
  <si>
    <t>OFS (Secondary)</t>
  </si>
  <si>
    <t>Total IPO Size</t>
  </si>
  <si>
    <t>Issue Expenses + Discount</t>
  </si>
  <si>
    <t>₹295 Cr (approx.)</t>
  </si>
  <si>
    <t>Net Proceeds to Issuer</t>
  </si>
  <si>
    <t>📈 Valuation Metrics (at Offer Pricing)</t>
  </si>
  <si>
    <t>Forward P/E</t>
  </si>
  <si>
    <t>% Public Ownership (Primary)</t>
  </si>
  <si>
    <t>% Company Sold (incl. OFS)</t>
  </si>
  <si>
    <t>🔍 Sensitivity Summary</t>
  </si>
  <si>
    <t>Offer Price Sensitivity</t>
  </si>
  <si>
    <t>P/E × Discount matrix</t>
  </si>
  <si>
    <t>Proceeds vs Dilution</t>
  </si>
  <si>
    <t>📉 Offer Price Sensitivity</t>
  </si>
  <si>
    <t>📉 Proceeds vs Dilution Sensitivity Table: (₹ Cr)</t>
  </si>
  <si>
    <t>Capital raised vs dilution threshold</t>
  </si>
  <si>
    <t>IPO Summary Dashboard</t>
  </si>
  <si>
    <t>Filing Range - 1-Year Forward P / E Multiples</t>
  </si>
  <si>
    <t>₹56.92 – ₹84.21</t>
  </si>
  <si>
    <t>~1,501 – 1,615 Mn</t>
  </si>
  <si>
    <t>40x-55x</t>
  </si>
  <si>
    <t>13.4x-17.1x</t>
  </si>
  <si>
    <t>~15.8% – 21.8%</t>
  </si>
  <si>
    <t>Dilution % (Only Primary):</t>
  </si>
  <si>
    <t>~31.6%-43.5%</t>
  </si>
  <si>
    <t>Transcation Assumptions (in millions)</t>
  </si>
  <si>
    <t>Issuer - Existing Shares</t>
  </si>
  <si>
    <t>Funds raised in IPO</t>
  </si>
  <si>
    <t>ACC</t>
  </si>
  <si>
    <t>Grasim Industires</t>
  </si>
  <si>
    <t>Ambuja Cements</t>
  </si>
  <si>
    <t>UltraTech Cement</t>
  </si>
  <si>
    <t xml:space="preserve">Forward EV/Revenue </t>
  </si>
  <si>
    <t>Peer Benchmarking: (FY25E)</t>
  </si>
  <si>
    <t>Forward EV/EBITDA</t>
  </si>
  <si>
    <t>JK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</si>
</sst>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₹&quot;\ * #,##0.00_ ;_ &quot;₹&quot;\ * \-#,##0.00_ ;_ &quot;₹&quot;\ * &quot;-&quot;??_ ;_ @_ "/>
    <numFmt numFmtId="164" formatCode="0.0\x"/>
    <numFmt numFmtId="165" formatCode="0.0%"/>
    <numFmt numFmtId="166" formatCode="General\x"/>
    <numFmt numFmtId="167" formatCode="#,##0.0"/>
    <numFmt numFmtId="168" formatCode="0.0"/>
    <numFmt numFmtId="169" formatCode="&quot;₹&quot;\ #,##0.00;&quot;₹&quot;\ \(#,##0.00\)"/>
    <numFmt numFmtId="170" formatCode="0\x"/>
    <numFmt numFmtId="171" formatCode="&quot;₹&quot;\ 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  <font>
      <i/>
      <sz val="10"/>
      <color theme="1"/>
      <name val="Calibri"/>
      <family val="2"/>
    </font>
    <font>
      <i/>
      <sz val="9"/>
      <color theme="1"/>
      <name val="Calibri"/>
      <family val="2"/>
    </font>
    <font>
      <b/>
      <sz val="16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DDDD"/>
        <bgColor rgb="FFDDDDDD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1"/>
      </top>
      <bottom style="medium">
        <color theme="1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4" borderId="9" applyNumberFormat="0" applyFont="0" applyAlignment="0" applyProtection="0"/>
  </cellStyleXfs>
  <cellXfs count="112">
    <xf numFmtId="0" fontId="0" fillId="0" borderId="0" xfId="0"/>
    <xf numFmtId="0" fontId="0" fillId="0" borderId="4" xfId="0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3" borderId="0" xfId="0" applyFont="1" applyFill="1"/>
    <xf numFmtId="10" fontId="3" fillId="0" borderId="0" xfId="0" applyNumberFormat="1" applyFont="1"/>
    <xf numFmtId="0" fontId="3" fillId="0" borderId="0" xfId="0" applyFont="1" applyAlignment="1">
      <alignment horizontal="left"/>
    </xf>
    <xf numFmtId="0" fontId="6" fillId="6" borderId="1" xfId="0" applyFont="1" applyFill="1" applyBorder="1"/>
    <xf numFmtId="0" fontId="6" fillId="0" borderId="6" xfId="0" applyFont="1" applyBorder="1"/>
    <xf numFmtId="166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6" borderId="1" xfId="0" applyFont="1" applyFill="1" applyBorder="1" applyAlignment="1">
      <alignment horizontal="right"/>
    </xf>
    <xf numFmtId="0" fontId="6" fillId="7" borderId="1" xfId="0" applyFont="1" applyFill="1" applyBorder="1"/>
    <xf numFmtId="0" fontId="7" fillId="0" borderId="0" xfId="0" applyFont="1"/>
    <xf numFmtId="0" fontId="8" fillId="0" borderId="6" xfId="0" applyFont="1" applyBorder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44" fontId="3" fillId="0" borderId="0" xfId="0" applyNumberFormat="1" applyFont="1"/>
    <xf numFmtId="2" fontId="3" fillId="0" borderId="0" xfId="0" applyNumberFormat="1" applyFont="1"/>
    <xf numFmtId="39" fontId="11" fillId="5" borderId="9" xfId="2" applyNumberFormat="1" applyFont="1" applyFill="1" applyAlignment="1">
      <alignment horizontal="center" wrapText="1"/>
    </xf>
    <xf numFmtId="44" fontId="11" fillId="5" borderId="9" xfId="1" applyNumberFormat="1" applyFont="1" applyFill="1" applyBorder="1" applyAlignment="1">
      <alignment horizontal="center" wrapText="1"/>
    </xf>
    <xf numFmtId="165" fontId="11" fillId="5" borderId="9" xfId="1" applyNumberFormat="1" applyFont="1" applyFill="1" applyBorder="1" applyAlignment="1">
      <alignment horizontal="center" wrapText="1"/>
    </xf>
    <xf numFmtId="44" fontId="11" fillId="5" borderId="11" xfId="1" applyNumberFormat="1" applyFont="1" applyFill="1" applyBorder="1" applyAlignment="1">
      <alignment horizontal="center" wrapText="1"/>
    </xf>
    <xf numFmtId="44" fontId="11" fillId="5" borderId="12" xfId="1" applyNumberFormat="1" applyFont="1" applyFill="1" applyBorder="1" applyAlignment="1">
      <alignment horizontal="center" wrapText="1"/>
    </xf>
    <xf numFmtId="44" fontId="11" fillId="5" borderId="13" xfId="1" applyNumberFormat="1" applyFont="1" applyFill="1" applyBorder="1" applyAlignment="1">
      <alignment horizontal="center" wrapText="1"/>
    </xf>
    <xf numFmtId="167" fontId="3" fillId="0" borderId="0" xfId="0" applyNumberFormat="1" applyFont="1"/>
    <xf numFmtId="168" fontId="11" fillId="5" borderId="9" xfId="1" applyNumberFormat="1" applyFont="1" applyFill="1" applyBorder="1" applyAlignment="1">
      <alignment horizontal="center" wrapText="1"/>
    </xf>
    <xf numFmtId="44" fontId="11" fillId="5" borderId="10" xfId="1" applyNumberFormat="1" applyFont="1" applyFill="1" applyBorder="1" applyAlignment="1">
      <alignment horizontal="center" wrapText="1"/>
    </xf>
    <xf numFmtId="2" fontId="6" fillId="0" borderId="6" xfId="0" applyNumberFormat="1" applyFont="1" applyBorder="1"/>
    <xf numFmtId="44" fontId="6" fillId="0" borderId="6" xfId="0" applyNumberFormat="1" applyFont="1" applyBorder="1"/>
    <xf numFmtId="164" fontId="3" fillId="0" borderId="0" xfId="0" applyNumberFormat="1" applyFont="1"/>
    <xf numFmtId="0" fontId="6" fillId="0" borderId="14" xfId="0" applyFont="1" applyBorder="1"/>
    <xf numFmtId="44" fontId="6" fillId="5" borderId="15" xfId="1" applyNumberFormat="1" applyFont="1" applyFill="1" applyBorder="1" applyAlignment="1">
      <alignment horizontal="center" wrapText="1"/>
    </xf>
    <xf numFmtId="44" fontId="3" fillId="0" borderId="4" xfId="0" applyNumberFormat="1" applyFont="1" applyBorder="1"/>
    <xf numFmtId="167" fontId="3" fillId="0" borderId="4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  <xf numFmtId="2" fontId="3" fillId="0" borderId="4" xfId="0" applyNumberFormat="1" applyFont="1" applyBorder="1"/>
    <xf numFmtId="44" fontId="3" fillId="0" borderId="16" xfId="0" applyNumberFormat="1" applyFont="1" applyBorder="1"/>
    <xf numFmtId="169" fontId="3" fillId="0" borderId="4" xfId="0" applyNumberFormat="1" applyFont="1" applyBorder="1"/>
    <xf numFmtId="169" fontId="3" fillId="0" borderId="16" xfId="0" applyNumberFormat="1" applyFont="1" applyBorder="1"/>
    <xf numFmtId="169" fontId="11" fillId="0" borderId="4" xfId="0" applyNumberFormat="1" applyFont="1" applyBorder="1"/>
    <xf numFmtId="169" fontId="3" fillId="0" borderId="4" xfId="0" applyNumberFormat="1" applyFont="1" applyBorder="1" applyAlignment="1">
      <alignment horizontal="center"/>
    </xf>
    <xf numFmtId="44" fontId="11" fillId="0" borderId="4" xfId="0" applyNumberFormat="1" applyFont="1" applyBorder="1"/>
    <xf numFmtId="169" fontId="11" fillId="0" borderId="16" xfId="0" applyNumberFormat="1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8" fillId="2" borderId="6" xfId="0" applyFont="1" applyFill="1" applyBorder="1" applyAlignment="1">
      <alignment horizontal="center"/>
    </xf>
    <xf numFmtId="44" fontId="6" fillId="2" borderId="6" xfId="0" applyNumberFormat="1" applyFont="1" applyFill="1" applyBorder="1"/>
    <xf numFmtId="44" fontId="6" fillId="2" borderId="7" xfId="0" applyNumberFormat="1" applyFont="1" applyFill="1" applyBorder="1"/>
    <xf numFmtId="0" fontId="6" fillId="2" borderId="8" xfId="0" applyFont="1" applyFill="1" applyBorder="1"/>
    <xf numFmtId="0" fontId="6" fillId="2" borderId="1" xfId="0" applyFont="1" applyFill="1" applyBorder="1"/>
    <xf numFmtId="0" fontId="8" fillId="2" borderId="1" xfId="0" applyFont="1" applyFill="1" applyBorder="1" applyAlignment="1">
      <alignment horizontal="center"/>
    </xf>
    <xf numFmtId="165" fontId="6" fillId="2" borderId="1" xfId="1" applyNumberFormat="1" applyFont="1" applyFill="1" applyBorder="1"/>
    <xf numFmtId="0" fontId="13" fillId="0" borderId="0" xfId="0" applyFont="1"/>
    <xf numFmtId="0" fontId="14" fillId="0" borderId="0" xfId="0" applyFont="1"/>
    <xf numFmtId="9" fontId="3" fillId="0" borderId="0" xfId="0" applyNumberFormat="1" applyFont="1" applyAlignment="1">
      <alignment horizontal="right"/>
    </xf>
    <xf numFmtId="170" fontId="3" fillId="0" borderId="0" xfId="0" applyNumberFormat="1" applyFont="1"/>
    <xf numFmtId="0" fontId="6" fillId="8" borderId="1" xfId="0" applyFont="1" applyFill="1" applyBorder="1"/>
    <xf numFmtId="0" fontId="0" fillId="0" borderId="6" xfId="0" applyBorder="1"/>
    <xf numFmtId="9" fontId="3" fillId="0" borderId="0" xfId="1" applyFont="1"/>
    <xf numFmtId="44" fontId="3" fillId="0" borderId="4" xfId="1" applyNumberFormat="1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3" xfId="0" applyFont="1" applyFill="1" applyBorder="1" applyAlignment="1">
      <alignment horizontal="center"/>
    </xf>
    <xf numFmtId="44" fontId="6" fillId="2" borderId="3" xfId="0" applyNumberFormat="1" applyFont="1" applyFill="1" applyBorder="1"/>
    <xf numFmtId="44" fontId="6" fillId="2" borderId="17" xfId="0" applyNumberFormat="1" applyFont="1" applyFill="1" applyBorder="1"/>
    <xf numFmtId="0" fontId="16" fillId="0" borderId="0" xfId="0" applyFont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4" xfId="0" applyNumberFormat="1" applyBorder="1" applyAlignment="1">
      <alignment horizontal="right"/>
    </xf>
    <xf numFmtId="44" fontId="0" fillId="0" borderId="4" xfId="0" applyNumberFormat="1" applyBorder="1" applyAlignment="1">
      <alignment horizontal="right"/>
    </xf>
    <xf numFmtId="171" fontId="0" fillId="0" borderId="4" xfId="0" applyNumberFormat="1" applyBorder="1" applyAlignment="1">
      <alignment horizontal="right"/>
    </xf>
    <xf numFmtId="9" fontId="0" fillId="0" borderId="4" xfId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right"/>
    </xf>
    <xf numFmtId="9" fontId="6" fillId="0" borderId="0" xfId="0" applyNumberFormat="1" applyFont="1" applyAlignment="1">
      <alignment horizontal="right"/>
    </xf>
    <xf numFmtId="170" fontId="6" fillId="0" borderId="0" xfId="0" applyNumberFormat="1" applyFont="1"/>
    <xf numFmtId="9" fontId="6" fillId="0" borderId="0" xfId="1" applyFont="1"/>
    <xf numFmtId="0" fontId="2" fillId="0" borderId="6" xfId="0" applyFont="1" applyBorder="1"/>
    <xf numFmtId="44" fontId="6" fillId="0" borderId="0" xfId="0" applyNumberFormat="1" applyFont="1"/>
    <xf numFmtId="44" fontId="17" fillId="0" borderId="0" xfId="0" applyNumberFormat="1" applyFont="1" applyAlignment="1">
      <alignment horizontal="right"/>
    </xf>
    <xf numFmtId="1" fontId="0" fillId="0" borderId="4" xfId="1" applyNumberFormat="1" applyFont="1" applyBorder="1" applyAlignment="1">
      <alignment horizontal="right"/>
    </xf>
    <xf numFmtId="0" fontId="6" fillId="2" borderId="19" xfId="0" applyFont="1" applyFill="1" applyBorder="1"/>
    <xf numFmtId="165" fontId="6" fillId="2" borderId="0" xfId="1" applyNumberFormat="1" applyFont="1" applyFill="1" applyBorder="1"/>
    <xf numFmtId="0" fontId="3" fillId="0" borderId="20" xfId="0" applyFont="1" applyBorder="1"/>
    <xf numFmtId="0" fontId="3" fillId="0" borderId="6" xfId="0" applyFont="1" applyBorder="1"/>
    <xf numFmtId="0" fontId="10" fillId="0" borderId="6" xfId="0" applyFont="1" applyBorder="1" applyAlignment="1">
      <alignment horizontal="center"/>
    </xf>
    <xf numFmtId="169" fontId="6" fillId="0" borderId="6" xfId="0" applyNumberFormat="1" applyFont="1" applyBorder="1"/>
    <xf numFmtId="0" fontId="6" fillId="2" borderId="0" xfId="0" applyFont="1" applyFill="1"/>
    <xf numFmtId="0" fontId="8" fillId="2" borderId="0" xfId="0" applyFont="1" applyFill="1" applyAlignment="1">
      <alignment horizontal="center"/>
    </xf>
    <xf numFmtId="165" fontId="6" fillId="2" borderId="21" xfId="1" applyNumberFormat="1" applyFont="1" applyFill="1" applyBorder="1"/>
    <xf numFmtId="165" fontId="6" fillId="2" borderId="22" xfId="1" applyNumberFormat="1" applyFont="1" applyFill="1" applyBorder="1"/>
    <xf numFmtId="0" fontId="6" fillId="0" borderId="23" xfId="0" applyFont="1" applyBorder="1"/>
    <xf numFmtId="44" fontId="12" fillId="5" borderId="24" xfId="1" applyNumberFormat="1" applyFont="1" applyFill="1" applyBorder="1" applyAlignment="1">
      <alignment horizontal="center" wrapText="1"/>
    </xf>
    <xf numFmtId="0" fontId="16" fillId="10" borderId="2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10" borderId="17" xfId="0" applyFont="1" applyFill="1" applyBorder="1" applyAlignment="1">
      <alignment horizontal="center"/>
    </xf>
    <xf numFmtId="0" fontId="15" fillId="9" borderId="0" xfId="0" applyFont="1" applyFill="1" applyAlignment="1">
      <alignment horizontal="center"/>
    </xf>
    <xf numFmtId="0" fontId="0" fillId="0" borderId="3" xfId="0" applyBorder="1"/>
    <xf numFmtId="0" fontId="0" fillId="0" borderId="17" xfId="0" applyBorder="1"/>
    <xf numFmtId="0" fontId="2" fillId="0" borderId="6" xfId="0" applyFont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right" vertical="center"/>
    </xf>
  </cellXfs>
  <cellStyles count="3">
    <cellStyle name="Normal" xfId="0" builtinId="0"/>
    <cellStyle name="Note" xfId="2" builtinId="10"/>
    <cellStyle name="Percent" xfId="1" builtinId="5"/>
  </cellStyles>
  <dxfs count="0"/>
  <tableStyles count="0" defaultTableStyle="TableStyleMedium2" defaultPivotStyle="PivotStyleLight16"/>
  <colors>
    <mruColors>
      <color rgb="FFFFC0CB"/>
      <color rgb="FFEC3D30"/>
      <color rgb="FFFF696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95250</xdr:rowOff>
    </xdr:from>
    <xdr:ext cx="7905750" cy="48769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876641-6AE5-811B-7A61-C26D14F0CCCC}"/>
            </a:ext>
          </a:extLst>
        </xdr:cNvPr>
        <xdr:cNvSpPr txBox="1"/>
      </xdr:nvSpPr>
      <xdr:spPr>
        <a:xfrm>
          <a:off x="0" y="6000750"/>
          <a:ext cx="7905750" cy="4876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🧠 Key Takeaways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IPO offer price is derived using forward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FY25 Net Income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with a valuation multiple range of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34x to 46.8x at Pricing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and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40x to 55x at Trading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— consistent with leading listed cement peers.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Implied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offer price per share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ranges from ₹56.92 to ₹84.2, giving investors a price anchored in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post-money valuation with 15% discount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— simulating roadshow expectations.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Post-money equity value ranges from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₹9,195</a:t>
          </a:r>
          <a:r>
            <a:rPr lang="en-IN" sz="1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Cr to ₹12,643 Cr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validating the model’s pricing realism under different scenarios.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company raises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₹2,000 Cr in primary proceeds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with a total deal size of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₹4,000 Cr (incl. OFS)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and a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public ownership float of ~15.8%–21.8%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— aligned with SEBI norms and investor expectations.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Forward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EV/EBITDA ranges from 11.9x to 15.1x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and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EV/Revenue from 1.9x to 2.4x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— solidly within or near peer trading benchmarks.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pricing logic reflects </a:t>
          </a:r>
          <a:r>
            <a:rPr lang="en-IN" sz="1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investor-entry multiples</a:t>
          </a: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not promotional valuation targets, making this a clear and defendable ECM-style model.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IN" sz="16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This model prices JSW Cement’s IPO with realistic forward multiples and a market-aligned float strategy. It reflects investor expectations and public peer valuation norms, while ensuring promoter control and capital raise targets are balanced.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219075</xdr:colOff>
      <xdr:row>78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EF5C52-3B30-94B2-7D5E-88C5F75544F7}"/>
            </a:ext>
          </a:extLst>
        </xdr:cNvPr>
        <xdr:cNvSpPr txBox="1"/>
      </xdr:nvSpPr>
      <xdr:spPr>
        <a:xfrm>
          <a:off x="11553825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wara\Downloads\107-09-IPO-Valuation-Model.xlsx" TargetMode="External"/><Relationship Id="rId1" Type="http://schemas.openxmlformats.org/officeDocument/2006/relationships/externalLinkPath" Target="file:///C:\Users\swara\Downloads\107-09-IPO-Valuation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PO-Model"/>
      <sheetName val="Alternate-IPO-Model"/>
    </sheetNames>
    <sheetDataSet>
      <sheetData sheetId="0">
        <row r="9">
          <cell r="E9">
            <v>0.05</v>
          </cell>
        </row>
        <row r="10">
          <cell r="E10">
            <v>0.15</v>
          </cell>
        </row>
        <row r="16">
          <cell r="E16">
            <v>0.75</v>
          </cell>
        </row>
        <row r="18">
          <cell r="E18">
            <v>66.914438478351997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0F2-9B7D-458D-95FC-1FE73DC9E75E}">
  <dimension ref="B1:H32"/>
  <sheetViews>
    <sheetView showGridLines="0" topLeftCell="A10" zoomScaleNormal="100" workbookViewId="0">
      <selection activeCell="D8" sqref="D8"/>
    </sheetView>
  </sheetViews>
  <sheetFormatPr defaultRowHeight="15" x14ac:dyDescent="0.25"/>
  <cols>
    <col min="1" max="1" width="1.85546875" customWidth="1"/>
    <col min="2" max="2" width="21.7109375" bestFit="1" customWidth="1"/>
    <col min="3" max="3" width="10.5703125" bestFit="1" customWidth="1"/>
    <col min="4" max="4" width="15" customWidth="1"/>
    <col min="5" max="5" width="10.85546875" customWidth="1"/>
    <col min="6" max="6" width="20.28515625" customWidth="1"/>
    <col min="7" max="7" width="12.42578125" customWidth="1"/>
    <col min="8" max="8" width="15.28515625" bestFit="1" customWidth="1"/>
  </cols>
  <sheetData>
    <row r="1" spans="2:8" ht="21" x14ac:dyDescent="0.35">
      <c r="B1" s="101" t="s">
        <v>114</v>
      </c>
      <c r="C1" s="101"/>
      <c r="D1" s="101"/>
      <c r="E1" s="101"/>
      <c r="F1" s="101"/>
      <c r="G1" s="101"/>
      <c r="H1" s="101"/>
    </row>
    <row r="3" spans="2:8" x14ac:dyDescent="0.25">
      <c r="B3" s="98" t="s">
        <v>85</v>
      </c>
      <c r="C3" s="102"/>
      <c r="D3" s="103"/>
      <c r="F3" s="98" t="s">
        <v>96</v>
      </c>
      <c r="G3" s="99"/>
      <c r="H3" s="100"/>
    </row>
    <row r="4" spans="2:8" ht="5.0999999999999996" customHeight="1" x14ac:dyDescent="0.25"/>
    <row r="5" spans="2:8" x14ac:dyDescent="0.25">
      <c r="B5" s="70" t="s">
        <v>86</v>
      </c>
      <c r="D5" s="71" t="s">
        <v>87</v>
      </c>
      <c r="F5" s="70" t="s">
        <v>97</v>
      </c>
      <c r="H5" s="84">
        <f>primary_raise/10</f>
        <v>2000</v>
      </c>
    </row>
    <row r="6" spans="2:8" x14ac:dyDescent="0.25">
      <c r="B6" s="70" t="s">
        <v>88</v>
      </c>
      <c r="D6" s="71" t="s">
        <v>89</v>
      </c>
      <c r="F6" s="77" t="s">
        <v>98</v>
      </c>
      <c r="H6" s="74">
        <f>secondary_raise/10</f>
        <v>2000</v>
      </c>
    </row>
    <row r="7" spans="2:8" x14ac:dyDescent="0.25">
      <c r="B7" s="70" t="s">
        <v>90</v>
      </c>
      <c r="D7" s="74">
        <f>Forward_year_1_net_income/10</f>
        <v>270.44977399999999</v>
      </c>
      <c r="F7" s="77" t="s">
        <v>99</v>
      </c>
      <c r="H7" s="74">
        <f>IPO_MODEL!L9/10</f>
        <v>4000</v>
      </c>
    </row>
    <row r="8" spans="2:8" x14ac:dyDescent="0.25">
      <c r="B8" s="70" t="s">
        <v>91</v>
      </c>
      <c r="D8" s="76">
        <f>IPO_Discount</f>
        <v>0.15</v>
      </c>
      <c r="F8" s="77" t="s">
        <v>100</v>
      </c>
      <c r="H8" s="73" t="s">
        <v>101</v>
      </c>
    </row>
    <row r="9" spans="2:8" x14ac:dyDescent="0.25">
      <c r="B9" s="70" t="s">
        <v>92</v>
      </c>
      <c r="D9" s="75" t="s">
        <v>116</v>
      </c>
      <c r="F9" s="77" t="s">
        <v>102</v>
      </c>
      <c r="H9" s="74">
        <f>IPO_MODEL!K69/10</f>
        <v>2170.4999999999991</v>
      </c>
    </row>
    <row r="10" spans="2:8" x14ac:dyDescent="0.25">
      <c r="B10" s="70" t="s">
        <v>93</v>
      </c>
      <c r="D10" s="75" t="s">
        <v>117</v>
      </c>
      <c r="F10" s="72"/>
    </row>
    <row r="11" spans="2:8" x14ac:dyDescent="0.25">
      <c r="B11" s="70" t="s">
        <v>94</v>
      </c>
      <c r="D11" s="75" t="s">
        <v>95</v>
      </c>
    </row>
    <row r="13" spans="2:8" x14ac:dyDescent="0.25">
      <c r="B13" s="98" t="s">
        <v>103</v>
      </c>
      <c r="C13" s="102"/>
      <c r="D13" s="103"/>
      <c r="F13" s="98" t="s">
        <v>107</v>
      </c>
      <c r="G13" s="102"/>
      <c r="H13" s="103"/>
    </row>
    <row r="14" spans="2:8" ht="5.0999999999999996" customHeight="1" x14ac:dyDescent="0.25"/>
    <row r="15" spans="2:8" x14ac:dyDescent="0.25">
      <c r="B15" s="70" t="s">
        <v>104</v>
      </c>
      <c r="D15" s="73" t="s">
        <v>118</v>
      </c>
      <c r="F15" s="70" t="s">
        <v>108</v>
      </c>
      <c r="G15" s="71"/>
      <c r="H15" s="71" t="s">
        <v>109</v>
      </c>
    </row>
    <row r="16" spans="2:8" x14ac:dyDescent="0.25">
      <c r="B16" s="70" t="s">
        <v>0</v>
      </c>
      <c r="D16" s="85" t="s">
        <v>119</v>
      </c>
      <c r="F16" s="70" t="s">
        <v>110</v>
      </c>
      <c r="G16" s="1" t="s">
        <v>113</v>
      </c>
      <c r="H16" s="74"/>
    </row>
    <row r="17" spans="2:8" x14ac:dyDescent="0.25">
      <c r="B17" s="70" t="s">
        <v>105</v>
      </c>
      <c r="D17" s="75" t="s">
        <v>120</v>
      </c>
    </row>
    <row r="18" spans="2:8" x14ac:dyDescent="0.25">
      <c r="B18" s="70" t="s">
        <v>106</v>
      </c>
      <c r="D18" s="75" t="s">
        <v>122</v>
      </c>
    </row>
    <row r="20" spans="2:8" x14ac:dyDescent="0.25">
      <c r="B20" s="98" t="s">
        <v>111</v>
      </c>
      <c r="C20" s="99"/>
      <c r="D20" s="99"/>
      <c r="E20" s="99"/>
      <c r="F20" s="99"/>
      <c r="G20" s="99"/>
      <c r="H20" s="100"/>
    </row>
    <row r="21" spans="2:8" x14ac:dyDescent="0.25">
      <c r="B21" s="78" t="s">
        <v>82</v>
      </c>
      <c r="C21" s="80">
        <v>40</v>
      </c>
      <c r="D21" s="80">
        <v>45</v>
      </c>
      <c r="E21" s="80">
        <v>50</v>
      </c>
      <c r="F21" s="80">
        <v>55</v>
      </c>
      <c r="G21" s="80">
        <v>60</v>
      </c>
      <c r="H21" s="80">
        <v>65</v>
      </c>
    </row>
    <row r="22" spans="2:8" x14ac:dyDescent="0.25">
      <c r="B22" s="79">
        <v>0.1</v>
      </c>
      <c r="C22" s="36">
        <f t="shared" ref="C22:H25" si="0">((C$21*Forward_year_1_net_income)*(1-$B22)*10)/Existing_shares</f>
        <v>770.268343670886</v>
      </c>
      <c r="D22" s="36">
        <f t="shared" si="0"/>
        <v>866.55188662974683</v>
      </c>
      <c r="E22" s="36">
        <f t="shared" si="0"/>
        <v>962.83542958860744</v>
      </c>
      <c r="F22" s="36">
        <f t="shared" si="0"/>
        <v>1059.1189725474683</v>
      </c>
      <c r="G22" s="36">
        <f t="shared" si="0"/>
        <v>1155.4025155063289</v>
      </c>
      <c r="H22" s="36">
        <f t="shared" si="0"/>
        <v>1251.6860584651899</v>
      </c>
    </row>
    <row r="23" spans="2:8" x14ac:dyDescent="0.25">
      <c r="B23" s="79">
        <v>0.15</v>
      </c>
      <c r="C23" s="36">
        <f t="shared" si="0"/>
        <v>727.47565791139232</v>
      </c>
      <c r="D23" s="36">
        <f t="shared" si="0"/>
        <v>818.41011515031641</v>
      </c>
      <c r="E23" s="36">
        <f t="shared" si="0"/>
        <v>909.34457238924051</v>
      </c>
      <c r="F23" s="36">
        <f t="shared" si="0"/>
        <v>1000.2790296281643</v>
      </c>
      <c r="G23" s="36">
        <f t="shared" si="0"/>
        <v>1091.2134868670885</v>
      </c>
      <c r="H23" s="36">
        <f t="shared" si="0"/>
        <v>1182.1479441060126</v>
      </c>
    </row>
    <row r="24" spans="2:8" x14ac:dyDescent="0.25">
      <c r="B24" s="79">
        <v>0.2</v>
      </c>
      <c r="C24" s="36">
        <f t="shared" si="0"/>
        <v>684.68297215189864</v>
      </c>
      <c r="D24" s="36">
        <f t="shared" si="0"/>
        <v>770.268343670886</v>
      </c>
      <c r="E24" s="36">
        <f t="shared" si="0"/>
        <v>855.85371518987336</v>
      </c>
      <c r="F24" s="36">
        <f t="shared" si="0"/>
        <v>941.4390867088606</v>
      </c>
      <c r="G24" s="36">
        <f t="shared" si="0"/>
        <v>1027.0244582278483</v>
      </c>
      <c r="H24" s="36">
        <f t="shared" si="0"/>
        <v>1112.6098297468354</v>
      </c>
    </row>
    <row r="25" spans="2:8" x14ac:dyDescent="0.25">
      <c r="B25" s="79">
        <v>0.25</v>
      </c>
      <c r="C25" s="36">
        <f t="shared" si="0"/>
        <v>641.89028639240496</v>
      </c>
      <c r="D25" s="36">
        <f t="shared" si="0"/>
        <v>722.12657219145558</v>
      </c>
      <c r="E25" s="36">
        <f t="shared" si="0"/>
        <v>802.3628579905062</v>
      </c>
      <c r="F25" s="36">
        <f t="shared" si="0"/>
        <v>882.59914378955693</v>
      </c>
      <c r="G25" s="36">
        <f t="shared" si="0"/>
        <v>962.83542958860755</v>
      </c>
      <c r="H25" s="36">
        <f t="shared" si="0"/>
        <v>1043.0717153876581</v>
      </c>
    </row>
    <row r="27" spans="2:8" x14ac:dyDescent="0.25">
      <c r="B27" s="98" t="s">
        <v>112</v>
      </c>
      <c r="C27" s="99"/>
      <c r="D27" s="99"/>
      <c r="E27" s="99"/>
      <c r="F27" s="99"/>
      <c r="G27" s="99"/>
      <c r="H27" s="100"/>
    </row>
    <row r="28" spans="2:8" x14ac:dyDescent="0.25">
      <c r="B28" s="82" t="s">
        <v>83</v>
      </c>
      <c r="C28" s="83">
        <v>50</v>
      </c>
      <c r="D28" s="83">
        <v>60</v>
      </c>
      <c r="E28" s="83">
        <v>70</v>
      </c>
      <c r="F28" s="83">
        <v>80</v>
      </c>
      <c r="G28" s="83">
        <v>90</v>
      </c>
      <c r="H28" s="83">
        <v>100</v>
      </c>
    </row>
    <row r="29" spans="2:8" x14ac:dyDescent="0.25">
      <c r="B29" s="81">
        <v>0.1</v>
      </c>
      <c r="C29" s="64">
        <f t="shared" ref="C29:H32" si="1" xml:space="preserve"> ((($B29 * Existing_shares) / (1 - $B29)) * C$28)/10</f>
        <v>702.22222222222229</v>
      </c>
      <c r="D29" s="64">
        <f t="shared" si="1"/>
        <v>842.66666666666674</v>
      </c>
      <c r="E29" s="64">
        <f t="shared" si="1"/>
        <v>983.11111111111109</v>
      </c>
      <c r="F29" s="64">
        <f t="shared" si="1"/>
        <v>1123.5555555555557</v>
      </c>
      <c r="G29" s="64">
        <f t="shared" si="1"/>
        <v>1264.0000000000002</v>
      </c>
      <c r="H29" s="64">
        <f t="shared" si="1"/>
        <v>1404.4444444444446</v>
      </c>
    </row>
    <row r="30" spans="2:8" x14ac:dyDescent="0.25">
      <c r="B30" s="81">
        <v>0.2</v>
      </c>
      <c r="C30" s="64">
        <f t="shared" si="1"/>
        <v>1580</v>
      </c>
      <c r="D30" s="64">
        <f t="shared" si="1"/>
        <v>1896</v>
      </c>
      <c r="E30" s="64">
        <f t="shared" si="1"/>
        <v>2212</v>
      </c>
      <c r="F30" s="64">
        <f t="shared" si="1"/>
        <v>2528</v>
      </c>
      <c r="G30" s="64">
        <f t="shared" si="1"/>
        <v>2844</v>
      </c>
      <c r="H30" s="64">
        <f t="shared" si="1"/>
        <v>3160</v>
      </c>
    </row>
    <row r="31" spans="2:8" x14ac:dyDescent="0.25">
      <c r="B31" s="81">
        <v>0.3</v>
      </c>
      <c r="C31" s="64">
        <f t="shared" si="1"/>
        <v>2708.5714285714289</v>
      </c>
      <c r="D31" s="64">
        <f t="shared" si="1"/>
        <v>3250.2857142857147</v>
      </c>
      <c r="E31" s="64">
        <f t="shared" si="1"/>
        <v>3792.0000000000009</v>
      </c>
      <c r="F31" s="64">
        <f t="shared" si="1"/>
        <v>4333.7142857142862</v>
      </c>
      <c r="G31" s="64">
        <f t="shared" si="1"/>
        <v>4875.4285714285716</v>
      </c>
      <c r="H31" s="64">
        <f t="shared" si="1"/>
        <v>5417.1428571428578</v>
      </c>
    </row>
    <row r="32" spans="2:8" x14ac:dyDescent="0.25">
      <c r="B32" s="81">
        <v>0.4</v>
      </c>
      <c r="C32" s="64">
        <f t="shared" si="1"/>
        <v>4213.3333333333339</v>
      </c>
      <c r="D32" s="64">
        <f t="shared" si="1"/>
        <v>5056.0000000000009</v>
      </c>
      <c r="E32" s="64">
        <f t="shared" si="1"/>
        <v>5898.666666666667</v>
      </c>
      <c r="F32" s="64">
        <f t="shared" si="1"/>
        <v>6741.3333333333339</v>
      </c>
      <c r="G32" s="64">
        <f t="shared" si="1"/>
        <v>7584</v>
      </c>
      <c r="H32" s="64">
        <f t="shared" si="1"/>
        <v>8426.6666666666679</v>
      </c>
    </row>
  </sheetData>
  <mergeCells count="7">
    <mergeCell ref="B27:H27"/>
    <mergeCell ref="B1:H1"/>
    <mergeCell ref="B3:D3"/>
    <mergeCell ref="F3:H3"/>
    <mergeCell ref="B13:D13"/>
    <mergeCell ref="F13:H13"/>
    <mergeCell ref="B20:H20"/>
  </mergeCells>
  <pageMargins left="0.39370078740157483" right="0.39370078740157483" top="0.59055118110236227" bottom="0.59055118110236227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3AB-675D-4F67-97A6-5B7585C61303}">
  <dimension ref="A1:S112"/>
  <sheetViews>
    <sheetView showGridLines="0" tabSelected="1" topLeftCell="A85" zoomScaleNormal="100" workbookViewId="0">
      <selection activeCell="N109" sqref="N109"/>
    </sheetView>
  </sheetViews>
  <sheetFormatPr defaultRowHeight="15" x14ac:dyDescent="0.25"/>
  <cols>
    <col min="1" max="1" width="1.85546875" style="2" customWidth="1"/>
    <col min="2" max="2" width="2.7109375" style="2" customWidth="1"/>
    <col min="3" max="3" width="10.140625" style="2" customWidth="1"/>
    <col min="4" max="4" width="9" style="2" bestFit="1" customWidth="1"/>
    <col min="5" max="5" width="9.140625" style="2" customWidth="1"/>
    <col min="6" max="6" width="9.140625" style="2"/>
    <col min="7" max="8" width="10.28515625" style="2" customWidth="1"/>
    <col min="9" max="9" width="11.5703125" style="2" bestFit="1" customWidth="1"/>
    <col min="10" max="10" width="9.140625" style="2"/>
    <col min="11" max="14" width="13.28515625" style="2" bestFit="1" customWidth="1"/>
    <col min="15" max="15" width="10.42578125" style="2" bestFit="1" customWidth="1"/>
    <col min="16" max="16" width="11.5703125" style="2" bestFit="1" customWidth="1"/>
    <col min="17" max="20" width="9.140625" style="2" customWidth="1"/>
    <col min="21" max="16384" width="9.140625" style="2"/>
  </cols>
  <sheetData>
    <row r="1" spans="1:19" x14ac:dyDescent="0.25">
      <c r="S1" s="28"/>
    </row>
    <row r="2" spans="1:19" ht="23.25" x14ac:dyDescent="0.35">
      <c r="B2" s="3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9" x14ac:dyDescent="0.25">
      <c r="A4" s="2" t="s">
        <v>1</v>
      </c>
      <c r="B4" s="5" t="s">
        <v>123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9" ht="5.0999999999999996" customHeight="1" x14ac:dyDescent="0.25"/>
    <row r="6" spans="1:19" x14ac:dyDescent="0.25">
      <c r="C6" s="2" t="s">
        <v>3</v>
      </c>
      <c r="F6" s="22" t="s">
        <v>4</v>
      </c>
      <c r="I6" s="8" t="s">
        <v>125</v>
      </c>
      <c r="J6" s="8"/>
      <c r="K6" s="8"/>
      <c r="L6" s="12"/>
    </row>
    <row r="7" spans="1:19" x14ac:dyDescent="0.25">
      <c r="I7" s="2" t="s">
        <v>77</v>
      </c>
      <c r="L7" s="23">
        <v>20000</v>
      </c>
    </row>
    <row r="8" spans="1:19" x14ac:dyDescent="0.25">
      <c r="C8" s="2" t="s">
        <v>2</v>
      </c>
      <c r="F8" s="24">
        <v>2.5000000000000001E-2</v>
      </c>
      <c r="I8" s="2" t="s">
        <v>78</v>
      </c>
      <c r="L8" s="30">
        <v>20000</v>
      </c>
    </row>
    <row r="9" spans="1:19" ht="15.75" thickBot="1" x14ac:dyDescent="0.3">
      <c r="C9" s="2" t="s">
        <v>5</v>
      </c>
      <c r="F9" s="24">
        <v>0.15</v>
      </c>
      <c r="I9" s="96" t="s">
        <v>79</v>
      </c>
      <c r="J9" s="96"/>
      <c r="K9" s="96"/>
      <c r="L9" s="97">
        <f>SUM(L7:L8)</f>
        <v>40000</v>
      </c>
    </row>
    <row r="10" spans="1:19" x14ac:dyDescent="0.25">
      <c r="R10" s="6"/>
    </row>
    <row r="11" spans="1:19" x14ac:dyDescent="0.25">
      <c r="C11" s="2" t="s">
        <v>6</v>
      </c>
      <c r="F11" s="24">
        <v>0.5</v>
      </c>
      <c r="R11" s="6"/>
    </row>
    <row r="12" spans="1:19" x14ac:dyDescent="0.25">
      <c r="C12" s="2" t="s">
        <v>7</v>
      </c>
      <c r="F12" s="24">
        <v>0.5</v>
      </c>
      <c r="I12" s="8" t="s">
        <v>23</v>
      </c>
      <c r="J12" s="8"/>
      <c r="K12" s="8"/>
      <c r="L12" s="12"/>
      <c r="M12" s="8"/>
      <c r="N12" s="12" t="s">
        <v>36</v>
      </c>
      <c r="R12" s="6"/>
    </row>
    <row r="13" spans="1:19" x14ac:dyDescent="0.25">
      <c r="I13" s="2" t="s">
        <v>11</v>
      </c>
      <c r="N13" s="25">
        <v>600</v>
      </c>
      <c r="R13" s="6"/>
    </row>
    <row r="14" spans="1:19" x14ac:dyDescent="0.25">
      <c r="C14" s="2" t="s">
        <v>9</v>
      </c>
      <c r="F14" s="24">
        <v>0.15</v>
      </c>
      <c r="I14" s="2" t="s">
        <v>12</v>
      </c>
      <c r="N14" s="26">
        <v>100</v>
      </c>
      <c r="R14" s="6"/>
    </row>
    <row r="15" spans="1:19" x14ac:dyDescent="0.25">
      <c r="C15" s="2" t="s">
        <v>10</v>
      </c>
      <c r="F15" s="24">
        <f>F11</f>
        <v>0.5</v>
      </c>
      <c r="I15" s="2" t="s">
        <v>13</v>
      </c>
      <c r="N15" s="26">
        <v>30</v>
      </c>
      <c r="R15" s="6"/>
    </row>
    <row r="16" spans="1:19" x14ac:dyDescent="0.25">
      <c r="I16" s="2" t="s">
        <v>14</v>
      </c>
      <c r="N16" s="26">
        <v>120</v>
      </c>
      <c r="R16" s="6"/>
    </row>
    <row r="17" spans="1:18" x14ac:dyDescent="0.25">
      <c r="C17" s="2" t="s">
        <v>124</v>
      </c>
      <c r="F17" s="29">
        <v>1264</v>
      </c>
      <c r="I17" s="2" t="s">
        <v>15</v>
      </c>
      <c r="N17" s="26">
        <v>80</v>
      </c>
      <c r="R17" s="6"/>
    </row>
    <row r="18" spans="1:18" x14ac:dyDescent="0.25">
      <c r="I18" s="2" t="s">
        <v>16</v>
      </c>
      <c r="N18" s="26">
        <v>25</v>
      </c>
    </row>
    <row r="19" spans="1:18" x14ac:dyDescent="0.25">
      <c r="I19" s="2" t="s">
        <v>17</v>
      </c>
      <c r="N19" s="26">
        <v>150</v>
      </c>
    </row>
    <row r="20" spans="1:18" x14ac:dyDescent="0.25">
      <c r="I20" s="2" t="s">
        <v>18</v>
      </c>
      <c r="N20" s="27">
        <v>100</v>
      </c>
    </row>
    <row r="21" spans="1:18" ht="15.75" thickBot="1" x14ac:dyDescent="0.3">
      <c r="I21" s="34" t="s">
        <v>19</v>
      </c>
      <c r="J21" s="34"/>
      <c r="K21" s="34"/>
      <c r="L21" s="34"/>
      <c r="M21" s="34"/>
      <c r="N21" s="35">
        <f>SUM(N13:N20)</f>
        <v>1205</v>
      </c>
    </row>
    <row r="23" spans="1:18" x14ac:dyDescent="0.25">
      <c r="I23" s="7" t="s">
        <v>20</v>
      </c>
      <c r="L23" s="23">
        <f>6841.896905*10</f>
        <v>68418.96905</v>
      </c>
    </row>
    <row r="24" spans="1:18" x14ac:dyDescent="0.25">
      <c r="I24" s="7" t="s">
        <v>21</v>
      </c>
      <c r="L24" s="23">
        <f>1080.189208*10</f>
        <v>10801.89208</v>
      </c>
    </row>
    <row r="25" spans="1:18" x14ac:dyDescent="0.25">
      <c r="I25" s="7" t="s">
        <v>22</v>
      </c>
      <c r="L25" s="23">
        <f>270.449774*10</f>
        <v>2704.4977399999998</v>
      </c>
    </row>
    <row r="27" spans="1:18" x14ac:dyDescent="0.25">
      <c r="B27" s="5"/>
      <c r="C27" s="5"/>
      <c r="D27" s="5"/>
      <c r="E27" s="5"/>
      <c r="F27" s="5"/>
      <c r="G27" s="5"/>
      <c r="H27" s="5"/>
      <c r="I27" s="5"/>
      <c r="J27" s="5"/>
      <c r="K27" s="105" t="s">
        <v>115</v>
      </c>
      <c r="L27" s="105"/>
      <c r="M27" s="105"/>
      <c r="N27" s="105"/>
    </row>
    <row r="28" spans="1:18" x14ac:dyDescent="0.25">
      <c r="A28" s="2" t="s">
        <v>1</v>
      </c>
      <c r="B28" s="5" t="s">
        <v>25</v>
      </c>
      <c r="C28" s="5"/>
      <c r="D28" s="5"/>
      <c r="E28" s="5"/>
      <c r="F28" s="5"/>
      <c r="G28" s="5"/>
      <c r="H28" s="5"/>
      <c r="I28" s="11" t="s">
        <v>24</v>
      </c>
      <c r="J28" s="11"/>
      <c r="K28" s="10">
        <v>40</v>
      </c>
      <c r="L28" s="10">
        <v>45</v>
      </c>
      <c r="M28" s="10">
        <v>50</v>
      </c>
      <c r="N28" s="10">
        <v>55</v>
      </c>
    </row>
    <row r="29" spans="1:18" ht="5.0999999999999996" customHeight="1" x14ac:dyDescent="0.25"/>
    <row r="30" spans="1:18" x14ac:dyDescent="0.25">
      <c r="C30" s="2" t="s">
        <v>22</v>
      </c>
      <c r="I30" s="16" t="s">
        <v>32</v>
      </c>
      <c r="K30" s="36">
        <f>Forward_year_1_net_income</f>
        <v>2704.4977399999998</v>
      </c>
      <c r="L30" s="36">
        <f>Forward_year_1_net_income</f>
        <v>2704.4977399999998</v>
      </c>
      <c r="M30" s="36">
        <f>Forward_year_1_net_income</f>
        <v>2704.4977399999998</v>
      </c>
      <c r="N30" s="36">
        <f>Forward_year_1_net_income</f>
        <v>2704.4977399999998</v>
      </c>
    </row>
    <row r="31" spans="1:18" x14ac:dyDescent="0.25">
      <c r="C31" s="2" t="s">
        <v>27</v>
      </c>
      <c r="I31" s="16" t="s">
        <v>32</v>
      </c>
      <c r="K31" s="36">
        <f>(+K30*K28)</f>
        <v>108179.90959999998</v>
      </c>
      <c r="L31" s="36">
        <f t="shared" ref="L31:N31" si="0">(+L30*L28)</f>
        <v>121702.39829999999</v>
      </c>
      <c r="M31" s="36">
        <f t="shared" si="0"/>
        <v>135224.88699999999</v>
      </c>
      <c r="N31" s="36">
        <f t="shared" si="0"/>
        <v>148747.37569999998</v>
      </c>
      <c r="P31" s="20"/>
    </row>
    <row r="32" spans="1:18" x14ac:dyDescent="0.25">
      <c r="I32" s="14"/>
      <c r="K32" s="38"/>
      <c r="L32" s="38"/>
      <c r="M32" s="38"/>
      <c r="N32" s="38"/>
    </row>
    <row r="33" spans="1:16" x14ac:dyDescent="0.25">
      <c r="C33" s="2" t="s">
        <v>26</v>
      </c>
      <c r="I33" s="17" t="s">
        <v>35</v>
      </c>
      <c r="K33" s="39">
        <f>+ipo_pricing_discount</f>
        <v>0.15</v>
      </c>
      <c r="L33" s="39">
        <f>+ipo_pricing_discount</f>
        <v>0.15</v>
      </c>
      <c r="M33" s="39">
        <f>+ipo_pricing_discount</f>
        <v>0.15</v>
      </c>
      <c r="N33" s="39">
        <f>+ipo_pricing_discount</f>
        <v>0.15</v>
      </c>
    </row>
    <row r="34" spans="1:16" x14ac:dyDescent="0.25">
      <c r="C34" s="2" t="s">
        <v>31</v>
      </c>
      <c r="I34" s="16" t="s">
        <v>32</v>
      </c>
      <c r="K34" s="36">
        <f>K31-K36</f>
        <v>16226.986439999993</v>
      </c>
      <c r="L34" s="36">
        <f t="shared" ref="L34:N34" si="1">L31-L36</f>
        <v>18255.359744999994</v>
      </c>
      <c r="M34" s="36">
        <f t="shared" si="1"/>
        <v>20283.733049999995</v>
      </c>
      <c r="N34" s="36">
        <f t="shared" si="1"/>
        <v>22312.106354999996</v>
      </c>
    </row>
    <row r="35" spans="1:16" x14ac:dyDescent="0.25">
      <c r="I35" s="14"/>
      <c r="K35" s="38"/>
      <c r="L35" s="38"/>
      <c r="M35" s="38"/>
      <c r="N35" s="38"/>
    </row>
    <row r="36" spans="1:16" x14ac:dyDescent="0.25">
      <c r="C36" s="2" t="s">
        <v>28</v>
      </c>
      <c r="I36" s="16" t="s">
        <v>32</v>
      </c>
      <c r="K36" s="36">
        <f>K31*(1-K33)</f>
        <v>91952.923159999991</v>
      </c>
      <c r="L36" s="36">
        <f t="shared" ref="L36:N36" si="2">L31*(1-L33)</f>
        <v>103447.03855499999</v>
      </c>
      <c r="M36" s="36">
        <f t="shared" si="2"/>
        <v>114941.15394999999</v>
      </c>
      <c r="N36" s="36">
        <f t="shared" si="2"/>
        <v>126435.26934499998</v>
      </c>
      <c r="P36" s="20"/>
    </row>
    <row r="37" spans="1:16" x14ac:dyDescent="0.25">
      <c r="I37" s="14"/>
      <c r="K37" s="36"/>
      <c r="L37" s="38"/>
      <c r="M37" s="38"/>
      <c r="N37" s="38"/>
    </row>
    <row r="38" spans="1:16" x14ac:dyDescent="0.25">
      <c r="C38" s="2" t="s">
        <v>29</v>
      </c>
      <c r="I38" s="14" t="s">
        <v>34</v>
      </c>
      <c r="K38" s="37">
        <f>$F$17</f>
        <v>1264</v>
      </c>
      <c r="L38" s="37">
        <f t="shared" ref="L38:N38" si="3">$F$17</f>
        <v>1264</v>
      </c>
      <c r="M38" s="37">
        <f t="shared" si="3"/>
        <v>1264</v>
      </c>
      <c r="N38" s="37">
        <f t="shared" si="3"/>
        <v>1264</v>
      </c>
    </row>
    <row r="39" spans="1:16" x14ac:dyDescent="0.25">
      <c r="I39" s="14"/>
      <c r="K39" s="28"/>
      <c r="L39" s="28"/>
      <c r="M39" s="28"/>
      <c r="N39" s="28"/>
    </row>
    <row r="40" spans="1:16" x14ac:dyDescent="0.25">
      <c r="C40" s="65" t="s">
        <v>30</v>
      </c>
      <c r="D40" s="66"/>
      <c r="E40" s="66"/>
      <c r="F40" s="66"/>
      <c r="G40" s="66"/>
      <c r="H40" s="66"/>
      <c r="I40" s="67" t="s">
        <v>33</v>
      </c>
      <c r="J40" s="66"/>
      <c r="K40" s="68">
        <f>(K36-primary_raise)/K38</f>
        <v>56.924780981012653</v>
      </c>
      <c r="L40" s="68">
        <f>(L36-primary_raise)/L38</f>
        <v>66.018226704905061</v>
      </c>
      <c r="M40" s="68">
        <f>(M36-primary_raise)/M38</f>
        <v>75.111672428797462</v>
      </c>
      <c r="N40" s="69">
        <f>(N36-primary_raise)/N38</f>
        <v>84.205118152689863</v>
      </c>
    </row>
    <row r="41" spans="1:16" x14ac:dyDescent="0.25">
      <c r="C41" s="58" t="s">
        <v>80</v>
      </c>
    </row>
    <row r="42" spans="1:16" x14ac:dyDescent="0.25">
      <c r="C42" s="57"/>
    </row>
    <row r="43" spans="1:16" x14ac:dyDescent="0.25">
      <c r="A43" s="2" t="s">
        <v>1</v>
      </c>
      <c r="C43" s="13" t="s">
        <v>37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6" ht="5.0999999999999996" customHeight="1" x14ac:dyDescent="0.25"/>
    <row r="45" spans="1:16" x14ac:dyDescent="0.25">
      <c r="C45" s="2" t="s">
        <v>38</v>
      </c>
      <c r="I45" s="14" t="s">
        <v>34</v>
      </c>
      <c r="K45" s="40">
        <f>K36/K40-K38</f>
        <v>351.34083355842904</v>
      </c>
      <c r="L45" s="40">
        <f t="shared" ref="L45:N45" si="4">L36/L40-L38</f>
        <v>302.94664062090033</v>
      </c>
      <c r="M45" s="40">
        <f t="shared" si="4"/>
        <v>266.27019946812015</v>
      </c>
      <c r="N45" s="40">
        <f t="shared" si="4"/>
        <v>237.51525368961325</v>
      </c>
      <c r="P45" s="20"/>
    </row>
    <row r="46" spans="1:16" x14ac:dyDescent="0.25">
      <c r="C46" s="2" t="s">
        <v>39</v>
      </c>
      <c r="I46" s="14" t="s">
        <v>34</v>
      </c>
      <c r="K46" s="21">
        <f>+K45/primary_share-K45</f>
        <v>351.34083355842904</v>
      </c>
      <c r="L46" s="21">
        <f>+L45/primary_share-L45</f>
        <v>302.94664062090033</v>
      </c>
      <c r="M46" s="21">
        <f>+M45/primary_share-M45</f>
        <v>266.27019946812015</v>
      </c>
      <c r="N46" s="21">
        <f>+N45/primary_share-N45</f>
        <v>237.51525368961325</v>
      </c>
    </row>
    <row r="47" spans="1:16" x14ac:dyDescent="0.25">
      <c r="C47" s="9" t="s">
        <v>40</v>
      </c>
      <c r="D47" s="9"/>
      <c r="E47" s="9"/>
      <c r="F47" s="9"/>
      <c r="G47" s="9"/>
      <c r="H47" s="9"/>
      <c r="I47" s="15" t="s">
        <v>34</v>
      </c>
      <c r="J47" s="9"/>
      <c r="K47" s="31">
        <f>SUM(K45:K46)</f>
        <v>702.68166711685808</v>
      </c>
      <c r="L47" s="31">
        <f t="shared" ref="L47:N47" si="5">SUM(L45:L46)</f>
        <v>605.89328124180065</v>
      </c>
      <c r="M47" s="31">
        <f t="shared" si="5"/>
        <v>532.54039893624031</v>
      </c>
      <c r="N47" s="31">
        <f t="shared" si="5"/>
        <v>475.03050737922649</v>
      </c>
    </row>
    <row r="48" spans="1:16" x14ac:dyDescent="0.25">
      <c r="I48" s="14"/>
    </row>
    <row r="49" spans="1:14" x14ac:dyDescent="0.25">
      <c r="C49" s="2" t="s">
        <v>41</v>
      </c>
      <c r="I49" s="14" t="s">
        <v>34</v>
      </c>
      <c r="K49" s="40">
        <f>K47/(1+Greenshoe_pct)</f>
        <v>611.02753662335488</v>
      </c>
      <c r="L49" s="40">
        <f>L47/(1+Greenshoe_pct)</f>
        <v>526.86372281895717</v>
      </c>
      <c r="M49" s="40">
        <f>M47/(1+Greenshoe_pct)</f>
        <v>463.07860777064377</v>
      </c>
      <c r="N49" s="40">
        <f>N47/(1+Greenshoe_pct)</f>
        <v>413.07000641671874</v>
      </c>
    </row>
    <row r="50" spans="1:14" x14ac:dyDescent="0.25">
      <c r="C50" s="2" t="s">
        <v>42</v>
      </c>
      <c r="I50" s="14" t="s">
        <v>34</v>
      </c>
      <c r="K50" s="40">
        <f>K47-K49</f>
        <v>91.654130493503203</v>
      </c>
      <c r="L50" s="40">
        <f t="shared" ref="L50:N50" si="6">L47-L49</f>
        <v>79.029558422843479</v>
      </c>
      <c r="M50" s="40">
        <f t="shared" si="6"/>
        <v>69.461791165596537</v>
      </c>
      <c r="N50" s="40">
        <f t="shared" si="6"/>
        <v>61.960500962507751</v>
      </c>
    </row>
    <row r="51" spans="1:14" x14ac:dyDescent="0.25">
      <c r="I51" s="14"/>
      <c r="K51" s="40"/>
      <c r="L51" s="40"/>
      <c r="M51" s="40"/>
      <c r="N51" s="40"/>
    </row>
    <row r="52" spans="1:14" x14ac:dyDescent="0.25">
      <c r="C52" s="2" t="s">
        <v>43</v>
      </c>
      <c r="I52" s="14" t="s">
        <v>34</v>
      </c>
      <c r="K52" s="40">
        <f>K36/K40</f>
        <v>1615.340833558429</v>
      </c>
      <c r="L52" s="40">
        <f t="shared" ref="L52:N52" si="7">L36/L40</f>
        <v>1566.9466406209003</v>
      </c>
      <c r="M52" s="40">
        <f t="shared" si="7"/>
        <v>1530.2701994681202</v>
      </c>
      <c r="N52" s="40">
        <f t="shared" si="7"/>
        <v>1501.5152536896132</v>
      </c>
    </row>
    <row r="53" spans="1:14" x14ac:dyDescent="0.25">
      <c r="I53" s="14"/>
      <c r="K53" s="40"/>
      <c r="L53" s="40"/>
      <c r="M53" s="40"/>
      <c r="N53" s="40"/>
    </row>
    <row r="54" spans="1:14" x14ac:dyDescent="0.25">
      <c r="C54" s="2" t="s">
        <v>44</v>
      </c>
      <c r="I54" s="14" t="s">
        <v>34</v>
      </c>
      <c r="K54" s="40">
        <f>K45-K55</f>
        <v>337.59271398440353</v>
      </c>
      <c r="L54" s="40">
        <f t="shared" ref="L54:N54" si="8">L45-L55</f>
        <v>291.0922068574738</v>
      </c>
      <c r="M54" s="40">
        <f t="shared" si="8"/>
        <v>255.85093079328067</v>
      </c>
      <c r="N54" s="40">
        <f t="shared" si="8"/>
        <v>228.22117854523708</v>
      </c>
    </row>
    <row r="55" spans="1:14" x14ac:dyDescent="0.25">
      <c r="C55" s="2" t="s">
        <v>45</v>
      </c>
      <c r="I55" s="14" t="s">
        <v>34</v>
      </c>
      <c r="K55" s="40">
        <f>K50*Greenshoe_pct</f>
        <v>13.74811957402548</v>
      </c>
      <c r="L55" s="40">
        <f>L50*Greenshoe_pct</f>
        <v>11.854433763426522</v>
      </c>
      <c r="M55" s="40">
        <f>M50*Greenshoe_pct</f>
        <v>10.419268674839481</v>
      </c>
      <c r="N55" s="40">
        <f>N50*Greenshoe_pct</f>
        <v>9.294075144376162</v>
      </c>
    </row>
    <row r="56" spans="1:14" x14ac:dyDescent="0.25">
      <c r="I56" s="14"/>
      <c r="K56" s="40"/>
      <c r="L56" s="40"/>
      <c r="M56" s="40"/>
      <c r="N56" s="40"/>
    </row>
    <row r="57" spans="1:14" x14ac:dyDescent="0.25">
      <c r="C57" s="2" t="s">
        <v>46</v>
      </c>
      <c r="I57" s="14" t="s">
        <v>34</v>
      </c>
      <c r="K57" s="40">
        <f>K46-K58</f>
        <v>273.43482263895135</v>
      </c>
      <c r="L57" s="40">
        <f t="shared" ref="L57:N57" si="9">L46-L58</f>
        <v>235.77151596148337</v>
      </c>
      <c r="M57" s="40">
        <f t="shared" si="9"/>
        <v>207.2276769773631</v>
      </c>
      <c r="N57" s="40">
        <f t="shared" si="9"/>
        <v>184.84882787148166</v>
      </c>
    </row>
    <row r="58" spans="1:14" x14ac:dyDescent="0.25">
      <c r="C58" s="2" t="s">
        <v>47</v>
      </c>
      <c r="I58" s="14" t="s">
        <v>34</v>
      </c>
      <c r="K58" s="40">
        <f>K50*(1-Greenshoe_pct)</f>
        <v>77.906010919477723</v>
      </c>
      <c r="L58" s="40">
        <f>L50*(1-Greenshoe_pct)</f>
        <v>67.175124659416952</v>
      </c>
      <c r="M58" s="40">
        <f>M50*(1-Greenshoe_pct)</f>
        <v>59.042522490757058</v>
      </c>
      <c r="N58" s="40">
        <f>N50*(1-Greenshoe_pct)</f>
        <v>52.666425818131586</v>
      </c>
    </row>
    <row r="60" spans="1:14" x14ac:dyDescent="0.25">
      <c r="A60" s="2" t="s">
        <v>1</v>
      </c>
      <c r="C60" s="13" t="s">
        <v>48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ht="5.0999999999999996" customHeight="1" x14ac:dyDescent="0.25"/>
    <row r="62" spans="1:14" x14ac:dyDescent="0.25">
      <c r="C62" s="2" t="s">
        <v>49</v>
      </c>
      <c r="I62" s="16" t="s">
        <v>32</v>
      </c>
      <c r="K62" s="36">
        <f>K40*K49</f>
        <v>34782.608695652161</v>
      </c>
      <c r="L62" s="36">
        <f t="shared" ref="L62:N62" si="10">L40*L49</f>
        <v>34782.608695652176</v>
      </c>
      <c r="M62" s="36">
        <f t="shared" si="10"/>
        <v>34782.608695652176</v>
      </c>
      <c r="N62" s="36">
        <f t="shared" si="10"/>
        <v>34782.608695652161</v>
      </c>
    </row>
    <row r="63" spans="1:14" x14ac:dyDescent="0.25">
      <c r="C63" s="2" t="s">
        <v>50</v>
      </c>
      <c r="I63" s="17" t="s">
        <v>32</v>
      </c>
      <c r="K63" s="41">
        <f>K40*K50</f>
        <v>5217.3913043478233</v>
      </c>
      <c r="L63" s="41">
        <f t="shared" ref="L63:N63" si="11">L40*L50</f>
        <v>5217.3913043478196</v>
      </c>
      <c r="M63" s="41">
        <f t="shared" si="11"/>
        <v>5217.3913043478242</v>
      </c>
      <c r="N63" s="41">
        <f t="shared" si="11"/>
        <v>5217.3913043478196</v>
      </c>
    </row>
    <row r="64" spans="1:14" x14ac:dyDescent="0.25">
      <c r="C64" s="9" t="s">
        <v>51</v>
      </c>
      <c r="D64" s="9"/>
      <c r="E64" s="9"/>
      <c r="F64" s="9"/>
      <c r="G64" s="9"/>
      <c r="H64" s="9"/>
      <c r="I64" s="18" t="s">
        <v>32</v>
      </c>
      <c r="J64" s="9"/>
      <c r="K64" s="32">
        <f>SUM(K62:K63)</f>
        <v>39999.999999999985</v>
      </c>
      <c r="L64" s="32">
        <f t="shared" ref="L64:N64" si="12">SUM(L62:L63)</f>
        <v>39999.999999999993</v>
      </c>
      <c r="M64" s="32">
        <f t="shared" si="12"/>
        <v>40000</v>
      </c>
      <c r="N64" s="32">
        <f t="shared" si="12"/>
        <v>39999.999999999978</v>
      </c>
    </row>
    <row r="65" spans="1:14" x14ac:dyDescent="0.25">
      <c r="I65" s="17"/>
      <c r="K65" s="88"/>
      <c r="L65" s="88"/>
      <c r="M65" s="88"/>
      <c r="N65" s="88"/>
    </row>
    <row r="66" spans="1:14" x14ac:dyDescent="0.25">
      <c r="C66" s="2" t="s">
        <v>52</v>
      </c>
      <c r="I66" s="17" t="s">
        <v>32</v>
      </c>
      <c r="K66" s="36">
        <f>K40*K45</f>
        <v>19999.999999999993</v>
      </c>
      <c r="L66" s="36">
        <f t="shared" ref="L66:N66" si="13">L40*L45</f>
        <v>19999.999999999996</v>
      </c>
      <c r="M66" s="36">
        <f t="shared" si="13"/>
        <v>20000</v>
      </c>
      <c r="N66" s="36">
        <f t="shared" si="13"/>
        <v>19999.999999999989</v>
      </c>
    </row>
    <row r="67" spans="1:14" x14ac:dyDescent="0.25">
      <c r="C67" s="2" t="s">
        <v>53</v>
      </c>
      <c r="I67" s="17" t="s">
        <v>32</v>
      </c>
      <c r="K67" s="42">
        <f>-K66*underwriting_discount</f>
        <v>-499.99999999999983</v>
      </c>
      <c r="L67" s="42">
        <f>-L66*underwriting_discount</f>
        <v>-499.99999999999994</v>
      </c>
      <c r="M67" s="42">
        <f>-M66*underwriting_discount</f>
        <v>-500</v>
      </c>
      <c r="N67" s="42">
        <f>-N66*underwriting_discount</f>
        <v>-499.99999999999977</v>
      </c>
    </row>
    <row r="68" spans="1:14" x14ac:dyDescent="0.25">
      <c r="C68" s="2" t="s">
        <v>54</v>
      </c>
      <c r="I68" s="17" t="s">
        <v>32</v>
      </c>
      <c r="K68" s="43">
        <f>-$N$21</f>
        <v>-1205</v>
      </c>
      <c r="L68" s="43">
        <f>-$N$21</f>
        <v>-1205</v>
      </c>
      <c r="M68" s="43">
        <f>-$N$21</f>
        <v>-1205</v>
      </c>
      <c r="N68" s="43">
        <f>-$N$21</f>
        <v>-1205</v>
      </c>
    </row>
    <row r="69" spans="1:14" x14ac:dyDescent="0.25">
      <c r="C69" s="9" t="s">
        <v>55</v>
      </c>
      <c r="D69" s="9"/>
      <c r="E69" s="9"/>
      <c r="F69" s="9"/>
      <c r="G69" s="9"/>
      <c r="H69" s="9"/>
      <c r="I69" s="18" t="s">
        <v>32</v>
      </c>
      <c r="J69" s="9"/>
      <c r="K69" s="32">
        <f>K66-K67-K68</f>
        <v>21704.999999999993</v>
      </c>
      <c r="L69" s="32">
        <f t="shared" ref="L69:N69" si="14">L66-L67-L68</f>
        <v>21704.999999999996</v>
      </c>
      <c r="M69" s="32">
        <f t="shared" si="14"/>
        <v>21705</v>
      </c>
      <c r="N69" s="32">
        <f t="shared" si="14"/>
        <v>21704.999999999989</v>
      </c>
    </row>
    <row r="70" spans="1:14" x14ac:dyDescent="0.25">
      <c r="I70" s="17"/>
    </row>
    <row r="71" spans="1:14" x14ac:dyDescent="0.25">
      <c r="C71" s="48" t="s">
        <v>56</v>
      </c>
      <c r="D71" s="49"/>
      <c r="E71" s="49"/>
      <c r="F71" s="49"/>
      <c r="G71" s="49"/>
      <c r="H71" s="49"/>
      <c r="I71" s="50" t="s">
        <v>32</v>
      </c>
      <c r="J71" s="49"/>
      <c r="K71" s="51">
        <f>K36-K66</f>
        <v>71952.923160000006</v>
      </c>
      <c r="L71" s="51">
        <f t="shared" ref="L71:N71" si="15">L36-L66</f>
        <v>83447.038554999992</v>
      </c>
      <c r="M71" s="51">
        <f t="shared" si="15"/>
        <v>94941.153949999993</v>
      </c>
      <c r="N71" s="52">
        <f t="shared" si="15"/>
        <v>106435.26934499999</v>
      </c>
    </row>
    <row r="72" spans="1:14" x14ac:dyDescent="0.25">
      <c r="C72" s="86" t="s">
        <v>121</v>
      </c>
      <c r="D72" s="92"/>
      <c r="E72" s="92"/>
      <c r="F72" s="92"/>
      <c r="G72" s="92"/>
      <c r="H72" s="92"/>
      <c r="I72" s="93" t="s">
        <v>35</v>
      </c>
      <c r="J72" s="92"/>
      <c r="K72" s="87">
        <f>K66/K36</f>
        <v>0.21750260146922767</v>
      </c>
      <c r="L72" s="87">
        <f t="shared" ref="L72:N72" si="16">L66/L36</f>
        <v>0.19333564575042461</v>
      </c>
      <c r="M72" s="87">
        <f t="shared" si="16"/>
        <v>0.17400208117538218</v>
      </c>
      <c r="N72" s="94">
        <f t="shared" si="16"/>
        <v>0.15818371015943827</v>
      </c>
    </row>
    <row r="73" spans="1:14" x14ac:dyDescent="0.25">
      <c r="C73" s="53" t="s">
        <v>57</v>
      </c>
      <c r="D73" s="54"/>
      <c r="E73" s="54"/>
      <c r="F73" s="54"/>
      <c r="G73" s="54"/>
      <c r="H73" s="54"/>
      <c r="I73" s="55" t="s">
        <v>35</v>
      </c>
      <c r="J73" s="54"/>
      <c r="K73" s="56">
        <f>K64/K36</f>
        <v>0.43500520293845535</v>
      </c>
      <c r="L73" s="56">
        <f t="shared" ref="L73:N73" si="17">L64/L36</f>
        <v>0.38667129150084922</v>
      </c>
      <c r="M73" s="56">
        <f t="shared" si="17"/>
        <v>0.34800416235076437</v>
      </c>
      <c r="N73" s="95">
        <f t="shared" si="17"/>
        <v>0.31636742031887655</v>
      </c>
    </row>
    <row r="74" spans="1:14" x14ac:dyDescent="0.25">
      <c r="I74" s="17"/>
    </row>
    <row r="75" spans="1:14" x14ac:dyDescent="0.25">
      <c r="A75" s="2" t="s">
        <v>1</v>
      </c>
      <c r="C75" s="13" t="s">
        <v>58</v>
      </c>
      <c r="D75" s="13"/>
      <c r="E75" s="13"/>
      <c r="F75" s="13"/>
      <c r="G75" s="13"/>
      <c r="H75" s="13"/>
      <c r="I75" s="19"/>
      <c r="J75" s="13"/>
      <c r="K75" s="13"/>
      <c r="L75" s="13"/>
      <c r="M75" s="13"/>
      <c r="N75" s="13"/>
    </row>
    <row r="76" spans="1:14" ht="5.0999999999999996" customHeight="1" x14ac:dyDescent="0.25">
      <c r="I76" s="17"/>
    </row>
    <row r="77" spans="1:14" x14ac:dyDescent="0.25">
      <c r="C77" s="2" t="s">
        <v>27</v>
      </c>
      <c r="I77" s="17" t="s">
        <v>32</v>
      </c>
      <c r="K77" s="36">
        <f>K31</f>
        <v>108179.90959999998</v>
      </c>
      <c r="L77" s="36">
        <f>L31</f>
        <v>121702.39829999999</v>
      </c>
      <c r="M77" s="36">
        <f>M31</f>
        <v>135224.88699999999</v>
      </c>
      <c r="N77" s="36">
        <f>N31</f>
        <v>148747.37569999998</v>
      </c>
    </row>
    <row r="78" spans="1:14" x14ac:dyDescent="0.25">
      <c r="C78" s="2" t="s">
        <v>59</v>
      </c>
      <c r="I78" s="17" t="s">
        <v>32</v>
      </c>
      <c r="K78" s="42">
        <f>-K69</f>
        <v>-21704.999999999993</v>
      </c>
      <c r="L78" s="42">
        <f>-L69</f>
        <v>-21704.999999999996</v>
      </c>
      <c r="M78" s="42">
        <f>-M69</f>
        <v>-21705</v>
      </c>
      <c r="N78" s="42">
        <f>-N69</f>
        <v>-21704.999999999989</v>
      </c>
    </row>
    <row r="79" spans="1:14" x14ac:dyDescent="0.25">
      <c r="C79" s="2" t="s">
        <v>60</v>
      </c>
      <c r="I79" s="17" t="s">
        <v>32</v>
      </c>
      <c r="K79" s="44">
        <v>-1181.5999999999999</v>
      </c>
      <c r="L79" s="44">
        <v>-1181.5999999999999</v>
      </c>
      <c r="M79" s="44">
        <v>-1181.5999999999999</v>
      </c>
      <c r="N79" s="44">
        <v>-1181.5999999999999</v>
      </c>
    </row>
    <row r="80" spans="1:14" x14ac:dyDescent="0.25">
      <c r="C80" s="2" t="s">
        <v>61</v>
      </c>
      <c r="I80" s="17" t="s">
        <v>32</v>
      </c>
      <c r="K80" s="45" t="s">
        <v>76</v>
      </c>
      <c r="L80" s="45" t="s">
        <v>76</v>
      </c>
      <c r="M80" s="45" t="s">
        <v>76</v>
      </c>
      <c r="N80" s="45" t="s">
        <v>76</v>
      </c>
    </row>
    <row r="81" spans="3:14" x14ac:dyDescent="0.25">
      <c r="C81" s="2" t="s">
        <v>62</v>
      </c>
      <c r="I81" s="17" t="s">
        <v>32</v>
      </c>
      <c r="K81" s="45" t="s">
        <v>76</v>
      </c>
      <c r="L81" s="45" t="s">
        <v>76</v>
      </c>
      <c r="M81" s="45" t="s">
        <v>76</v>
      </c>
      <c r="N81" s="45" t="s">
        <v>76</v>
      </c>
    </row>
    <row r="82" spans="3:14" x14ac:dyDescent="0.25">
      <c r="C82" s="2" t="s">
        <v>63</v>
      </c>
      <c r="I82" s="17" t="s">
        <v>32</v>
      </c>
      <c r="K82" s="45" t="s">
        <v>76</v>
      </c>
      <c r="L82" s="45" t="s">
        <v>76</v>
      </c>
      <c r="M82" s="45" t="s">
        <v>76</v>
      </c>
      <c r="N82" s="45" t="s">
        <v>76</v>
      </c>
    </row>
    <row r="83" spans="3:14" x14ac:dyDescent="0.25">
      <c r="C83" s="2" t="s">
        <v>64</v>
      </c>
      <c r="I83" s="17" t="s">
        <v>32</v>
      </c>
      <c r="K83" s="46">
        <v>58357.64</v>
      </c>
      <c r="L83" s="46">
        <v>58357.64</v>
      </c>
      <c r="M83" s="46">
        <v>58357.64</v>
      </c>
      <c r="N83" s="46">
        <v>58357.64</v>
      </c>
    </row>
    <row r="84" spans="3:14" x14ac:dyDescent="0.25">
      <c r="C84" s="2" t="s">
        <v>65</v>
      </c>
      <c r="I84" s="17" t="s">
        <v>32</v>
      </c>
      <c r="K84" s="47">
        <v>791.99</v>
      </c>
      <c r="L84" s="47">
        <v>791.99</v>
      </c>
      <c r="M84" s="47">
        <v>791.99</v>
      </c>
      <c r="N84" s="47">
        <v>791.99</v>
      </c>
    </row>
    <row r="85" spans="3:14" x14ac:dyDescent="0.25">
      <c r="C85" s="9" t="s">
        <v>66</v>
      </c>
      <c r="D85" s="9"/>
      <c r="E85" s="9"/>
      <c r="F85" s="9"/>
      <c r="G85" s="9"/>
      <c r="H85" s="9"/>
      <c r="I85" s="18" t="s">
        <v>32</v>
      </c>
      <c r="J85" s="9"/>
      <c r="K85" s="32">
        <f>SUM(K77:K84)</f>
        <v>144442.93959999998</v>
      </c>
      <c r="L85" s="32">
        <f t="shared" ref="L85:N85" si="18">SUM(L77:L84)</f>
        <v>157965.42829999997</v>
      </c>
      <c r="M85" s="32">
        <f t="shared" si="18"/>
        <v>171487.91699999996</v>
      </c>
      <c r="N85" s="32">
        <f t="shared" si="18"/>
        <v>185010.40569999997</v>
      </c>
    </row>
    <row r="86" spans="3:14" x14ac:dyDescent="0.25">
      <c r="I86" s="17"/>
    </row>
    <row r="87" spans="3:14" x14ac:dyDescent="0.25">
      <c r="C87" s="2" t="s">
        <v>67</v>
      </c>
      <c r="I87" s="16" t="s">
        <v>32</v>
      </c>
      <c r="K87" s="20">
        <f>K36</f>
        <v>91952.923159999991</v>
      </c>
      <c r="L87" s="20">
        <f>L36</f>
        <v>103447.03855499999</v>
      </c>
      <c r="M87" s="20">
        <f>M36</f>
        <v>114941.15394999999</v>
      </c>
      <c r="N87" s="20">
        <f>N36</f>
        <v>126435.26934499998</v>
      </c>
    </row>
    <row r="88" spans="3:14" x14ac:dyDescent="0.25">
      <c r="C88" s="9" t="s">
        <v>68</v>
      </c>
      <c r="D88" s="89"/>
      <c r="E88" s="89"/>
      <c r="F88" s="89"/>
      <c r="G88" s="89"/>
      <c r="H88" s="89"/>
      <c r="I88" s="90" t="s">
        <v>32</v>
      </c>
      <c r="J88" s="89"/>
      <c r="K88" s="91">
        <f>K87+SUM(K78:K84)</f>
        <v>128215.95316</v>
      </c>
      <c r="L88" s="91">
        <f t="shared" ref="L88:N88" si="19">L87+SUM(L78:L84)</f>
        <v>139710.06855500001</v>
      </c>
      <c r="M88" s="91">
        <f t="shared" si="19"/>
        <v>151204.18394999998</v>
      </c>
      <c r="N88" s="91">
        <f t="shared" si="19"/>
        <v>162698.29934499998</v>
      </c>
    </row>
    <row r="89" spans="3:14" x14ac:dyDescent="0.25">
      <c r="I89" s="17"/>
    </row>
    <row r="90" spans="3:14" x14ac:dyDescent="0.25">
      <c r="C90" s="2" t="s">
        <v>69</v>
      </c>
      <c r="I90" s="17" t="s">
        <v>75</v>
      </c>
      <c r="K90" s="33">
        <f>+K87/Forward_year_1_net_income</f>
        <v>34</v>
      </c>
      <c r="L90" s="33">
        <f>+L87/Forward_year_1_net_income</f>
        <v>38.25</v>
      </c>
      <c r="M90" s="33">
        <f>+M87/Forward_year_1_net_income</f>
        <v>42.5</v>
      </c>
      <c r="N90" s="33">
        <f>+N87/Forward_year_1_net_income</f>
        <v>46.749999999999993</v>
      </c>
    </row>
    <row r="91" spans="3:14" x14ac:dyDescent="0.25">
      <c r="C91" s="2" t="s">
        <v>70</v>
      </c>
      <c r="I91" s="17" t="s">
        <v>75</v>
      </c>
      <c r="K91" s="33">
        <f>+K77/Forward_year_1_net_income</f>
        <v>40</v>
      </c>
      <c r="L91" s="33">
        <f>+L77/Forward_year_1_net_income</f>
        <v>45</v>
      </c>
      <c r="M91" s="33">
        <f>+M77/Forward_year_1_net_income</f>
        <v>50</v>
      </c>
      <c r="N91" s="33">
        <f>+N77/Forward_year_1_net_income</f>
        <v>54.999999999999993</v>
      </c>
    </row>
    <row r="92" spans="3:14" x14ac:dyDescent="0.25">
      <c r="I92" s="17"/>
    </row>
    <row r="93" spans="3:14" x14ac:dyDescent="0.25">
      <c r="C93" s="2" t="s">
        <v>71</v>
      </c>
      <c r="I93" s="17" t="s">
        <v>75</v>
      </c>
      <c r="K93" s="33">
        <f>K88/Forward_year_1_ebitda</f>
        <v>11.869768019382027</v>
      </c>
      <c r="L93" s="33">
        <f>L88/Forward_year_1_ebitda</f>
        <v>12.933851543812128</v>
      </c>
      <c r="M93" s="33">
        <f>M88/Forward_year_1_ebitda</f>
        <v>13.997935068242228</v>
      </c>
      <c r="N93" s="33">
        <f>N88/Forward_year_1_ebitda</f>
        <v>15.062018592672329</v>
      </c>
    </row>
    <row r="94" spans="3:14" x14ac:dyDescent="0.25">
      <c r="C94" s="2" t="s">
        <v>72</v>
      </c>
      <c r="I94" s="17" t="s">
        <v>75</v>
      </c>
      <c r="K94" s="33">
        <f>K85/Forward_year_1_ebitda</f>
        <v>13.372003583283345</v>
      </c>
      <c r="L94" s="33">
        <f>L85/Forward_year_1_ebitda</f>
        <v>14.623866553201111</v>
      </c>
      <c r="M94" s="33">
        <f>M85/Forward_year_1_ebitda</f>
        <v>15.875729523118876</v>
      </c>
      <c r="N94" s="33">
        <f>N85/Forward_year_1_ebitda</f>
        <v>17.127592493036644</v>
      </c>
    </row>
    <row r="95" spans="3:14" x14ac:dyDescent="0.25">
      <c r="I95" s="17"/>
    </row>
    <row r="96" spans="3:14" x14ac:dyDescent="0.25">
      <c r="C96" s="2" t="s">
        <v>73</v>
      </c>
      <c r="I96" s="17" t="s">
        <v>75</v>
      </c>
      <c r="K96" s="33">
        <f>K88/Forward_Year_1_Revenue</f>
        <v>1.873982536426424</v>
      </c>
      <c r="L96" s="33">
        <f>L88/Forward_Year_1_Revenue</f>
        <v>2.0419785696113175</v>
      </c>
      <c r="M96" s="33">
        <f>M88/Forward_Year_1_Revenue</f>
        <v>2.2099746027962106</v>
      </c>
      <c r="N96" s="33">
        <f>N88/Forward_Year_1_Revenue</f>
        <v>2.3779706359811041</v>
      </c>
    </row>
    <row r="97" spans="2:14" x14ac:dyDescent="0.25">
      <c r="C97" s="2" t="s">
        <v>74</v>
      </c>
      <c r="I97" s="17" t="s">
        <v>75</v>
      </c>
      <c r="K97" s="33">
        <f>K85/Forward_Year_1_Revenue</f>
        <v>2.111153406805097</v>
      </c>
      <c r="L97" s="33">
        <f>L85/Forward_Year_1_Revenue</f>
        <v>2.3087957987873242</v>
      </c>
      <c r="M97" s="33">
        <f>M85/Forward_Year_1_Revenue</f>
        <v>2.5064381907695519</v>
      </c>
      <c r="N97" s="33">
        <f>N85/Forward_Year_1_Revenue</f>
        <v>2.7040805827517795</v>
      </c>
    </row>
    <row r="99" spans="2:14" x14ac:dyDescent="0.25">
      <c r="B99" s="61" t="s">
        <v>81</v>
      </c>
      <c r="C99" s="61"/>
      <c r="D99" s="61"/>
      <c r="E99" s="61"/>
      <c r="F99" s="61"/>
      <c r="G99" s="61"/>
      <c r="H99" s="20"/>
      <c r="I99" s="61" t="s">
        <v>84</v>
      </c>
      <c r="J99" s="61"/>
      <c r="K99" s="61"/>
      <c r="L99" s="61"/>
      <c r="M99" s="61"/>
      <c r="N99" s="61"/>
    </row>
    <row r="100" spans="2:14" x14ac:dyDescent="0.25">
      <c r="B100" s="104" t="s">
        <v>82</v>
      </c>
      <c r="C100" s="104"/>
      <c r="D100" s="60">
        <v>40</v>
      </c>
      <c r="E100" s="60">
        <v>45</v>
      </c>
      <c r="F100" s="60">
        <v>50</v>
      </c>
      <c r="G100" s="60">
        <v>55</v>
      </c>
      <c r="H100" s="60"/>
      <c r="I100" s="62" t="s">
        <v>83</v>
      </c>
      <c r="J100" s="62"/>
      <c r="K100" s="20">
        <v>40</v>
      </c>
      <c r="L100" s="20">
        <v>45</v>
      </c>
      <c r="M100" s="20">
        <v>50</v>
      </c>
      <c r="N100" s="20">
        <v>55</v>
      </c>
    </row>
    <row r="101" spans="2:14" x14ac:dyDescent="0.25">
      <c r="C101" s="59">
        <v>0.1</v>
      </c>
      <c r="D101" s="36">
        <f t="shared" ref="D101:G104" si="20">((D$100*Forward_year_1_net_income)*(1-$C101)*10)/$F$17</f>
        <v>770.268343670886</v>
      </c>
      <c r="E101" s="36">
        <f t="shared" si="20"/>
        <v>866.55188662974683</v>
      </c>
      <c r="F101" s="36">
        <f t="shared" si="20"/>
        <v>962.83542958860744</v>
      </c>
      <c r="G101" s="36">
        <f t="shared" si="20"/>
        <v>1059.1189725474683</v>
      </c>
      <c r="H101" s="20"/>
      <c r="J101" s="63">
        <v>0.1</v>
      </c>
      <c r="K101" s="64">
        <f>((($J101 * Existing_shares) / (1 - $J101)) * K$100)/10</f>
        <v>561.77777777777783</v>
      </c>
      <c r="L101" s="64">
        <f t="shared" ref="L101:N104" si="21" xml:space="preserve"> ((($J101 * Existing_shares) / (1 - $J101)) * L$100)/10</f>
        <v>632.00000000000011</v>
      </c>
      <c r="M101" s="64">
        <f t="shared" si="21"/>
        <v>702.22222222222229</v>
      </c>
      <c r="N101" s="64">
        <f t="shared" si="21"/>
        <v>772.44444444444457</v>
      </c>
    </row>
    <row r="102" spans="2:14" x14ac:dyDescent="0.25">
      <c r="C102" s="59">
        <v>0.15</v>
      </c>
      <c r="D102" s="36">
        <f t="shared" si="20"/>
        <v>727.47565791139232</v>
      </c>
      <c r="E102" s="36">
        <f t="shared" si="20"/>
        <v>818.41011515031641</v>
      </c>
      <c r="F102" s="36">
        <f t="shared" si="20"/>
        <v>909.34457238924051</v>
      </c>
      <c r="G102" s="36">
        <f t="shared" si="20"/>
        <v>1000.2790296281643</v>
      </c>
      <c r="H102" s="20"/>
      <c r="J102" s="63">
        <v>0.2</v>
      </c>
      <c r="K102" s="64">
        <f xml:space="preserve"> ((($J102 * Existing_shares) / (1 - $J102)) * K$100)/10</f>
        <v>1264</v>
      </c>
      <c r="L102" s="64">
        <f t="shared" si="21"/>
        <v>1422</v>
      </c>
      <c r="M102" s="64">
        <f t="shared" si="21"/>
        <v>1580</v>
      </c>
      <c r="N102" s="64">
        <f t="shared" si="21"/>
        <v>1738</v>
      </c>
    </row>
    <row r="103" spans="2:14" x14ac:dyDescent="0.25">
      <c r="C103" s="59">
        <v>0.2</v>
      </c>
      <c r="D103" s="36">
        <f t="shared" si="20"/>
        <v>684.68297215189864</v>
      </c>
      <c r="E103" s="36">
        <f t="shared" si="20"/>
        <v>770.268343670886</v>
      </c>
      <c r="F103" s="36">
        <f t="shared" si="20"/>
        <v>855.85371518987336</v>
      </c>
      <c r="G103" s="36">
        <f t="shared" si="20"/>
        <v>941.4390867088606</v>
      </c>
      <c r="H103" s="20"/>
      <c r="J103" s="63">
        <v>0.3</v>
      </c>
      <c r="K103" s="64">
        <f xml:space="preserve"> ((($J103 * Existing_shares) / (1 - $J103)) * K$100)/10</f>
        <v>2166.8571428571431</v>
      </c>
      <c r="L103" s="64">
        <f t="shared" si="21"/>
        <v>2437.7142857142858</v>
      </c>
      <c r="M103" s="64">
        <f t="shared" si="21"/>
        <v>2708.5714285714289</v>
      </c>
      <c r="N103" s="64">
        <f t="shared" si="21"/>
        <v>2979.4285714285716</v>
      </c>
    </row>
    <row r="104" spans="2:14" x14ac:dyDescent="0.25">
      <c r="C104" s="59">
        <v>0.25</v>
      </c>
      <c r="D104" s="36">
        <f t="shared" si="20"/>
        <v>641.89028639240496</v>
      </c>
      <c r="E104" s="36">
        <f t="shared" si="20"/>
        <v>722.12657219145558</v>
      </c>
      <c r="F104" s="36">
        <f t="shared" si="20"/>
        <v>802.3628579905062</v>
      </c>
      <c r="G104" s="36">
        <f t="shared" si="20"/>
        <v>882.59914378955693</v>
      </c>
      <c r="H104" s="20"/>
      <c r="J104" s="63">
        <v>0.4</v>
      </c>
      <c r="K104" s="64">
        <f xml:space="preserve"> ((($J104 * Existing_shares) / (1 - $J104)) * K$100)/10</f>
        <v>3370.666666666667</v>
      </c>
      <c r="L104" s="64">
        <f t="shared" si="21"/>
        <v>3792</v>
      </c>
      <c r="M104" s="64">
        <f t="shared" si="21"/>
        <v>4213.3333333333339</v>
      </c>
      <c r="N104" s="64">
        <f t="shared" si="21"/>
        <v>4634.666666666667</v>
      </c>
    </row>
    <row r="105" spans="2:14" x14ac:dyDescent="0.25">
      <c r="C105" s="33"/>
    </row>
    <row r="106" spans="2:14" x14ac:dyDescent="0.25">
      <c r="B106" s="61" t="s">
        <v>131</v>
      </c>
      <c r="C106" s="61"/>
      <c r="D106" s="61"/>
      <c r="E106" s="61"/>
      <c r="F106" s="61"/>
      <c r="G106" s="61"/>
      <c r="H106" s="61"/>
      <c r="I106" s="61"/>
      <c r="J106" s="61"/>
    </row>
    <row r="107" spans="2:14" ht="15" customHeight="1" x14ac:dyDescent="0.25">
      <c r="B107" s="110" t="s">
        <v>86</v>
      </c>
      <c r="C107" s="110"/>
      <c r="E107" s="109" t="s">
        <v>104</v>
      </c>
      <c r="F107" s="109"/>
      <c r="G107" s="109" t="s">
        <v>132</v>
      </c>
      <c r="H107" s="109"/>
      <c r="I107" s="109" t="s">
        <v>130</v>
      </c>
      <c r="J107" s="109"/>
    </row>
    <row r="108" spans="2:14" ht="15" customHeight="1" x14ac:dyDescent="0.25">
      <c r="C108" s="107" t="s">
        <v>126</v>
      </c>
      <c r="E108" s="111">
        <v>17.103000000000002</v>
      </c>
      <c r="F108" s="111"/>
      <c r="G108" s="111">
        <v>9.3780000000000001</v>
      </c>
      <c r="H108" s="111"/>
      <c r="I108" s="111">
        <v>1.468</v>
      </c>
      <c r="J108" s="111"/>
      <c r="K108" s="108"/>
      <c r="L108" s="108"/>
      <c r="M108" s="106"/>
    </row>
    <row r="109" spans="2:14" x14ac:dyDescent="0.25">
      <c r="C109" s="107" t="s">
        <v>127</v>
      </c>
      <c r="E109" s="111">
        <v>135.47</v>
      </c>
      <c r="F109" s="111"/>
      <c r="G109" s="111">
        <v>53.899000000000001</v>
      </c>
      <c r="H109" s="111"/>
      <c r="I109" s="111">
        <v>5.1769999999999996</v>
      </c>
      <c r="J109" s="111"/>
      <c r="K109" s="108"/>
      <c r="L109" s="108"/>
    </row>
    <row r="110" spans="2:14" x14ac:dyDescent="0.25">
      <c r="C110" s="107" t="s">
        <v>128</v>
      </c>
      <c r="E110" s="111">
        <v>35.244999999999997</v>
      </c>
      <c r="F110" s="111"/>
      <c r="G110" s="111">
        <v>16.093</v>
      </c>
      <c r="H110" s="111"/>
      <c r="I110" s="111">
        <v>3.214</v>
      </c>
      <c r="J110" s="111"/>
      <c r="K110" s="108"/>
      <c r="L110" s="108"/>
    </row>
    <row r="111" spans="2:14" x14ac:dyDescent="0.25">
      <c r="C111" s="107" t="s">
        <v>129</v>
      </c>
      <c r="E111" s="111">
        <v>40.627000000000002</v>
      </c>
      <c r="F111" s="111"/>
      <c r="G111" s="111">
        <v>21.454000000000001</v>
      </c>
      <c r="H111" s="111"/>
      <c r="I111" s="111">
        <v>4.17</v>
      </c>
      <c r="J111" s="111"/>
      <c r="K111" s="108"/>
      <c r="L111" s="108"/>
    </row>
    <row r="112" spans="2:14" x14ac:dyDescent="0.25">
      <c r="C112" t="s">
        <v>133</v>
      </c>
      <c r="E112" s="111">
        <v>34</v>
      </c>
      <c r="F112" s="111"/>
      <c r="G112" s="111">
        <v>13.9</v>
      </c>
      <c r="H112" s="111"/>
      <c r="I112" s="111">
        <v>2.1</v>
      </c>
      <c r="J112" s="111"/>
    </row>
  </sheetData>
  <mergeCells count="21">
    <mergeCell ref="E112:F112"/>
    <mergeCell ref="G112:H112"/>
    <mergeCell ref="I112:J112"/>
    <mergeCell ref="B107:C107"/>
    <mergeCell ref="G107:H107"/>
    <mergeCell ref="I107:J107"/>
    <mergeCell ref="I108:J108"/>
    <mergeCell ref="I109:J109"/>
    <mergeCell ref="I110:J110"/>
    <mergeCell ref="I111:J111"/>
    <mergeCell ref="E109:F109"/>
    <mergeCell ref="E110:F110"/>
    <mergeCell ref="E111:F111"/>
    <mergeCell ref="G109:H109"/>
    <mergeCell ref="G110:H110"/>
    <mergeCell ref="G111:H111"/>
    <mergeCell ref="E107:F107"/>
    <mergeCell ref="E108:F108"/>
    <mergeCell ref="G108:H108"/>
    <mergeCell ref="B100:C100"/>
    <mergeCell ref="K27:N27"/>
  </mergeCells>
  <conditionalFormatting sqref="K90:N9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3:N9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6:N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39370078740157483" right="0.39370078740157483" top="0.59055118110236227" bottom="0.59055118110236227" header="0.31496062992125984" footer="0.31496062992125984"/>
  <pageSetup paperSize="9" scale="67" orientation="portrait" r:id="rId1"/>
  <rowBreaks count="1" manualBreakCount="1">
    <brk id="73" min="1" max="13" man="1"/>
  </rowBreaks>
  <colBreaks count="1" manualBreakCount="1">
    <brk id="15" max="9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Cover Page</vt:lpstr>
      <vt:lpstr>IPO_MODEL</vt:lpstr>
      <vt:lpstr>Existing_shares</vt:lpstr>
      <vt:lpstr>Forward_year_1_ebitda</vt:lpstr>
      <vt:lpstr>Forward_year_1_net_income</vt:lpstr>
      <vt:lpstr>Forward_Year_1_Revenue</vt:lpstr>
      <vt:lpstr>Greenshoe_pct</vt:lpstr>
      <vt:lpstr>ipo_pricing_discount</vt:lpstr>
      <vt:lpstr>primary_raise</vt:lpstr>
      <vt:lpstr>primary_share</vt:lpstr>
      <vt:lpstr>IPO_MODEL!Print_Area</vt:lpstr>
      <vt:lpstr>secondary_raise</vt:lpstr>
      <vt:lpstr>underwriting_discount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samant</dc:creator>
  <cp:lastModifiedBy>swaraj samant</cp:lastModifiedBy>
  <cp:lastPrinted>2025-06-12T11:56:07Z</cp:lastPrinted>
  <dcterms:created xsi:type="dcterms:W3CDTF">2025-06-03T03:36:39Z</dcterms:created>
  <dcterms:modified xsi:type="dcterms:W3CDTF">2025-06-12T11:57:01Z</dcterms:modified>
</cp:coreProperties>
</file>