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24226"/>
  <mc:AlternateContent xmlns:mc="http://schemas.openxmlformats.org/markup-compatibility/2006">
    <mc:Choice Requires="x15">
      <x15ac:absPath xmlns:x15ac="http://schemas.microsoft.com/office/spreadsheetml/2010/11/ac" url="F:\Dashboard\"/>
    </mc:Choice>
  </mc:AlternateContent>
  <xr:revisionPtr revIDLastSave="0" documentId="13_ncr:1_{43FBB159-54DF-40FE-926D-C5B82620A488}" xr6:coauthVersionLast="47" xr6:coauthVersionMax="47" xr10:uidLastSave="{00000000-0000-0000-0000-000000000000}"/>
  <bookViews>
    <workbookView xWindow="-108" yWindow="-108" windowWidth="23256" windowHeight="12720" activeTab="4" xr2:uid="{00000000-000D-0000-FFFF-FFFF00000000}"/>
  </bookViews>
  <sheets>
    <sheet name="Raw_data" sheetId="1" r:id="rId1"/>
    <sheet name="Filtered_data" sheetId="2" r:id="rId2"/>
    <sheet name="EDA &amp; stats" sheetId="3" r:id="rId3"/>
    <sheet name="Analysis &amp; visuals" sheetId="4" r:id="rId4"/>
    <sheet name="Dashboard" sheetId="5" r:id="rId5"/>
  </sheets>
  <definedNames>
    <definedName name="Slicer_rating">#N/A</definedName>
    <definedName name="Slicer_speci_1">#N/A</definedName>
    <definedName name="Slicer_speci_2">#N/A</definedName>
    <definedName name="Slicer_speci_4">#N/A</definedName>
  </definedNames>
  <calcPr calcId="181029"/>
  <pivotCaches>
    <pivotCache cacheId="1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M18" i="3" l="1"/>
  <c r="L17" i="3"/>
  <c r="K16" i="3"/>
  <c r="J15" i="3"/>
  <c r="I14" i="3"/>
  <c r="C20" i="3" l="1"/>
  <c r="D20" i="3"/>
  <c r="E20" i="3"/>
  <c r="F20" i="3"/>
  <c r="B20" i="3"/>
  <c r="C19" i="3"/>
  <c r="D19" i="3"/>
  <c r="E19" i="3"/>
  <c r="F19" i="3"/>
  <c r="B19" i="3"/>
  <c r="C18" i="3"/>
  <c r="D18" i="3"/>
  <c r="E18" i="3"/>
  <c r="F18" i="3"/>
  <c r="B18" i="3"/>
  <c r="C17" i="3"/>
  <c r="D17" i="3"/>
  <c r="E17" i="3"/>
  <c r="F17" i="3"/>
  <c r="B17" i="3"/>
  <c r="C16" i="3"/>
  <c r="D16" i="3"/>
  <c r="E16" i="3"/>
  <c r="F16" i="3"/>
  <c r="B16" i="3"/>
  <c r="C15" i="3"/>
  <c r="D15" i="3"/>
  <c r="E15" i="3"/>
  <c r="F15" i="3"/>
  <c r="B15" i="3"/>
  <c r="B14" i="3"/>
  <c r="C14" i="3"/>
  <c r="D14" i="3"/>
  <c r="E14" i="3"/>
  <c r="F14" i="3"/>
  <c r="C13" i="3"/>
  <c r="D13" i="3"/>
  <c r="E13" i="3"/>
  <c r="F13" i="3"/>
  <c r="B13" i="3"/>
  <c r="C12" i="3"/>
  <c r="D12" i="3"/>
  <c r="E12" i="3"/>
  <c r="F12" i="3"/>
  <c r="B12" i="3"/>
  <c r="C11" i="3"/>
  <c r="D11" i="3"/>
  <c r="E11" i="3"/>
  <c r="F11" i="3"/>
  <c r="B11" i="3"/>
  <c r="C10" i="3"/>
  <c r="D10" i="3"/>
  <c r="E10" i="3"/>
  <c r="F10" i="3"/>
  <c r="B10" i="3"/>
  <c r="C9" i="3"/>
  <c r="D9" i="3"/>
  <c r="E9" i="3"/>
  <c r="F9" i="3"/>
  <c r="B9" i="3"/>
  <c r="C8" i="3"/>
  <c r="D8" i="3"/>
  <c r="E8" i="3"/>
  <c r="F8" i="3"/>
  <c r="B8" i="3"/>
  <c r="C7" i="3"/>
  <c r="D7" i="3"/>
  <c r="E7" i="3"/>
  <c r="F7" i="3"/>
  <c r="B7" i="3"/>
  <c r="C6" i="3"/>
  <c r="D6" i="3"/>
  <c r="E6" i="3"/>
  <c r="F6" i="3"/>
  <c r="B6" i="3"/>
  <c r="C5" i="3"/>
  <c r="D5" i="3"/>
  <c r="E5" i="3"/>
  <c r="F5" i="3"/>
  <c r="B5" i="3"/>
  <c r="C4" i="3"/>
  <c r="D4" i="3"/>
  <c r="E4" i="3"/>
  <c r="F4" i="3"/>
  <c r="B4" i="3"/>
</calcChain>
</file>

<file path=xl/sharedStrings.xml><?xml version="1.0" encoding="utf-8"?>
<sst xmlns="http://schemas.openxmlformats.org/spreadsheetml/2006/main" count="1168" uniqueCount="174">
  <si>
    <t>product</t>
  </si>
  <si>
    <t>review</t>
  </si>
  <si>
    <t>price</t>
  </si>
  <si>
    <t>rating</t>
  </si>
  <si>
    <t>offers</t>
  </si>
  <si>
    <t>speci 1</t>
  </si>
  <si>
    <t>speci 2</t>
  </si>
  <si>
    <t>speci 3</t>
  </si>
  <si>
    <t>speci 4</t>
  </si>
  <si>
    <t>discounted price</t>
  </si>
  <si>
    <t>total price</t>
  </si>
  <si>
    <t>ASUS TUF Gaming F15 Core i5 10th Gen - (8 GB/512 GB SSD...</t>
  </si>
  <si>
    <t>ASUS ROG Strix G15 (2021) Ryzen 7 Octa Core 4800H - (8 ...</t>
  </si>
  <si>
    <t>ASUS ASUS TUF Gaming Core i5 10th Gen - (16 GB/512 GB S...</t>
  </si>
  <si>
    <t>ASUS ASUS TUF Gaming Core i7 11th Gen - (16 GB/1 TB SSD...</t>
  </si>
  <si>
    <t>ASUS ASUS TUF Gaming Core i5 11th Gen - (8 GB/1 TB SSD/...</t>
  </si>
  <si>
    <t>ASUS Core i7 10th Gen - (8 GB/1 TB SSD/Windows 10 Home/...</t>
  </si>
  <si>
    <t>ASUS Vivobook 15 Core i5 11th Gen - (8 GB/1 TB HDD/256 ...</t>
  </si>
  <si>
    <t>ASUS Vivobook Gaming Core i5 9th Gen - (8 GB/512 GB SSD...</t>
  </si>
  <si>
    <t>ASUS TUF Gaming F17 (2021) Core i5 11th Gen - (8 GB/1 T...</t>
  </si>
  <si>
    <t>ASUS ROG Zephyrus G15 Ryzen 9 Octa Core 5900HS - (16 GB...</t>
  </si>
  <si>
    <t>ASUS TUF Dash F15 Core i5 11th Gen - (8 GB/1 TB SSD/Win...</t>
  </si>
  <si>
    <t>ASUS ASUS TUF Dash Core i5 11th Gen - (16 GB/512 GB SSD...</t>
  </si>
  <si>
    <t>ASUS TUF Dash F15 (2021) Core i5 11th Gen - (16 GB/512 ...</t>
  </si>
  <si>
    <t>ASUS TUF Core i5 10th Gen - (8 GB/1 TB SSD/Windows 10 H...</t>
  </si>
  <si>
    <t>ASUS ROG Strix Ryzen 9 Octa Core 5900HX - (16 GB/1 TB S...</t>
  </si>
  <si>
    <t>ASUS ROG Strix G17 Ryzen 9 Octa Core AMD Ryzen™ 9 5900H...</t>
  </si>
  <si>
    <t>ASUS Core i7 10th Gen - (32 GB/1 TB SSD/Windows 10 Home...</t>
  </si>
  <si>
    <t>ASUS ROG Strix G15 (2021) Ryzen 5 Hexa Core 5600H - (8 ...</t>
  </si>
  <si>
    <t>ASUS ROG Strix G15 Ryzen 7 Octa Core AMD Ryzen™ 7 4800H...</t>
  </si>
  <si>
    <t>ASUS ROG Zephyrus G14 Ryzen 9 Octa Core 4900HS - (16 GB...</t>
  </si>
  <si>
    <t>ASUS F17 Core i5 11th Gen - (8 GB/1 TB SSD/Windows 10 H...</t>
  </si>
  <si>
    <t>ASUS F15 (2021) Core i5 11th Gen - (8 GB/1 TB SSD/Windo...</t>
  </si>
  <si>
    <t>ASUS TUF(The Ultimate Force) Core i5 8th Gen - (8 GB/1 ...</t>
  </si>
  <si>
    <t>ASUS ASUS TUF Gaming F17 Core i5 11th Gen - (8 GB/512 G...</t>
  </si>
  <si>
    <t>ASUS TUF Gaming F15 (2021) Core i5 11th Gen - (16 GB/51...</t>
  </si>
  <si>
    <t>ASUS Zephyrus S17 (2021) Core i9 11th Gen - (32 GB/3 TB...</t>
  </si>
  <si>
    <t>ASUS ROG Flow X13 Ryzen 7 Octa Core 5800HS - (16 GB/1 T...</t>
  </si>
  <si>
    <t>ASUS ASUS TUF Dash Series Core i5 11th Gen - (16 GB/512...</t>
  </si>
  <si>
    <t>ASUS Core i9 10th Gen - (32 GB/1 TB SSD/Windows 10 Home...</t>
  </si>
  <si>
    <t>ASUS TUF Dash F15 Core i5 11th Gen - (16 GB/1 TB SSD/Wi...</t>
  </si>
  <si>
    <t>ASUS Core i5 5th Gen - (16 GB/512 GB SSD/Windows 10/4 G...</t>
  </si>
  <si>
    <t>ASUS ROG Flow X13 Ryzen 9 Octa Core 5900HS - (32 GB/1 T...</t>
  </si>
  <si>
    <t>ASUS ROG Zephyrus S15 Core i7 10th Gen - (32 GB/1 TB SS...</t>
  </si>
  <si>
    <t>ASUS ROG Zephyrus G14 (2020) Ryzen 9 Octa Core - (16 GB...</t>
  </si>
  <si>
    <t>ASUS ROG Zephyrus G14 Ryzen 7 Octa Core AMD Ryzen™ 7 58...</t>
  </si>
  <si>
    <t>ASUS ROG Core i7 7th Gen - (8 GB/1 TB HDD/256 GB SSD/Wi...</t>
  </si>
  <si>
    <t>ASUS TUF Gaming F15 (2021) Core i7 11th Gen - (8 GB/1 T...</t>
  </si>
  <si>
    <t>ASUS ROG Flow X13 (2021) Ryzen 9 Octa Core 5900HS - (16...</t>
  </si>
  <si>
    <t>ASUS Strix G15 Ryzen 7 Octa Core AMD Ryzen™ 7 4800H 4th...</t>
  </si>
  <si>
    <t>ASUS ROG Flow X13 Ryzen 9 Octa Core 5900HS - (16 GB/1 T...</t>
  </si>
  <si>
    <t>ASUS Zephyrus M16 (2021) Core i7 11th Gen - (16 GB/1 TB...</t>
  </si>
  <si>
    <t>ASUS ROG Strix Edition Core i7 7th Gen - (16 GB/1 TB HD...</t>
  </si>
  <si>
    <t>No Cost EMI from10,832/month</t>
  </si>
  <si>
    <t>No Cost EMI from12,832/month</t>
  </si>
  <si>
    <t>No Cost EMI from11,499/month</t>
  </si>
  <si>
    <t>No Cost EMI from17,665/month</t>
  </si>
  <si>
    <t>No Cost EMI from14,999/month</t>
  </si>
  <si>
    <t>No Cost EMI from13,332/month</t>
  </si>
  <si>
    <t>NO EMI Option</t>
  </si>
  <si>
    <t>No Cost EMI from9,165/month</t>
  </si>
  <si>
    <t>No Cost EMI from10,165/month</t>
  </si>
  <si>
    <t>No Cost EMI from15,499/month</t>
  </si>
  <si>
    <t>No Cost EMI from16,665/month</t>
  </si>
  <si>
    <t>No Cost EMI from20,832/month</t>
  </si>
  <si>
    <t>No Cost EMI from14,665/month</t>
  </si>
  <si>
    <t>No Cost EMI from17,832/month</t>
  </si>
  <si>
    <t>No Cost EMI from15,832/month</t>
  </si>
  <si>
    <t>No Cost EMI from24,332/month</t>
  </si>
  <si>
    <t>No Cost EMI from27,499/month</t>
  </si>
  <si>
    <t>No Cost EMI from18,915/month</t>
  </si>
  <si>
    <t>No Cost EMI from23,332/month</t>
  </si>
  <si>
    <t>15.6 Inch</t>
  </si>
  <si>
    <t>15.6 inch</t>
  </si>
  <si>
    <t>17.3 Inch</t>
  </si>
  <si>
    <t>17.3 inch</t>
  </si>
  <si>
    <t>14 inch</t>
  </si>
  <si>
    <t>17.3 inches</t>
  </si>
  <si>
    <t>13.4 inch</t>
  </si>
  <si>
    <t>15.6 inches</t>
  </si>
  <si>
    <t>13.4 Inch</t>
  </si>
  <si>
    <t>16 inch</t>
  </si>
  <si>
    <t xml:space="preserve"> Black Plastic</t>
  </si>
  <si>
    <t xml:space="preserve"> Plastic Grey</t>
  </si>
  <si>
    <t xml:space="preserve"> Graphite Black</t>
  </si>
  <si>
    <t xml:space="preserve"> Transparent Silver</t>
  </si>
  <si>
    <t xml:space="preserve"> Star Black</t>
  </si>
  <si>
    <t xml:space="preserve"> Eclipse Gray</t>
  </si>
  <si>
    <t xml:space="preserve"> Eclipse Grey</t>
  </si>
  <si>
    <t xml:space="preserve"> Moonlight White</t>
  </si>
  <si>
    <t xml:space="preserve"> Black</t>
  </si>
  <si>
    <t xml:space="preserve"> Celestial Blue</t>
  </si>
  <si>
    <t xml:space="preserve"> Electro Punk</t>
  </si>
  <si>
    <t xml:space="preserve"> Gray W&amp;LED</t>
  </si>
  <si>
    <t xml:space="preserve"> Gun Metal</t>
  </si>
  <si>
    <t xml:space="preserve"> Off Black</t>
  </si>
  <si>
    <t xml:space="preserve"> Off-Black</t>
  </si>
  <si>
    <t xml:space="preserve"> Black Metal</t>
  </si>
  <si>
    <t xml:space="preserve"> White</t>
  </si>
  <si>
    <t xml:space="preserve"> Black Aluminum</t>
  </si>
  <si>
    <t xml:space="preserve"> 2.3 KG</t>
  </si>
  <si>
    <t xml:space="preserve"> 2.10 Kg</t>
  </si>
  <si>
    <t xml:space="preserve"> 2.30 kg</t>
  </si>
  <si>
    <t xml:space="preserve"> 2.30 Kg</t>
  </si>
  <si>
    <t xml:space="preserve"> With MS Office</t>
  </si>
  <si>
    <t xml:space="preserve"> 2.14 Kg</t>
  </si>
  <si>
    <t xml:space="preserve"> 2.6 KG</t>
  </si>
  <si>
    <t xml:space="preserve"> 1.90 Kg</t>
  </si>
  <si>
    <t xml:space="preserve"> 2. Kg</t>
  </si>
  <si>
    <t xml:space="preserve"> 2.00 kg</t>
  </si>
  <si>
    <t xml:space="preserve"> 2 KG</t>
  </si>
  <si>
    <t xml:space="preserve"> 2.10 kg</t>
  </si>
  <si>
    <t xml:space="preserve"> 2.5 kg</t>
  </si>
  <si>
    <t xml:space="preserve"> 2.50 kg</t>
  </si>
  <si>
    <t xml:space="preserve"> 2.1 KG</t>
  </si>
  <si>
    <t xml:space="preserve"> 1.6 Kg</t>
  </si>
  <si>
    <t xml:space="preserve"> 2.3 kg</t>
  </si>
  <si>
    <t xml:space="preserve"> 2.60 kg</t>
  </si>
  <si>
    <t xml:space="preserve"> 1.30 kg</t>
  </si>
  <si>
    <t xml:space="preserve"> 1.90 kg</t>
  </si>
  <si>
    <t>No Offer</t>
  </si>
  <si>
    <t xml:space="preserve"> 1.30 Kg</t>
  </si>
  <si>
    <t xml:space="preserve"> 1.70 Kg</t>
  </si>
  <si>
    <t xml:space="preserve"> 1.6 kg</t>
  </si>
  <si>
    <t xml:space="preserve"> 2.24 kg</t>
  </si>
  <si>
    <t xml:space="preserve"> 1.3 KG</t>
  </si>
  <si>
    <t xml:space="preserve"> 2.6 kg</t>
  </si>
  <si>
    <t>No Offers</t>
  </si>
  <si>
    <t>Variables</t>
  </si>
  <si>
    <t>COUNT</t>
  </si>
  <si>
    <t>SUM</t>
  </si>
  <si>
    <t>MAX</t>
  </si>
  <si>
    <t>MIN</t>
  </si>
  <si>
    <t>RANGE</t>
  </si>
  <si>
    <t>MEAN</t>
  </si>
  <si>
    <t>MEDIAN</t>
  </si>
  <si>
    <t>MODE</t>
  </si>
  <si>
    <t>STANDARD DEVIATION</t>
  </si>
  <si>
    <t>CONFIDENCE INTERVAL</t>
  </si>
  <si>
    <t>QUARTILE 1</t>
  </si>
  <si>
    <t>QUARTILE 2</t>
  </si>
  <si>
    <t>QUARTILE 3</t>
  </si>
  <si>
    <t>STANDARD ERROR</t>
  </si>
  <si>
    <t>VARIANCE</t>
  </si>
  <si>
    <t>KURTOSIS</t>
  </si>
  <si>
    <t>SKEWNESS</t>
  </si>
  <si>
    <t>Price</t>
  </si>
  <si>
    <t>Total Price</t>
  </si>
  <si>
    <t>Discounted Price</t>
  </si>
  <si>
    <t>Rating</t>
  </si>
  <si>
    <t>Review</t>
  </si>
  <si>
    <t>Descriptive statistics - Overall</t>
  </si>
  <si>
    <t>Correlation</t>
  </si>
  <si>
    <t>Co-variance</t>
  </si>
  <si>
    <t>Descriptive Statistics - For each</t>
  </si>
  <si>
    <t>Mean</t>
  </si>
  <si>
    <t>Standard Error</t>
  </si>
  <si>
    <t>Median</t>
  </si>
  <si>
    <t>Mode</t>
  </si>
  <si>
    <t>Standard Deviation</t>
  </si>
  <si>
    <t>Sample Variance</t>
  </si>
  <si>
    <t>Kurtosis</t>
  </si>
  <si>
    <t>Skewness</t>
  </si>
  <si>
    <t>Range</t>
  </si>
  <si>
    <t>Minimum</t>
  </si>
  <si>
    <t>Maximum</t>
  </si>
  <si>
    <t>Sum</t>
  </si>
  <si>
    <t>Count</t>
  </si>
  <si>
    <t>Confidence Level(95.0%)</t>
  </si>
  <si>
    <t>Row Labels</t>
  </si>
  <si>
    <t>Grand Total</t>
  </si>
  <si>
    <t>Sum of rating</t>
  </si>
  <si>
    <t>Sum of total price</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</si>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</sst>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
    <numFmt numFmtId="166" formatCode="0.0"/>
  </numFmts>
  <fonts count="7" x14ac:knownFonts="1">
    <font>
      <sz val="11"/>
      <color theme="1"/>
      <name val="Calibri"/>
      <family val="2"/>
      <scheme val="minor"/>
    </font>
    <font>
      <b/>
      <sz val="11"/>
      <color theme="1"/>
      <name val="Calibri"/>
      <family val="2"/>
      <scheme val="minor"/>
    </font>
    <font>
      <sz val="11"/>
      <color rgb="FF000000"/>
      <name val="Calibri"/>
    </font>
    <font>
      <b/>
      <sz val="11"/>
      <color rgb="FF000000"/>
      <name val="Calibri"/>
      <family val="2"/>
    </font>
    <font>
      <b/>
      <sz val="18"/>
      <color theme="1"/>
      <name val="Calibri"/>
      <family val="2"/>
      <scheme val="minor"/>
    </font>
    <font>
      <b/>
      <i/>
      <sz val="11"/>
      <color theme="1"/>
      <name val="Calibri"/>
      <family val="2"/>
      <scheme val="minor"/>
    </font>
    <font>
      <b/>
      <sz val="16"/>
      <color theme="1"/>
      <name val="Calibri"/>
      <family val="2"/>
      <scheme val="minor"/>
    </font>
  </fonts>
  <fills count="12">
    <fill>
      <patternFill patternType="none"/>
    </fill>
    <fill>
      <patternFill patternType="gray125"/>
    </fill>
    <fill>
      <patternFill patternType="solid">
        <fgColor theme="5"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249977111117893"/>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2" fillId="0" borderId="0"/>
    <xf numFmtId="9" fontId="2" fillId="0" borderId="0" applyFont="0" applyFill="0" applyBorder="0" applyAlignment="0" applyProtection="0"/>
  </cellStyleXfs>
  <cellXfs count="3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xf numFmtId="0" fontId="4" fillId="0" borderId="0" xfId="0" applyFont="1" applyAlignment="1">
      <alignment horizontal="center"/>
    </xf>
    <xf numFmtId="0" fontId="6" fillId="0" borderId="0" xfId="0" applyFont="1" applyAlignment="1">
      <alignment horizontal="center"/>
    </xf>
    <xf numFmtId="0" fontId="3" fillId="5" borderId="0" xfId="1" applyFont="1" applyFill="1"/>
    <xf numFmtId="0" fontId="1" fillId="5" borderId="0" xfId="0" applyFont="1" applyFill="1"/>
    <xf numFmtId="166" fontId="0" fillId="6" borderId="0" xfId="0" applyNumberFormat="1" applyFill="1"/>
    <xf numFmtId="0" fontId="5" fillId="9" borderId="4" xfId="0" applyFont="1" applyFill="1" applyBorder="1" applyAlignment="1">
      <alignment horizontal="center"/>
    </xf>
    <xf numFmtId="0" fontId="1" fillId="9" borderId="0" xfId="0" applyFont="1" applyFill="1" applyBorder="1" applyAlignment="1"/>
    <xf numFmtId="0" fontId="1" fillId="9" borderId="3" xfId="0" applyFont="1" applyFill="1" applyBorder="1" applyAlignment="1"/>
    <xf numFmtId="0" fontId="0" fillId="10" borderId="0" xfId="0" applyFill="1" applyBorder="1" applyAlignment="1"/>
    <xf numFmtId="0" fontId="0" fillId="10" borderId="3" xfId="0" applyFill="1" applyBorder="1" applyAlignment="1"/>
    <xf numFmtId="0" fontId="5" fillId="8" borderId="4" xfId="0" applyFont="1" applyFill="1" applyBorder="1" applyAlignment="1">
      <alignment horizontal="center"/>
    </xf>
    <xf numFmtId="0" fontId="0" fillId="6" borderId="0" xfId="0" applyFill="1" applyBorder="1" applyAlignment="1"/>
    <xf numFmtId="0" fontId="0" fillId="6" borderId="3" xfId="0" applyFill="1" applyBorder="1" applyAlignment="1"/>
    <xf numFmtId="0" fontId="0" fillId="0" borderId="0" xfId="0" pivotButton="1"/>
    <xf numFmtId="0" fontId="0" fillId="0" borderId="0" xfId="0" applyAlignment="1">
      <alignment horizontal="left"/>
    </xf>
    <xf numFmtId="0" fontId="0" fillId="0" borderId="0" xfId="0" applyNumberFormat="1"/>
    <xf numFmtId="0" fontId="0" fillId="4" borderId="0" xfId="0" applyFill="1" applyAlignment="1">
      <alignment horizontal="left"/>
    </xf>
    <xf numFmtId="0" fontId="0" fillId="4" borderId="0" xfId="0" applyNumberFormat="1" applyFill="1"/>
    <xf numFmtId="0" fontId="0" fillId="2" borderId="0" xfId="0" applyFill="1" applyAlignment="1">
      <alignment horizontal="left"/>
    </xf>
    <xf numFmtId="0" fontId="0" fillId="7" borderId="0" xfId="0" applyFill="1" applyAlignment="1">
      <alignment horizontal="left"/>
    </xf>
    <xf numFmtId="0" fontId="0" fillId="3" borderId="0" xfId="0" applyFill="1" applyAlignment="1">
      <alignment horizontal="left"/>
    </xf>
    <xf numFmtId="0" fontId="0" fillId="11" borderId="0" xfId="0" applyFill="1" applyAlignment="1">
      <alignment horizontal="left"/>
    </xf>
    <xf numFmtId="164" fontId="0" fillId="0" borderId="0" xfId="0" applyNumberFormat="1"/>
    <xf numFmtId="164" fontId="0" fillId="2" borderId="0" xfId="0" applyNumberFormat="1" applyFill="1"/>
    <xf numFmtId="164" fontId="0" fillId="7" borderId="0" xfId="0" applyNumberFormat="1" applyFill="1"/>
    <xf numFmtId="164" fontId="0" fillId="11" borderId="0" xfId="0" applyNumberFormat="1" applyFill="1"/>
    <xf numFmtId="164" fontId="0" fillId="3" borderId="0" xfId="0" applyNumberFormat="1" applyFill="1"/>
  </cellXfs>
  <cellStyles count="3">
    <cellStyle name="Normal" xfId="0" builtinId="0"/>
    <cellStyle name="Normal 2" xfId="1" xr:uid="{826D1830-B6B4-4DCC-B5F9-D40A2A8DE6B9}"/>
    <cellStyle name="Percent 2" xfId="2" xr:uid="{217CD9C6-7DAD-4075-B64B-9651E6295DD6}"/>
  </cellStyles>
  <dxfs count="87">
    <dxf>
      <fill>
        <patternFill patternType="solid">
          <bgColor theme="0" tint="-0.34998626667073579"/>
        </patternFill>
      </fill>
    </dxf>
    <dxf>
      <fill>
        <patternFill patternType="solid">
          <bgColor theme="0" tint="-0.34998626667073579"/>
        </patternFill>
      </fill>
    </dxf>
    <dxf>
      <fill>
        <patternFill>
          <bgColor theme="0" tint="-0.249977111117893"/>
        </patternFill>
      </fill>
    </dxf>
    <dxf>
      <numFmt numFmtId="164" formatCode="&quot;$&quot;#,##0.0"/>
    </dxf>
    <dxf>
      <fill>
        <patternFill patternType="solid">
          <bgColor theme="9" tint="0.39997558519241921"/>
        </patternFill>
      </fill>
    </dxf>
    <dxf>
      <fill>
        <patternFill patternType="solid">
          <bgColor theme="9" tint="0.39997558519241921"/>
        </patternFill>
      </fill>
    </dxf>
    <dxf>
      <numFmt numFmtId="164" formatCode="&quot;$&quot;#,##0.0"/>
    </dxf>
    <dxf>
      <fill>
        <patternFill patternType="solid">
          <bgColor theme="5" tint="0.39997558519241921"/>
        </patternFill>
      </fill>
    </dxf>
    <dxf>
      <fill>
        <patternFill patternType="solid">
          <bgColor theme="5" tint="0.39997558519241921"/>
        </patternFill>
      </fill>
    </dxf>
    <dxf>
      <numFmt numFmtId="164" formatCode="&quot;$&quot;#,##0.0"/>
    </dxf>
    <dxf>
      <fill>
        <patternFill patternType="solid">
          <bgColor theme="4" tint="0.39997558519241921"/>
        </patternFill>
      </fill>
    </dxf>
    <dxf>
      <fill>
        <patternFill patternType="solid">
          <bgColor theme="4" tint="0.39997558519241921"/>
        </patternFill>
      </fill>
    </dxf>
    <dxf>
      <fill>
        <patternFill patternType="solid">
          <bgColor theme="6" tint="0.59999389629810485"/>
        </patternFill>
      </fill>
    </dxf>
    <dxf>
      <fill>
        <patternFill patternType="solid">
          <bgColor theme="6" tint="0.59999389629810485"/>
        </patternFill>
      </fill>
    </dxf>
    <dxf>
      <numFmt numFmtId="164" formatCode="&quot;$&quot;#,##0.0"/>
    </dxf>
    <dxf>
      <numFmt numFmtId="164" formatCode="&quot;$&quot;#,##0.0"/>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numFmt numFmtId="164" formatCode="&quot;$&quot;#,##0.0"/>
    </dxf>
    <dxf>
      <fill>
        <patternFill patternType="solid">
          <bgColor theme="9" tint="0.39997558519241921"/>
        </patternFill>
      </fill>
    </dxf>
    <dxf>
      <fill>
        <patternFill patternType="solid">
          <bgColor theme="9" tint="0.39997558519241921"/>
        </patternFill>
      </fill>
    </dxf>
    <dxf>
      <numFmt numFmtId="164" formatCode="&quot;$&quot;#,##0.0"/>
    </dxf>
    <dxf>
      <fill>
        <patternFill patternType="solid">
          <bgColor theme="5" tint="0.39997558519241921"/>
        </patternFill>
      </fill>
    </dxf>
    <dxf>
      <fill>
        <patternFill patternType="solid">
          <bgColor theme="5" tint="0.39997558519241921"/>
        </patternFill>
      </fill>
    </dxf>
    <dxf>
      <numFmt numFmtId="164" formatCode="&quot;$&quot;#,##0.0"/>
    </dxf>
    <dxf>
      <fill>
        <patternFill patternType="solid">
          <bgColor theme="4" tint="0.39997558519241921"/>
        </patternFill>
      </fill>
    </dxf>
    <dxf>
      <fill>
        <patternFill patternType="solid">
          <bgColor theme="4" tint="0.39997558519241921"/>
        </patternFill>
      </fill>
    </dxf>
    <dxf>
      <fill>
        <patternFill patternType="solid">
          <bgColor theme="6" tint="0.59999389629810485"/>
        </patternFill>
      </fill>
    </dxf>
    <dxf>
      <fill>
        <patternFill patternType="solid">
          <bgColor theme="6" tint="0.59999389629810485"/>
        </patternFill>
      </fill>
    </dxf>
    <dxf>
      <numFmt numFmtId="164" formatCode="&quot;$&quot;#,##0.0"/>
    </dxf>
    <dxf>
      <numFmt numFmtId="164" formatCode="&quot;$&quot;#,##0.0"/>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numFmt numFmtId="164" formatCode="&quot;$&quot;#,##0.0"/>
    </dxf>
    <dxf>
      <fill>
        <patternFill patternType="solid">
          <bgColor theme="9" tint="0.39997558519241921"/>
        </patternFill>
      </fill>
    </dxf>
    <dxf>
      <fill>
        <patternFill patternType="solid">
          <bgColor theme="9" tint="0.39997558519241921"/>
        </patternFill>
      </fill>
    </dxf>
    <dxf>
      <numFmt numFmtId="164" formatCode="&quot;$&quot;#,##0.0"/>
    </dxf>
    <dxf>
      <fill>
        <patternFill patternType="solid">
          <bgColor theme="5" tint="0.39997558519241921"/>
        </patternFill>
      </fill>
    </dxf>
    <dxf>
      <fill>
        <patternFill patternType="solid">
          <bgColor theme="5" tint="0.39997558519241921"/>
        </patternFill>
      </fill>
    </dxf>
    <dxf>
      <numFmt numFmtId="164" formatCode="&quot;$&quot;#,##0.0"/>
    </dxf>
    <dxf>
      <fill>
        <patternFill patternType="solid">
          <bgColor theme="4" tint="0.39997558519241921"/>
        </patternFill>
      </fill>
    </dxf>
    <dxf>
      <fill>
        <patternFill patternType="solid">
          <bgColor theme="4" tint="0.39997558519241921"/>
        </patternFill>
      </fill>
    </dxf>
    <dxf>
      <fill>
        <patternFill patternType="solid">
          <bgColor theme="6" tint="0.59999389629810485"/>
        </patternFill>
      </fill>
    </dxf>
    <dxf>
      <fill>
        <patternFill patternType="solid">
          <bgColor theme="6" tint="0.59999389629810485"/>
        </patternFill>
      </fill>
    </dxf>
    <dxf>
      <numFmt numFmtId="164" formatCode="&quot;$&quot;#,##0.0"/>
    </dxf>
    <dxf>
      <numFmt numFmtId="164" formatCode="&quot;$&quot;#,##0.0"/>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numFmt numFmtId="164" formatCode="&quot;$&quot;#,##0.0"/>
    </dxf>
    <dxf>
      <fill>
        <patternFill patternType="solid">
          <bgColor theme="9" tint="0.39997558519241921"/>
        </patternFill>
      </fill>
    </dxf>
    <dxf>
      <fill>
        <patternFill patternType="solid">
          <bgColor theme="9" tint="0.39997558519241921"/>
        </patternFill>
      </fill>
    </dxf>
    <dxf>
      <numFmt numFmtId="164" formatCode="&quot;$&quot;#,##0.0"/>
    </dxf>
    <dxf>
      <fill>
        <patternFill patternType="solid">
          <bgColor theme="5" tint="0.39997558519241921"/>
        </patternFill>
      </fill>
    </dxf>
    <dxf>
      <fill>
        <patternFill patternType="solid">
          <bgColor theme="5" tint="0.39997558519241921"/>
        </patternFill>
      </fill>
    </dxf>
    <dxf>
      <numFmt numFmtId="164" formatCode="&quot;$&quot;#,##0.0"/>
    </dxf>
    <dxf>
      <fill>
        <patternFill patternType="solid">
          <bgColor theme="4" tint="0.39997558519241921"/>
        </patternFill>
      </fill>
    </dxf>
    <dxf>
      <fill>
        <patternFill patternType="solid">
          <bgColor theme="4" tint="0.39997558519241921"/>
        </patternFill>
      </fill>
    </dxf>
    <dxf>
      <fill>
        <patternFill patternType="solid">
          <bgColor theme="6" tint="0.59999389629810485"/>
        </patternFill>
      </fill>
    </dxf>
    <dxf>
      <fill>
        <patternFill patternType="solid">
          <bgColor theme="6" tint="0.59999389629810485"/>
        </patternFill>
      </fill>
    </dxf>
    <dxf>
      <numFmt numFmtId="164" formatCode="&quot;$&quot;#,##0.0"/>
    </dxf>
    <dxf>
      <numFmt numFmtId="164" formatCode="&quot;$&quot;#,##0.0"/>
    </dxf>
    <dxf>
      <fill>
        <patternFill patternType="solid">
          <bgColor theme="0" tint="-0.34998626667073579"/>
        </patternFill>
      </fill>
    </dxf>
    <dxf>
      <fill>
        <patternFill patternType="solid">
          <bgColor theme="0" tint="-0.34998626667073579"/>
        </patternFill>
      </fill>
    </dxf>
    <dxf>
      <fill>
        <patternFill>
          <bgColor theme="0" tint="-0.249977111117893"/>
        </patternFill>
      </fill>
    </dxf>
    <dxf>
      <numFmt numFmtId="164" formatCode="&quot;$&quot;#,##0.0"/>
    </dxf>
    <dxf>
      <numFmt numFmtId="164" formatCode="&quot;$&quot;#,##0.0"/>
    </dxf>
    <dxf>
      <numFmt numFmtId="164" formatCode="&quot;$&quot;#,##0.0"/>
    </dxf>
    <dxf>
      <numFmt numFmtId="164" formatCode="&quot;$&quot;#,##0.0"/>
    </dxf>
    <dxf>
      <numFmt numFmtId="164" formatCode="&quot;$&quot;#,##0.0"/>
    </dxf>
    <dxf>
      <numFmt numFmtId="164" formatCode="&quot;$&quot;#,##0.0"/>
    </dxf>
    <dxf>
      <fill>
        <patternFill>
          <bgColor theme="0" tint="-0.249977111117893"/>
        </patternFill>
      </fill>
    </dxf>
    <dxf>
      <fill>
        <patternFill patternType="solid">
          <bgColor theme="6" tint="0.59999389629810485"/>
        </patternFill>
      </fill>
    </dxf>
    <dxf>
      <fill>
        <patternFill patternType="solid">
          <bgColor theme="6" tint="0.59999389629810485"/>
        </patternFill>
      </fill>
    </dxf>
    <dxf>
      <fill>
        <patternFill patternType="solid">
          <bgColor theme="0" tint="-0.34998626667073579"/>
        </patternFill>
      </fill>
    </dxf>
    <dxf>
      <fill>
        <patternFill patternType="solid">
          <bgColor theme="0" tint="-0.34998626667073579"/>
        </patternFill>
      </fill>
    </dxf>
    <dxf>
      <fill>
        <patternFill patternType="solid">
          <bgColor theme="9" tint="0.39997558519241921"/>
        </patternFill>
      </fill>
    </dxf>
    <dxf>
      <fill>
        <patternFill patternType="solid">
          <bgColor theme="9"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4" tint="0.39997558519241921"/>
        </patternFill>
      </fill>
    </dxf>
    <dxf>
      <fill>
        <patternFill patternType="solid">
          <bgColor theme="4" tint="0.39997558519241921"/>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colors>
    <mruColors>
      <color rgb="FFBC64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[asus-laptops-flipkart.xlsx]Analysis &amp; visuals!PT1</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683470841045264"/>
          <c:y val="0.21675110795576782"/>
          <c:w val="0.32433546653281886"/>
          <c:h val="0.66728034507981582"/>
        </c:manualLayout>
      </c:layout>
      <c:doughnutChart>
        <c:varyColors val="1"/>
        <c:ser>
          <c:idx val="0"/>
          <c:order val="0"/>
          <c:tx>
            <c:strRef>
              <c:f>'Analysis &amp; visuals'!$B$1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&amp; visuals'!$A$2:$A$4</c:f>
              <c:strCache>
                <c:ptCount val="2"/>
                <c:pt idx="0">
                  <c:v> With MS Office</c:v>
                </c:pt>
                <c:pt idx="1">
                  <c:v>No Offers</c:v>
                </c:pt>
              </c:strCache>
            </c:strRef>
          </c:cat>
          <c:val>
            <c:numRef>
              <c:f>'Analysis &amp; visuals'!$B$2:$B$4</c:f>
              <c:numCache>
                <c:formatCode>General</c:formatCode>
                <c:ptCount val="2"/>
                <c:pt idx="0">
                  <c:v>120.8</c:v>
                </c:pt>
                <c:pt idx="1">
                  <c:v>217.49999999999997</c:v>
                </c:pt>
              </c:numCache>
            </c:numRef>
          </c:val>
          <c:extLst>
            <c:ext xmlns:c16="http://schemas.microsoft.com/office/drawing/2014/chart" uri="{C3380CC4-5D6E-409C-BE32-E72D297353CC}">
              <c16:uniqueId val="{00000000-6DA9-47DF-B8EA-7C090CDCFEF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[asus-laptops-flipkart.xlsx]Analysis &amp; visuals!PT2</c:name>
    <c:fmtId val="0"/>
  </c:pivotSource>
  <c:chart>
    <c:autoTitleDeleted val="1"/>
    <c:pivotFmts>
      <c:pivotFmt>
        <c:idx val="0"/>
        <c:spPr>
          <a:ln w="38100" cap="flat" cmpd="dbl" algn="ctr">
            <a:solidFill>
              <a:schemeClr val="accent4"/>
            </a:solidFill>
            <a:miter lim="800000"/>
          </a:ln>
          <a:effectLst/>
        </c:spPr>
        <c:marker>
          <c:symbol val="circle"/>
          <c:size val="6"/>
          <c:spPr>
            <a:solidFill>
              <a:schemeClr val="accent4"/>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 &amp; visuals'!$B$13</c:f>
              <c:strCache>
                <c:ptCount val="1"/>
                <c:pt idx="0">
                  <c:v>Total</c:v>
                </c:pt>
              </c:strCache>
            </c:strRef>
          </c:tx>
          <c:spPr>
            <a:ln w="38100" cap="flat" cmpd="dbl" algn="ctr">
              <a:solidFill>
                <a:schemeClr val="accent4"/>
              </a:solidFill>
              <a:miter lim="800000"/>
            </a:ln>
            <a:effectLst/>
          </c:spPr>
          <c:marker>
            <c:symbol val="circle"/>
            <c:size val="6"/>
            <c:spPr>
              <a:solidFill>
                <a:schemeClr val="accent4"/>
              </a:solidFill>
              <a:ln w="9525" cap="flat" cmpd="sng" algn="ctr">
                <a:solidFill>
                  <a:schemeClr val="lt1"/>
                </a:solidFill>
                <a:round/>
              </a:ln>
              <a:effectLst/>
            </c:spPr>
          </c:marker>
          <c:cat>
            <c:strRef>
              <c:f>'Analysis &amp; visuals'!$A$14:$A$21</c:f>
              <c:strCache>
                <c:ptCount val="7"/>
                <c:pt idx="0">
                  <c:v>15.6 Inch</c:v>
                </c:pt>
                <c:pt idx="1">
                  <c:v>17.3 Inch</c:v>
                </c:pt>
                <c:pt idx="2">
                  <c:v>13.4 inch</c:v>
                </c:pt>
                <c:pt idx="3">
                  <c:v>14 inch</c:v>
                </c:pt>
                <c:pt idx="4">
                  <c:v>15.6 inches</c:v>
                </c:pt>
                <c:pt idx="5">
                  <c:v>17.3 inches</c:v>
                </c:pt>
                <c:pt idx="6">
                  <c:v>16 inch</c:v>
                </c:pt>
              </c:strCache>
            </c:strRef>
          </c:cat>
          <c:val>
            <c:numRef>
              <c:f>'Analysis &amp; visuals'!$B$14:$B$21</c:f>
              <c:numCache>
                <c:formatCode>"$"#,##0.0</c:formatCode>
                <c:ptCount val="7"/>
                <c:pt idx="0">
                  <c:v>4591247.18</c:v>
                </c:pt>
                <c:pt idx="1">
                  <c:v>1520156.4000000001</c:v>
                </c:pt>
                <c:pt idx="2">
                  <c:v>839740.2</c:v>
                </c:pt>
                <c:pt idx="3">
                  <c:v>495694.80000000005</c:v>
                </c:pt>
                <c:pt idx="4">
                  <c:v>224824.6</c:v>
                </c:pt>
                <c:pt idx="5">
                  <c:v>163662.39999999999</c:v>
                </c:pt>
                <c:pt idx="6">
                  <c:v>151880.04</c:v>
                </c:pt>
              </c:numCache>
            </c:numRef>
          </c:val>
          <c:smooth val="0"/>
          <c:extLst>
            <c:ext xmlns:c16="http://schemas.microsoft.com/office/drawing/2014/chart" uri="{C3380CC4-5D6E-409C-BE32-E72D297353CC}">
              <c16:uniqueId val="{00000000-B60A-4480-88FB-1B14B90CDE66}"/>
            </c:ext>
          </c:extLst>
        </c:ser>
        <c:dLbls>
          <c:showLegendKey val="0"/>
          <c:showVal val="0"/>
          <c:showCatName val="0"/>
          <c:showSerName val="0"/>
          <c:showPercent val="0"/>
          <c:showBubbleSize val="0"/>
        </c:dLbls>
        <c:marker val="1"/>
        <c:smooth val="0"/>
        <c:axId val="668546464"/>
        <c:axId val="668544496"/>
      </c:lineChart>
      <c:catAx>
        <c:axId val="668546464"/>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544496"/>
        <c:crosses val="autoZero"/>
        <c:auto val="1"/>
        <c:lblAlgn val="ctr"/>
        <c:lblOffset val="100"/>
        <c:noMultiLvlLbl val="0"/>
      </c:catAx>
      <c:valAx>
        <c:axId val="66854449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quot;$&quot;#,##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8546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[asus-laptops-flipkart.xlsx]Analysis &amp; visuals!PT3</c:name>
    <c:fmtId val="0"/>
  </c:pivotSource>
  <c:chart>
    <c:autoTitleDeleted val="1"/>
    <c:pivotFmts>
      <c:pivotFmt>
        <c:idx val="0"/>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 &amp; visuals'!$M$1</c:f>
              <c:strCache>
                <c:ptCount val="1"/>
                <c:pt idx="0">
                  <c:v>Total</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'Analysis &amp; visuals'!$L$2:$L$20</c:f>
              <c:strCache>
                <c:ptCount val="18"/>
                <c:pt idx="0">
                  <c:v> Star Black</c:v>
                </c:pt>
                <c:pt idx="1">
                  <c:v> Transparent Silver</c:v>
                </c:pt>
                <c:pt idx="2">
                  <c:v> Gun Metal</c:v>
                </c:pt>
                <c:pt idx="3">
                  <c:v> Plastic Grey</c:v>
                </c:pt>
                <c:pt idx="4">
                  <c:v> Electro Punk</c:v>
                </c:pt>
                <c:pt idx="5">
                  <c:v> White</c:v>
                </c:pt>
                <c:pt idx="6">
                  <c:v> Black Aluminum</c:v>
                </c:pt>
                <c:pt idx="7">
                  <c:v> Eclipse Grey</c:v>
                </c:pt>
                <c:pt idx="8">
                  <c:v> Black Metal</c:v>
                </c:pt>
                <c:pt idx="9">
                  <c:v> Gray W&amp;LED</c:v>
                </c:pt>
                <c:pt idx="10">
                  <c:v> Off-Black</c:v>
                </c:pt>
                <c:pt idx="11">
                  <c:v> Black Plastic</c:v>
                </c:pt>
                <c:pt idx="12">
                  <c:v> Black</c:v>
                </c:pt>
                <c:pt idx="13">
                  <c:v> Eclipse Gray</c:v>
                </c:pt>
                <c:pt idx="14">
                  <c:v> Moonlight White</c:v>
                </c:pt>
                <c:pt idx="15">
                  <c:v> Celestial Blue</c:v>
                </c:pt>
                <c:pt idx="16">
                  <c:v> Graphite Black</c:v>
                </c:pt>
                <c:pt idx="17">
                  <c:v> Off Black</c:v>
                </c:pt>
              </c:strCache>
            </c:strRef>
          </c:cat>
          <c:val>
            <c:numRef>
              <c:f>'Analysis &amp; visuals'!$M$2:$M$20</c:f>
              <c:numCache>
                <c:formatCode>"$"#,##0.0</c:formatCode>
                <c:ptCount val="18"/>
                <c:pt idx="0">
                  <c:v>39592.800000000003</c:v>
                </c:pt>
                <c:pt idx="1">
                  <c:v>95128.8</c:v>
                </c:pt>
                <c:pt idx="2">
                  <c:v>128742.6</c:v>
                </c:pt>
                <c:pt idx="3">
                  <c:v>130883</c:v>
                </c:pt>
                <c:pt idx="4">
                  <c:v>143204.6</c:v>
                </c:pt>
                <c:pt idx="5">
                  <c:v>148184.4</c:v>
                </c:pt>
                <c:pt idx="6">
                  <c:v>292980</c:v>
                </c:pt>
                <c:pt idx="7">
                  <c:v>323299.5</c:v>
                </c:pt>
                <c:pt idx="8">
                  <c:v>343085.4</c:v>
                </c:pt>
                <c:pt idx="9">
                  <c:v>347510.4</c:v>
                </c:pt>
                <c:pt idx="10">
                  <c:v>366076.6</c:v>
                </c:pt>
                <c:pt idx="11">
                  <c:v>422347.3</c:v>
                </c:pt>
                <c:pt idx="12">
                  <c:v>514937.27999999997</c:v>
                </c:pt>
                <c:pt idx="13">
                  <c:v>580756.69999999995</c:v>
                </c:pt>
                <c:pt idx="14">
                  <c:v>699913.4</c:v>
                </c:pt>
                <c:pt idx="15">
                  <c:v>760128</c:v>
                </c:pt>
                <c:pt idx="16">
                  <c:v>1247101.2000000002</c:v>
                </c:pt>
                <c:pt idx="17">
                  <c:v>1403333.6400000001</c:v>
                </c:pt>
              </c:numCache>
            </c:numRef>
          </c:val>
          <c:extLst>
            <c:ext xmlns:c16="http://schemas.microsoft.com/office/drawing/2014/chart" uri="{C3380CC4-5D6E-409C-BE32-E72D297353CC}">
              <c16:uniqueId val="{00000000-8C51-4C5E-8FBE-B1B07350A779}"/>
            </c:ext>
          </c:extLst>
        </c:ser>
        <c:dLbls>
          <c:showLegendKey val="0"/>
          <c:showVal val="0"/>
          <c:showCatName val="0"/>
          <c:showSerName val="0"/>
          <c:showPercent val="0"/>
          <c:showBubbleSize val="0"/>
        </c:dLbls>
        <c:gapWidth val="65"/>
        <c:shape val="box"/>
        <c:axId val="745291264"/>
        <c:axId val="745292904"/>
        <c:axId val="0"/>
      </c:bar3DChart>
      <c:catAx>
        <c:axId val="745291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45292904"/>
        <c:crosses val="autoZero"/>
        <c:auto val="1"/>
        <c:lblAlgn val="ctr"/>
        <c:lblOffset val="100"/>
        <c:noMultiLvlLbl val="0"/>
      </c:catAx>
      <c:valAx>
        <c:axId val="745292904"/>
        <c:scaling>
          <c:orientation val="minMax"/>
        </c:scaling>
        <c:delete val="0"/>
        <c:axPos val="b"/>
        <c:majorGridlines>
          <c:spPr>
            <a:ln w="9525" cap="flat" cmpd="sng" algn="ctr">
              <a:solidFill>
                <a:schemeClr val="dk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52912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[asus-laptops-flipkart.xlsx]Analysis &amp; visuals!PT4</c:name>
    <c:fmtId val="0"/>
  </c:pivotSource>
  <c:chart>
    <c:autoTitleDeleted val="1"/>
    <c:pivotFmts>
      <c:pivotFmt>
        <c:idx val="0"/>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&amp; visuals'!$B$26</c:f>
              <c:strCache>
                <c:ptCount val="1"/>
                <c:pt idx="0">
                  <c:v>Total</c:v>
                </c:pt>
              </c:strCache>
            </c:strRef>
          </c:tx>
          <c:dPt>
            <c:idx val="0"/>
            <c:bubble3D val="0"/>
            <c:spPr>
              <a:solidFill>
                <a:schemeClr val="accent6">
                  <a:shade val="44000"/>
                </a:schemeClr>
              </a:solidFill>
              <a:ln w="25400">
                <a:solidFill>
                  <a:schemeClr val="lt1"/>
                </a:solidFill>
              </a:ln>
              <a:effectLst/>
              <a:sp3d contourW="25400">
                <a:contourClr>
                  <a:schemeClr val="lt1"/>
                </a:contourClr>
              </a:sp3d>
            </c:spPr>
          </c:dPt>
          <c:dPt>
            <c:idx val="1"/>
            <c:bubble3D val="0"/>
            <c:spPr>
              <a:solidFill>
                <a:schemeClr val="accent6">
                  <a:shade val="58000"/>
                </a:schemeClr>
              </a:solidFill>
              <a:ln w="25400">
                <a:solidFill>
                  <a:schemeClr val="lt1"/>
                </a:solidFill>
              </a:ln>
              <a:effectLst/>
              <a:sp3d contourW="25400">
                <a:contourClr>
                  <a:schemeClr val="lt1"/>
                </a:contourClr>
              </a:sp3d>
            </c:spPr>
          </c:dPt>
          <c:dPt>
            <c:idx val="2"/>
            <c:bubble3D val="0"/>
            <c:spPr>
              <a:solidFill>
                <a:schemeClr val="accent6">
                  <a:shade val="72000"/>
                </a:schemeClr>
              </a:solidFill>
              <a:ln w="25400">
                <a:solidFill>
                  <a:schemeClr val="lt1"/>
                </a:solidFill>
              </a:ln>
              <a:effectLst/>
              <a:sp3d contourW="25400">
                <a:contourClr>
                  <a:schemeClr val="lt1"/>
                </a:contourClr>
              </a:sp3d>
            </c:spPr>
          </c:dPt>
          <c:dPt>
            <c:idx val="3"/>
            <c:bubble3D val="0"/>
            <c:spPr>
              <a:solidFill>
                <a:schemeClr val="accent6">
                  <a:shade val="86000"/>
                </a:schemeClr>
              </a:solidFill>
              <a:ln w="25400">
                <a:solidFill>
                  <a:schemeClr val="lt1"/>
                </a:solidFill>
              </a:ln>
              <a:effectLst/>
              <a:sp3d contourW="25400">
                <a:contourClr>
                  <a:schemeClr val="lt1"/>
                </a:contourClr>
              </a:sp3d>
            </c:spPr>
          </c:dPt>
          <c:dPt>
            <c:idx val="4"/>
            <c:bubble3D val="0"/>
            <c:spPr>
              <a:solidFill>
                <a:schemeClr val="accent6"/>
              </a:solidFill>
              <a:ln w="25400">
                <a:solidFill>
                  <a:schemeClr val="lt1"/>
                </a:solidFill>
              </a:ln>
              <a:effectLst/>
              <a:sp3d contourW="25400">
                <a:contourClr>
                  <a:schemeClr val="lt1"/>
                </a:contourClr>
              </a:sp3d>
            </c:spPr>
          </c:dPt>
          <c:dPt>
            <c:idx val="5"/>
            <c:bubble3D val="0"/>
            <c:spPr>
              <a:solidFill>
                <a:schemeClr val="accent6">
                  <a:tint val="86000"/>
                </a:schemeClr>
              </a:solidFill>
              <a:ln w="25400">
                <a:solidFill>
                  <a:schemeClr val="lt1"/>
                </a:solidFill>
              </a:ln>
              <a:effectLst/>
              <a:sp3d contourW="25400">
                <a:contourClr>
                  <a:schemeClr val="lt1"/>
                </a:contourClr>
              </a:sp3d>
            </c:spPr>
          </c:dPt>
          <c:dPt>
            <c:idx val="6"/>
            <c:bubble3D val="0"/>
            <c:spPr>
              <a:solidFill>
                <a:schemeClr val="accent6">
                  <a:tint val="72000"/>
                </a:schemeClr>
              </a:solidFill>
              <a:ln w="25400">
                <a:solidFill>
                  <a:schemeClr val="lt1"/>
                </a:solidFill>
              </a:ln>
              <a:effectLst/>
              <a:sp3d contourW="25400">
                <a:contourClr>
                  <a:schemeClr val="lt1"/>
                </a:contourClr>
              </a:sp3d>
            </c:spPr>
          </c:dPt>
          <c:dPt>
            <c:idx val="7"/>
            <c:bubble3D val="0"/>
            <c:spPr>
              <a:solidFill>
                <a:schemeClr val="accent6">
                  <a:tint val="58000"/>
                </a:schemeClr>
              </a:solidFill>
              <a:ln w="25400">
                <a:solidFill>
                  <a:schemeClr val="lt1"/>
                </a:solidFill>
              </a:ln>
              <a:effectLst/>
              <a:sp3d contourW="25400">
                <a:contourClr>
                  <a:schemeClr val="lt1"/>
                </a:contourClr>
              </a:sp3d>
            </c:spPr>
          </c:dPt>
          <c:dPt>
            <c:idx val="8"/>
            <c:bubble3D val="0"/>
            <c:spPr>
              <a:solidFill>
                <a:schemeClr val="accent6">
                  <a:tint val="44000"/>
                </a:schemeClr>
              </a:solidFill>
              <a:ln w="25400">
                <a:solidFill>
                  <a:schemeClr val="lt1"/>
                </a:solidFill>
              </a:ln>
              <a:effectLst/>
              <a:sp3d contourW="25400">
                <a:contourClr>
                  <a:schemeClr val="lt1"/>
                </a:contourClr>
              </a:sp3d>
            </c:spPr>
          </c:dPt>
          <c:cat>
            <c:strRef>
              <c:f>'Analysis &amp; visuals'!$A$27:$A$36</c:f>
              <c:strCache>
                <c:ptCount val="9"/>
                <c:pt idx="0">
                  <c:v>4</c:v>
                </c:pt>
                <c:pt idx="1">
                  <c:v>4.5</c:v>
                </c:pt>
                <c:pt idx="2">
                  <c:v>4.6</c:v>
                </c:pt>
                <c:pt idx="3">
                  <c:v>4.4</c:v>
                </c:pt>
                <c:pt idx="4">
                  <c:v>5</c:v>
                </c:pt>
                <c:pt idx="5">
                  <c:v>4.2</c:v>
                </c:pt>
                <c:pt idx="6">
                  <c:v>3</c:v>
                </c:pt>
                <c:pt idx="7">
                  <c:v>4.7</c:v>
                </c:pt>
                <c:pt idx="8">
                  <c:v>4.3</c:v>
                </c:pt>
              </c:strCache>
            </c:strRef>
          </c:cat>
          <c:val>
            <c:numRef>
              <c:f>'Analysis &amp; visuals'!$B$27:$B$36</c:f>
              <c:numCache>
                <c:formatCode>"$"#,##0.0</c:formatCode>
                <c:ptCount val="9"/>
                <c:pt idx="0">
                  <c:v>4257307.92</c:v>
                </c:pt>
                <c:pt idx="1">
                  <c:v>1215168.4000000001</c:v>
                </c:pt>
                <c:pt idx="2">
                  <c:v>617838</c:v>
                </c:pt>
                <c:pt idx="3">
                  <c:v>535732.19999999995</c:v>
                </c:pt>
                <c:pt idx="4">
                  <c:v>524974.6</c:v>
                </c:pt>
                <c:pt idx="5">
                  <c:v>396733.6</c:v>
                </c:pt>
                <c:pt idx="6">
                  <c:v>292980</c:v>
                </c:pt>
                <c:pt idx="7">
                  <c:v>95128.8</c:v>
                </c:pt>
                <c:pt idx="8">
                  <c:v>51342.1</c:v>
                </c:pt>
              </c:numCache>
            </c:numRef>
          </c:val>
          <c:extLst>
            <c:ext xmlns:c16="http://schemas.microsoft.com/office/drawing/2014/chart" uri="{C3380CC4-5D6E-409C-BE32-E72D297353CC}">
              <c16:uniqueId val="{00000000-2842-405D-A876-B6F3F11D402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[asus-laptops-flipkart.xlsx]Analysis &amp; visuals!PivotTable5</c:name>
    <c:fmtId val="0"/>
  </c:pivotSource>
  <c:chart>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76000"/>
                    <a:shade val="51000"/>
                    <a:satMod val="130000"/>
                  </a:schemeClr>
                </a:gs>
                <a:gs pos="80000">
                  <a:schemeClr val="accent4">
                    <a:shade val="76000"/>
                    <a:shade val="93000"/>
                    <a:satMod val="130000"/>
                  </a:schemeClr>
                </a:gs>
                <a:gs pos="100000">
                  <a:schemeClr val="accent4">
                    <a:shade val="76000"/>
                    <a:shade val="94000"/>
                    <a:satMod val="135000"/>
                  </a:schemeClr>
                </a:gs>
              </a:gsLst>
              <a:lin ang="16200000" scaled="0"/>
            </a:gradFill>
            <a:ln w="9525">
              <a:solidFill>
                <a:schemeClr val="accent4">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tint val="77000"/>
                    <a:shade val="51000"/>
                    <a:satMod val="130000"/>
                  </a:schemeClr>
                </a:gs>
                <a:gs pos="80000">
                  <a:schemeClr val="accent4">
                    <a:tint val="77000"/>
                    <a:shade val="93000"/>
                    <a:satMod val="130000"/>
                  </a:schemeClr>
                </a:gs>
                <a:gs pos="100000">
                  <a:schemeClr val="accent4">
                    <a:tint val="77000"/>
                    <a:shade val="94000"/>
                    <a:satMod val="135000"/>
                  </a:schemeClr>
                </a:gs>
              </a:gsLst>
              <a:lin ang="16200000" scaled="0"/>
            </a:gradFill>
            <a:ln w="9525">
              <a:solidFill>
                <a:schemeClr val="accent4">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'Analysis &amp; visuals'!$M$23</c:f>
              <c:strCache>
                <c:ptCount val="1"/>
                <c:pt idx="0">
                  <c:v>Sum of total price</c:v>
                </c:pt>
              </c:strCache>
            </c:strRef>
          </c:tx>
          <c:spPr>
            <a:gradFill rotWithShape="1">
              <a:gsLst>
                <a:gs pos="0">
                  <a:schemeClr val="accent4">
                    <a:shade val="76000"/>
                    <a:shade val="51000"/>
                    <a:satMod val="130000"/>
                  </a:schemeClr>
                </a:gs>
                <a:gs pos="80000">
                  <a:schemeClr val="accent4">
                    <a:shade val="76000"/>
                    <a:shade val="93000"/>
                    <a:satMod val="130000"/>
                  </a:schemeClr>
                </a:gs>
                <a:gs pos="100000">
                  <a:schemeClr val="accent4">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 &amp; visuals'!$L$24:$L$43</c:f>
              <c:strCache>
                <c:ptCount val="19"/>
                <c:pt idx="0">
                  <c:v>NO EMI Option</c:v>
                </c:pt>
                <c:pt idx="1">
                  <c:v>No Cost EMI from20,832/month</c:v>
                </c:pt>
                <c:pt idx="2">
                  <c:v>No Cost EMI from27,499/month</c:v>
                </c:pt>
                <c:pt idx="3">
                  <c:v>No Cost EMI from24,332/month</c:v>
                </c:pt>
                <c:pt idx="4">
                  <c:v>No Cost EMI from18,915/month</c:v>
                </c:pt>
                <c:pt idx="5">
                  <c:v>No Cost EMI from16,665/month</c:v>
                </c:pt>
                <c:pt idx="6">
                  <c:v>No Cost EMI from17,832/month</c:v>
                </c:pt>
                <c:pt idx="7">
                  <c:v>No Cost EMI from17,665/month</c:v>
                </c:pt>
                <c:pt idx="8">
                  <c:v>No Cost EMI from15,499/month</c:v>
                </c:pt>
                <c:pt idx="9">
                  <c:v>No Cost EMI from15,832/month</c:v>
                </c:pt>
                <c:pt idx="10">
                  <c:v>No Cost EMI from14,999/month</c:v>
                </c:pt>
                <c:pt idx="11">
                  <c:v>No Cost EMI from14,665/month</c:v>
                </c:pt>
                <c:pt idx="12">
                  <c:v>No Cost EMI from12,832/month</c:v>
                </c:pt>
                <c:pt idx="13">
                  <c:v>No Cost EMI from23,332/month</c:v>
                </c:pt>
                <c:pt idx="14">
                  <c:v>No Cost EMI from11,499/month</c:v>
                </c:pt>
                <c:pt idx="15">
                  <c:v>No Cost EMI from10,832/month</c:v>
                </c:pt>
                <c:pt idx="16">
                  <c:v>No Cost EMI from10,165/month</c:v>
                </c:pt>
                <c:pt idx="17">
                  <c:v>No Cost EMI from13,332/month</c:v>
                </c:pt>
                <c:pt idx="18">
                  <c:v>No Cost EMI from9,165/month</c:v>
                </c:pt>
              </c:strCache>
            </c:strRef>
          </c:cat>
          <c:val>
            <c:numRef>
              <c:f>'Analysis &amp; visuals'!$M$24:$M$43</c:f>
              <c:numCache>
                <c:formatCode>"$"#,##0.0</c:formatCode>
                <c:ptCount val="19"/>
                <c:pt idx="0">
                  <c:v>5268117.12</c:v>
                </c:pt>
                <c:pt idx="1">
                  <c:v>288726.90000000002</c:v>
                </c:pt>
                <c:pt idx="2">
                  <c:v>254084.6</c:v>
                </c:pt>
                <c:pt idx="3">
                  <c:v>224824.6</c:v>
                </c:pt>
                <c:pt idx="4">
                  <c:v>202012.2</c:v>
                </c:pt>
                <c:pt idx="5">
                  <c:v>191980.79999999999</c:v>
                </c:pt>
                <c:pt idx="6">
                  <c:v>173323.8</c:v>
                </c:pt>
                <c:pt idx="7">
                  <c:v>165344.4</c:v>
                </c:pt>
                <c:pt idx="8">
                  <c:v>150643.79999999999</c:v>
                </c:pt>
                <c:pt idx="9">
                  <c:v>140585.20000000001</c:v>
                </c:pt>
                <c:pt idx="10">
                  <c:v>138584.6</c:v>
                </c:pt>
                <c:pt idx="11">
                  <c:v>135504.6</c:v>
                </c:pt>
                <c:pt idx="12">
                  <c:v>130883</c:v>
                </c:pt>
                <c:pt idx="13">
                  <c:v>111992</c:v>
                </c:pt>
                <c:pt idx="14">
                  <c:v>106244.6</c:v>
                </c:pt>
                <c:pt idx="15">
                  <c:v>94885.4</c:v>
                </c:pt>
                <c:pt idx="16">
                  <c:v>91485</c:v>
                </c:pt>
                <c:pt idx="17">
                  <c:v>78390.2</c:v>
                </c:pt>
                <c:pt idx="18">
                  <c:v>39592.800000000003</c:v>
                </c:pt>
              </c:numCache>
            </c:numRef>
          </c:val>
          <c:extLst>
            <c:ext xmlns:c16="http://schemas.microsoft.com/office/drawing/2014/chart" uri="{C3380CC4-5D6E-409C-BE32-E72D297353CC}">
              <c16:uniqueId val="{00000000-D6BA-458E-96D9-71F213BCE851}"/>
            </c:ext>
          </c:extLst>
        </c:ser>
        <c:ser>
          <c:idx val="1"/>
          <c:order val="1"/>
          <c:tx>
            <c:strRef>
              <c:f>'Analysis &amp; visuals'!$N$23</c:f>
              <c:strCache>
                <c:ptCount val="1"/>
                <c:pt idx="0">
                  <c:v>Sum of price</c:v>
                </c:pt>
              </c:strCache>
            </c:strRef>
          </c:tx>
          <c:spPr>
            <a:gradFill rotWithShape="1">
              <a:gsLst>
                <a:gs pos="0">
                  <a:schemeClr val="accent4">
                    <a:tint val="77000"/>
                    <a:shade val="51000"/>
                    <a:satMod val="130000"/>
                  </a:schemeClr>
                </a:gs>
                <a:gs pos="80000">
                  <a:schemeClr val="accent4">
                    <a:tint val="77000"/>
                    <a:shade val="93000"/>
                    <a:satMod val="130000"/>
                  </a:schemeClr>
                </a:gs>
                <a:gs pos="100000">
                  <a:schemeClr val="accent4">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 &amp; visuals'!$L$24:$L$43</c:f>
              <c:strCache>
                <c:ptCount val="19"/>
                <c:pt idx="0">
                  <c:v>NO EMI Option</c:v>
                </c:pt>
                <c:pt idx="1">
                  <c:v>No Cost EMI from20,832/month</c:v>
                </c:pt>
                <c:pt idx="2">
                  <c:v>No Cost EMI from27,499/month</c:v>
                </c:pt>
                <c:pt idx="3">
                  <c:v>No Cost EMI from24,332/month</c:v>
                </c:pt>
                <c:pt idx="4">
                  <c:v>No Cost EMI from18,915/month</c:v>
                </c:pt>
                <c:pt idx="5">
                  <c:v>No Cost EMI from16,665/month</c:v>
                </c:pt>
                <c:pt idx="6">
                  <c:v>No Cost EMI from17,832/month</c:v>
                </c:pt>
                <c:pt idx="7">
                  <c:v>No Cost EMI from17,665/month</c:v>
                </c:pt>
                <c:pt idx="8">
                  <c:v>No Cost EMI from15,499/month</c:v>
                </c:pt>
                <c:pt idx="9">
                  <c:v>No Cost EMI from15,832/month</c:v>
                </c:pt>
                <c:pt idx="10">
                  <c:v>No Cost EMI from14,999/month</c:v>
                </c:pt>
                <c:pt idx="11">
                  <c:v>No Cost EMI from14,665/month</c:v>
                </c:pt>
                <c:pt idx="12">
                  <c:v>No Cost EMI from12,832/month</c:v>
                </c:pt>
                <c:pt idx="13">
                  <c:v>No Cost EMI from23,332/month</c:v>
                </c:pt>
                <c:pt idx="14">
                  <c:v>No Cost EMI from11,499/month</c:v>
                </c:pt>
                <c:pt idx="15">
                  <c:v>No Cost EMI from10,832/month</c:v>
                </c:pt>
                <c:pt idx="16">
                  <c:v>No Cost EMI from10,165/month</c:v>
                </c:pt>
                <c:pt idx="17">
                  <c:v>No Cost EMI from13,332/month</c:v>
                </c:pt>
                <c:pt idx="18">
                  <c:v>No Cost EMI from9,165/month</c:v>
                </c:pt>
              </c:strCache>
            </c:strRef>
          </c:cat>
          <c:val>
            <c:numRef>
              <c:f>'Analysis &amp; visuals'!$N$24:$N$43</c:f>
              <c:numCache>
                <c:formatCode>"$"#,##0.0</c:formatCode>
                <c:ptCount val="19"/>
                <c:pt idx="0">
                  <c:v>6301534</c:v>
                </c:pt>
                <c:pt idx="1">
                  <c:v>374970</c:v>
                </c:pt>
                <c:pt idx="2">
                  <c:v>329980</c:v>
                </c:pt>
                <c:pt idx="3">
                  <c:v>291980</c:v>
                </c:pt>
                <c:pt idx="4">
                  <c:v>226980</c:v>
                </c:pt>
                <c:pt idx="5">
                  <c:v>199980</c:v>
                </c:pt>
                <c:pt idx="6">
                  <c:v>213980</c:v>
                </c:pt>
                <c:pt idx="7">
                  <c:v>211980</c:v>
                </c:pt>
                <c:pt idx="8">
                  <c:v>185980</c:v>
                </c:pt>
                <c:pt idx="9">
                  <c:v>189980</c:v>
                </c:pt>
                <c:pt idx="10">
                  <c:v>179980</c:v>
                </c:pt>
                <c:pt idx="11">
                  <c:v>175980</c:v>
                </c:pt>
                <c:pt idx="12">
                  <c:v>153980</c:v>
                </c:pt>
                <c:pt idx="13">
                  <c:v>139990</c:v>
                </c:pt>
                <c:pt idx="14">
                  <c:v>137980</c:v>
                </c:pt>
                <c:pt idx="15">
                  <c:v>129980</c:v>
                </c:pt>
                <c:pt idx="16">
                  <c:v>121980</c:v>
                </c:pt>
                <c:pt idx="17">
                  <c:v>79990</c:v>
                </c:pt>
                <c:pt idx="18">
                  <c:v>54990</c:v>
                </c:pt>
              </c:numCache>
            </c:numRef>
          </c:val>
          <c:extLst>
            <c:ext xmlns:c16="http://schemas.microsoft.com/office/drawing/2014/chart" uri="{C3380CC4-5D6E-409C-BE32-E72D297353CC}">
              <c16:uniqueId val="{00000001-D6BA-458E-96D9-71F213BCE851}"/>
            </c:ext>
          </c:extLst>
        </c:ser>
        <c:dLbls>
          <c:showLegendKey val="0"/>
          <c:showVal val="0"/>
          <c:showCatName val="0"/>
          <c:showSerName val="0"/>
          <c:showPercent val="0"/>
          <c:showBubbleSize val="0"/>
        </c:dLbls>
        <c:gapWidth val="150"/>
        <c:overlap val="100"/>
        <c:axId val="855046400"/>
        <c:axId val="855053944"/>
      </c:barChart>
      <c:catAx>
        <c:axId val="855046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53944"/>
        <c:crosses val="autoZero"/>
        <c:auto val="1"/>
        <c:lblAlgn val="ctr"/>
        <c:lblOffset val="100"/>
        <c:noMultiLvlLbl val="0"/>
      </c:catAx>
      <c:valAx>
        <c:axId val="85505394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4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[asus-laptops-flipkart.xlsx]Analysis &amp; visuals!PT3</c:name>
    <c:fmtId val="2"/>
  </c:pivotSource>
  <c:chart>
    <c:autoTitleDeleted val="1"/>
    <c:pivotFmts>
      <c:pivotFmt>
        <c:idx val="0"/>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
      </c:pivotFmt>
      <c:pivotFmt>
        <c:idx val="1"/>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
      </c:pivotFmt>
      <c:pivotFmt>
        <c:idx val="2"/>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 &amp; visuals'!$M$1</c:f>
              <c:strCache>
                <c:ptCount val="1"/>
                <c:pt idx="0">
                  <c:v>Total</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'Analysis &amp; visuals'!$L$2:$L$20</c:f>
              <c:strCache>
                <c:ptCount val="18"/>
                <c:pt idx="0">
                  <c:v> Star Black</c:v>
                </c:pt>
                <c:pt idx="1">
                  <c:v> Transparent Silver</c:v>
                </c:pt>
                <c:pt idx="2">
                  <c:v> Gun Metal</c:v>
                </c:pt>
                <c:pt idx="3">
                  <c:v> Plastic Grey</c:v>
                </c:pt>
                <c:pt idx="4">
                  <c:v> Electro Punk</c:v>
                </c:pt>
                <c:pt idx="5">
                  <c:v> White</c:v>
                </c:pt>
                <c:pt idx="6">
                  <c:v> Black Aluminum</c:v>
                </c:pt>
                <c:pt idx="7">
                  <c:v> Eclipse Grey</c:v>
                </c:pt>
                <c:pt idx="8">
                  <c:v> Black Metal</c:v>
                </c:pt>
                <c:pt idx="9">
                  <c:v> Gray W&amp;LED</c:v>
                </c:pt>
                <c:pt idx="10">
                  <c:v> Off-Black</c:v>
                </c:pt>
                <c:pt idx="11">
                  <c:v> Black Plastic</c:v>
                </c:pt>
                <c:pt idx="12">
                  <c:v> Black</c:v>
                </c:pt>
                <c:pt idx="13">
                  <c:v> Eclipse Gray</c:v>
                </c:pt>
                <c:pt idx="14">
                  <c:v> Moonlight White</c:v>
                </c:pt>
                <c:pt idx="15">
                  <c:v> Celestial Blue</c:v>
                </c:pt>
                <c:pt idx="16">
                  <c:v> Graphite Black</c:v>
                </c:pt>
                <c:pt idx="17">
                  <c:v> Off Black</c:v>
                </c:pt>
              </c:strCache>
            </c:strRef>
          </c:cat>
          <c:val>
            <c:numRef>
              <c:f>'Analysis &amp; visuals'!$M$2:$M$20</c:f>
              <c:numCache>
                <c:formatCode>"$"#,##0.0</c:formatCode>
                <c:ptCount val="18"/>
                <c:pt idx="0">
                  <c:v>39592.800000000003</c:v>
                </c:pt>
                <c:pt idx="1">
                  <c:v>95128.8</c:v>
                </c:pt>
                <c:pt idx="2">
                  <c:v>128742.6</c:v>
                </c:pt>
                <c:pt idx="3">
                  <c:v>130883</c:v>
                </c:pt>
                <c:pt idx="4">
                  <c:v>143204.6</c:v>
                </c:pt>
                <c:pt idx="5">
                  <c:v>148184.4</c:v>
                </c:pt>
                <c:pt idx="6">
                  <c:v>292980</c:v>
                </c:pt>
                <c:pt idx="7">
                  <c:v>323299.5</c:v>
                </c:pt>
                <c:pt idx="8">
                  <c:v>343085.4</c:v>
                </c:pt>
                <c:pt idx="9">
                  <c:v>347510.4</c:v>
                </c:pt>
                <c:pt idx="10">
                  <c:v>366076.6</c:v>
                </c:pt>
                <c:pt idx="11">
                  <c:v>422347.3</c:v>
                </c:pt>
                <c:pt idx="12">
                  <c:v>514937.27999999997</c:v>
                </c:pt>
                <c:pt idx="13">
                  <c:v>580756.69999999995</c:v>
                </c:pt>
                <c:pt idx="14">
                  <c:v>699913.4</c:v>
                </c:pt>
                <c:pt idx="15">
                  <c:v>760128</c:v>
                </c:pt>
                <c:pt idx="16">
                  <c:v>1247101.2000000002</c:v>
                </c:pt>
                <c:pt idx="17">
                  <c:v>1403333.6400000001</c:v>
                </c:pt>
              </c:numCache>
            </c:numRef>
          </c:val>
          <c:extLst>
            <c:ext xmlns:c16="http://schemas.microsoft.com/office/drawing/2014/chart" uri="{C3380CC4-5D6E-409C-BE32-E72D297353CC}">
              <c16:uniqueId val="{00000000-4D13-4C82-8C81-78882F37A06E}"/>
            </c:ext>
          </c:extLst>
        </c:ser>
        <c:dLbls>
          <c:showLegendKey val="0"/>
          <c:showVal val="0"/>
          <c:showCatName val="0"/>
          <c:showSerName val="0"/>
          <c:showPercent val="0"/>
          <c:showBubbleSize val="0"/>
        </c:dLbls>
        <c:gapWidth val="65"/>
        <c:shape val="box"/>
        <c:axId val="745291264"/>
        <c:axId val="745292904"/>
        <c:axId val="0"/>
      </c:bar3DChart>
      <c:catAx>
        <c:axId val="7452912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45292904"/>
        <c:crosses val="autoZero"/>
        <c:auto val="1"/>
        <c:lblAlgn val="ctr"/>
        <c:lblOffset val="100"/>
        <c:noMultiLvlLbl val="0"/>
      </c:catAx>
      <c:valAx>
        <c:axId val="745292904"/>
        <c:scaling>
          <c:orientation val="minMax"/>
        </c:scaling>
        <c:delete val="0"/>
        <c:axPos val="b"/>
        <c:majorGridlines>
          <c:spPr>
            <a:ln w="9525" cap="flat" cmpd="sng" algn="ctr">
              <a:solidFill>
                <a:schemeClr val="dk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529126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lumMod val="50000"/>
          </a:schemeClr>
        </a:gs>
        <a:gs pos="56000">
          <a:schemeClr val="accent1">
            <a:lumMod val="45000"/>
            <a:lumOff val="55000"/>
          </a:schemeClr>
        </a:gs>
        <a:gs pos="77000">
          <a:schemeClr val="accent1">
            <a:lumMod val="45000"/>
            <a:lumOff val="55000"/>
          </a:schemeClr>
        </a:gs>
        <a:gs pos="97000">
          <a:schemeClr val="accent1">
            <a:lumMod val="30000"/>
            <a:lumOff val="70000"/>
          </a:schemeClr>
        </a:gs>
      </a:gsLst>
      <a:lin ang="54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[asus-laptops-flipkart.xlsx]Analysis &amp; visuals!PivotTable5</c:name>
    <c:fmtId val="4"/>
  </c:pivotSource>
  <c:chart>
    <c:autoTitleDeleted val="0"/>
    <c:pivotFmts>
      <c:pivotFmt>
        <c:idx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76000"/>
                    <a:shade val="51000"/>
                    <a:satMod val="130000"/>
                  </a:schemeClr>
                </a:gs>
                <a:gs pos="80000">
                  <a:schemeClr val="accent4">
                    <a:shade val="76000"/>
                    <a:shade val="93000"/>
                    <a:satMod val="130000"/>
                  </a:schemeClr>
                </a:gs>
                <a:gs pos="100000">
                  <a:schemeClr val="accent4">
                    <a:shade val="76000"/>
                    <a:shade val="94000"/>
                    <a:satMod val="135000"/>
                  </a:schemeClr>
                </a:gs>
              </a:gsLst>
              <a:lin ang="16200000" scaled="0"/>
            </a:gradFill>
            <a:ln w="9525">
              <a:solidFill>
                <a:schemeClr val="accent4">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tint val="77000"/>
                    <a:shade val="51000"/>
                    <a:satMod val="130000"/>
                  </a:schemeClr>
                </a:gs>
                <a:gs pos="80000">
                  <a:schemeClr val="accent4">
                    <a:tint val="77000"/>
                    <a:shade val="93000"/>
                    <a:satMod val="130000"/>
                  </a:schemeClr>
                </a:gs>
                <a:gs pos="100000">
                  <a:schemeClr val="accent4">
                    <a:tint val="77000"/>
                    <a:shade val="94000"/>
                    <a:satMod val="135000"/>
                  </a:schemeClr>
                </a:gs>
              </a:gsLst>
              <a:lin ang="16200000" scaled="0"/>
            </a:gradFill>
            <a:ln w="9525">
              <a:solidFill>
                <a:schemeClr val="accent4">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'Analysis &amp; visuals'!$M$23</c:f>
              <c:strCache>
                <c:ptCount val="1"/>
                <c:pt idx="0">
                  <c:v>Sum of total price</c:v>
                </c:pt>
              </c:strCache>
            </c:strRef>
          </c:tx>
          <c:spPr>
            <a:gradFill rotWithShape="1">
              <a:gsLst>
                <a:gs pos="0">
                  <a:schemeClr val="accent4">
                    <a:shade val="76000"/>
                    <a:shade val="51000"/>
                    <a:satMod val="130000"/>
                  </a:schemeClr>
                </a:gs>
                <a:gs pos="80000">
                  <a:schemeClr val="accent4">
                    <a:shade val="76000"/>
                    <a:shade val="93000"/>
                    <a:satMod val="130000"/>
                  </a:schemeClr>
                </a:gs>
                <a:gs pos="100000">
                  <a:schemeClr val="accent4">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 &amp; visuals'!$L$24:$L$43</c:f>
              <c:strCache>
                <c:ptCount val="19"/>
                <c:pt idx="0">
                  <c:v>NO EMI Option</c:v>
                </c:pt>
                <c:pt idx="1">
                  <c:v>No Cost EMI from20,832/month</c:v>
                </c:pt>
                <c:pt idx="2">
                  <c:v>No Cost EMI from27,499/month</c:v>
                </c:pt>
                <c:pt idx="3">
                  <c:v>No Cost EMI from24,332/month</c:v>
                </c:pt>
                <c:pt idx="4">
                  <c:v>No Cost EMI from18,915/month</c:v>
                </c:pt>
                <c:pt idx="5">
                  <c:v>No Cost EMI from16,665/month</c:v>
                </c:pt>
                <c:pt idx="6">
                  <c:v>No Cost EMI from17,832/month</c:v>
                </c:pt>
                <c:pt idx="7">
                  <c:v>No Cost EMI from17,665/month</c:v>
                </c:pt>
                <c:pt idx="8">
                  <c:v>No Cost EMI from15,499/month</c:v>
                </c:pt>
                <c:pt idx="9">
                  <c:v>No Cost EMI from15,832/month</c:v>
                </c:pt>
                <c:pt idx="10">
                  <c:v>No Cost EMI from14,999/month</c:v>
                </c:pt>
                <c:pt idx="11">
                  <c:v>No Cost EMI from14,665/month</c:v>
                </c:pt>
                <c:pt idx="12">
                  <c:v>No Cost EMI from12,832/month</c:v>
                </c:pt>
                <c:pt idx="13">
                  <c:v>No Cost EMI from23,332/month</c:v>
                </c:pt>
                <c:pt idx="14">
                  <c:v>No Cost EMI from11,499/month</c:v>
                </c:pt>
                <c:pt idx="15">
                  <c:v>No Cost EMI from10,832/month</c:v>
                </c:pt>
                <c:pt idx="16">
                  <c:v>No Cost EMI from10,165/month</c:v>
                </c:pt>
                <c:pt idx="17">
                  <c:v>No Cost EMI from13,332/month</c:v>
                </c:pt>
                <c:pt idx="18">
                  <c:v>No Cost EMI from9,165/month</c:v>
                </c:pt>
              </c:strCache>
            </c:strRef>
          </c:cat>
          <c:val>
            <c:numRef>
              <c:f>'Analysis &amp; visuals'!$M$24:$M$43</c:f>
              <c:numCache>
                <c:formatCode>"$"#,##0.0</c:formatCode>
                <c:ptCount val="19"/>
                <c:pt idx="0">
                  <c:v>5268117.12</c:v>
                </c:pt>
                <c:pt idx="1">
                  <c:v>288726.90000000002</c:v>
                </c:pt>
                <c:pt idx="2">
                  <c:v>254084.6</c:v>
                </c:pt>
                <c:pt idx="3">
                  <c:v>224824.6</c:v>
                </c:pt>
                <c:pt idx="4">
                  <c:v>202012.2</c:v>
                </c:pt>
                <c:pt idx="5">
                  <c:v>191980.79999999999</c:v>
                </c:pt>
                <c:pt idx="6">
                  <c:v>173323.8</c:v>
                </c:pt>
                <c:pt idx="7">
                  <c:v>165344.4</c:v>
                </c:pt>
                <c:pt idx="8">
                  <c:v>150643.79999999999</c:v>
                </c:pt>
                <c:pt idx="9">
                  <c:v>140585.20000000001</c:v>
                </c:pt>
                <c:pt idx="10">
                  <c:v>138584.6</c:v>
                </c:pt>
                <c:pt idx="11">
                  <c:v>135504.6</c:v>
                </c:pt>
                <c:pt idx="12">
                  <c:v>130883</c:v>
                </c:pt>
                <c:pt idx="13">
                  <c:v>111992</c:v>
                </c:pt>
                <c:pt idx="14">
                  <c:v>106244.6</c:v>
                </c:pt>
                <c:pt idx="15">
                  <c:v>94885.4</c:v>
                </c:pt>
                <c:pt idx="16">
                  <c:v>91485</c:v>
                </c:pt>
                <c:pt idx="17">
                  <c:v>78390.2</c:v>
                </c:pt>
                <c:pt idx="18">
                  <c:v>39592.800000000003</c:v>
                </c:pt>
              </c:numCache>
            </c:numRef>
          </c:val>
          <c:extLst>
            <c:ext xmlns:c16="http://schemas.microsoft.com/office/drawing/2014/chart" uri="{C3380CC4-5D6E-409C-BE32-E72D297353CC}">
              <c16:uniqueId val="{00000000-7F0B-4D24-8EBA-584C9D66F3A8}"/>
            </c:ext>
          </c:extLst>
        </c:ser>
        <c:ser>
          <c:idx val="1"/>
          <c:order val="1"/>
          <c:tx>
            <c:strRef>
              <c:f>'Analysis &amp; visuals'!$N$23</c:f>
              <c:strCache>
                <c:ptCount val="1"/>
                <c:pt idx="0">
                  <c:v>Sum of price</c:v>
                </c:pt>
              </c:strCache>
            </c:strRef>
          </c:tx>
          <c:spPr>
            <a:gradFill rotWithShape="1">
              <a:gsLst>
                <a:gs pos="0">
                  <a:schemeClr val="accent4">
                    <a:tint val="77000"/>
                    <a:shade val="51000"/>
                    <a:satMod val="130000"/>
                  </a:schemeClr>
                </a:gs>
                <a:gs pos="80000">
                  <a:schemeClr val="accent4">
                    <a:tint val="77000"/>
                    <a:shade val="93000"/>
                    <a:satMod val="130000"/>
                  </a:schemeClr>
                </a:gs>
                <a:gs pos="100000">
                  <a:schemeClr val="accent4">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'Analysis &amp; visuals'!$L$24:$L$43</c:f>
              <c:strCache>
                <c:ptCount val="19"/>
                <c:pt idx="0">
                  <c:v>NO EMI Option</c:v>
                </c:pt>
                <c:pt idx="1">
                  <c:v>No Cost EMI from20,832/month</c:v>
                </c:pt>
                <c:pt idx="2">
                  <c:v>No Cost EMI from27,499/month</c:v>
                </c:pt>
                <c:pt idx="3">
                  <c:v>No Cost EMI from24,332/month</c:v>
                </c:pt>
                <c:pt idx="4">
                  <c:v>No Cost EMI from18,915/month</c:v>
                </c:pt>
                <c:pt idx="5">
                  <c:v>No Cost EMI from16,665/month</c:v>
                </c:pt>
                <c:pt idx="6">
                  <c:v>No Cost EMI from17,832/month</c:v>
                </c:pt>
                <c:pt idx="7">
                  <c:v>No Cost EMI from17,665/month</c:v>
                </c:pt>
                <c:pt idx="8">
                  <c:v>No Cost EMI from15,499/month</c:v>
                </c:pt>
                <c:pt idx="9">
                  <c:v>No Cost EMI from15,832/month</c:v>
                </c:pt>
                <c:pt idx="10">
                  <c:v>No Cost EMI from14,999/month</c:v>
                </c:pt>
                <c:pt idx="11">
                  <c:v>No Cost EMI from14,665/month</c:v>
                </c:pt>
                <c:pt idx="12">
                  <c:v>No Cost EMI from12,832/month</c:v>
                </c:pt>
                <c:pt idx="13">
                  <c:v>No Cost EMI from23,332/month</c:v>
                </c:pt>
                <c:pt idx="14">
                  <c:v>No Cost EMI from11,499/month</c:v>
                </c:pt>
                <c:pt idx="15">
                  <c:v>No Cost EMI from10,832/month</c:v>
                </c:pt>
                <c:pt idx="16">
                  <c:v>No Cost EMI from10,165/month</c:v>
                </c:pt>
                <c:pt idx="17">
                  <c:v>No Cost EMI from13,332/month</c:v>
                </c:pt>
                <c:pt idx="18">
                  <c:v>No Cost EMI from9,165/month</c:v>
                </c:pt>
              </c:strCache>
            </c:strRef>
          </c:cat>
          <c:val>
            <c:numRef>
              <c:f>'Analysis &amp; visuals'!$N$24:$N$43</c:f>
              <c:numCache>
                <c:formatCode>"$"#,##0.0</c:formatCode>
                <c:ptCount val="19"/>
                <c:pt idx="0">
                  <c:v>6301534</c:v>
                </c:pt>
                <c:pt idx="1">
                  <c:v>374970</c:v>
                </c:pt>
                <c:pt idx="2">
                  <c:v>329980</c:v>
                </c:pt>
                <c:pt idx="3">
                  <c:v>291980</c:v>
                </c:pt>
                <c:pt idx="4">
                  <c:v>226980</c:v>
                </c:pt>
                <c:pt idx="5">
                  <c:v>199980</c:v>
                </c:pt>
                <c:pt idx="6">
                  <c:v>213980</c:v>
                </c:pt>
                <c:pt idx="7">
                  <c:v>211980</c:v>
                </c:pt>
                <c:pt idx="8">
                  <c:v>185980</c:v>
                </c:pt>
                <c:pt idx="9">
                  <c:v>189980</c:v>
                </c:pt>
                <c:pt idx="10">
                  <c:v>179980</c:v>
                </c:pt>
                <c:pt idx="11">
                  <c:v>175980</c:v>
                </c:pt>
                <c:pt idx="12">
                  <c:v>153980</c:v>
                </c:pt>
                <c:pt idx="13">
                  <c:v>139990</c:v>
                </c:pt>
                <c:pt idx="14">
                  <c:v>137980</c:v>
                </c:pt>
                <c:pt idx="15">
                  <c:v>129980</c:v>
                </c:pt>
                <c:pt idx="16">
                  <c:v>121980</c:v>
                </c:pt>
                <c:pt idx="17">
                  <c:v>79990</c:v>
                </c:pt>
                <c:pt idx="18">
                  <c:v>54990</c:v>
                </c:pt>
              </c:numCache>
            </c:numRef>
          </c:val>
          <c:extLst>
            <c:ext xmlns:c16="http://schemas.microsoft.com/office/drawing/2014/chart" uri="{C3380CC4-5D6E-409C-BE32-E72D297353CC}">
              <c16:uniqueId val="{00000001-7F0B-4D24-8EBA-584C9D66F3A8}"/>
            </c:ext>
          </c:extLst>
        </c:ser>
        <c:dLbls>
          <c:showLegendKey val="0"/>
          <c:showVal val="0"/>
          <c:showCatName val="0"/>
          <c:showSerName val="0"/>
          <c:showPercent val="0"/>
          <c:showBubbleSize val="0"/>
        </c:dLbls>
        <c:gapWidth val="150"/>
        <c:overlap val="100"/>
        <c:axId val="855046400"/>
        <c:axId val="855053944"/>
      </c:barChart>
      <c:catAx>
        <c:axId val="855046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53944"/>
        <c:crosses val="autoZero"/>
        <c:auto val="1"/>
        <c:lblAlgn val="ctr"/>
        <c:lblOffset val="100"/>
        <c:noMultiLvlLbl val="0"/>
      </c:catAx>
      <c:valAx>
        <c:axId val="855053944"/>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4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[asus-laptops-flipkart.xlsx]Analysis &amp; visuals!PT1</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773400758922729"/>
          <c:y val="0.16927427821522309"/>
          <c:w val="0.64496116871021625"/>
          <c:h val="0.68728674540682411"/>
        </c:manualLayout>
      </c:layout>
      <c:doughnutChart>
        <c:varyColors val="1"/>
        <c:ser>
          <c:idx val="0"/>
          <c:order val="0"/>
          <c:tx>
            <c:strRef>
              <c:f>'Analysis &amp; visuals'!$B$1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66D-48C4-96B8-B803C1F066C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66D-48C4-96B8-B803C1F066C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&amp; visuals'!$A$2:$A$4</c:f>
              <c:strCache>
                <c:ptCount val="2"/>
                <c:pt idx="0">
                  <c:v> With MS Office</c:v>
                </c:pt>
                <c:pt idx="1">
                  <c:v>No Offers</c:v>
                </c:pt>
              </c:strCache>
            </c:strRef>
          </c:cat>
          <c:val>
            <c:numRef>
              <c:f>'Analysis &amp; visuals'!$B$2:$B$4</c:f>
              <c:numCache>
                <c:formatCode>General</c:formatCode>
                <c:ptCount val="2"/>
                <c:pt idx="0">
                  <c:v>120.8</c:v>
                </c:pt>
                <c:pt idx="1">
                  <c:v>217.49999999999997</c:v>
                </c:pt>
              </c:numCache>
            </c:numRef>
          </c:val>
          <c:extLst>
            <c:ext xmlns:c16="http://schemas.microsoft.com/office/drawing/2014/chart" uri="{C3380CC4-5D6E-409C-BE32-E72D297353CC}">
              <c16:uniqueId val="{00000004-C66D-48C4-96B8-B803C1F066C6}"/>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3000">
          <a:schemeClr val="bg1">
            <a:lumMod val="65000"/>
          </a:schemeClr>
        </a:gs>
        <a:gs pos="55000">
          <a:schemeClr val="bg1">
            <a:lumMod val="75000"/>
          </a:schemeClr>
        </a:gs>
        <a:gs pos="88000">
          <a:schemeClr val="bg1">
            <a:lumMod val="65000"/>
          </a:schemeClr>
        </a:gs>
      </a:gsLst>
      <a:lin ang="16200000" scaled="1"/>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[asus-laptops-flipkart.xlsx]Analysis &amp; visuals!PT2</c:name>
    <c:fmtId val="2"/>
  </c:pivotSource>
  <c:chart>
    <c:autoTitleDeleted val="1"/>
    <c:pivotFmts>
      <c:pivotFmt>
        <c:idx val="0"/>
        <c:spPr>
          <a:solidFill>
            <a:schemeClr val="accent4"/>
          </a:solidFill>
          <a:ln w="38100" cap="flat" cmpd="dbl" algn="ctr">
            <a:solidFill>
              <a:schemeClr val="accent4"/>
            </a:solidFill>
            <a:miter lim="800000"/>
          </a:ln>
          <a:effectLst/>
        </c:spPr>
        <c:marker>
          <c:symbol val="circle"/>
          <c:size val="6"/>
          <c:spPr>
            <a:solidFill>
              <a:schemeClr val="accent4"/>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38100" cap="flat" cmpd="dbl" algn="ctr">
            <a:solidFill>
              <a:schemeClr val="accent4"/>
            </a:solidFill>
            <a:miter lim="800000"/>
          </a:ln>
          <a:effectLst/>
        </c:spPr>
        <c:marker>
          <c:symbol val="circle"/>
          <c:size val="6"/>
          <c:spPr>
            <a:solidFill>
              <a:schemeClr val="accent4"/>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flat" cmpd="dbl" algn="ctr">
            <a:solidFill>
              <a:schemeClr val="accent4"/>
            </a:solidFill>
            <a:miter lim="800000"/>
          </a:ln>
          <a:effectLst/>
        </c:spPr>
        <c:marker>
          <c:symbol val="circle"/>
          <c:size val="6"/>
          <c:spPr>
            <a:solidFill>
              <a:schemeClr val="accent4"/>
            </a:solidFill>
            <a:ln w="9525" cap="flat" cmpd="sng" algn="ctr">
              <a:solidFill>
                <a:schemeClr val="lt1"/>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 &amp; visuals'!$B$13</c:f>
              <c:strCache>
                <c:ptCount val="1"/>
                <c:pt idx="0">
                  <c:v>Total</c:v>
                </c:pt>
              </c:strCache>
            </c:strRef>
          </c:tx>
          <c:spPr>
            <a:ln w="38100" cap="flat" cmpd="dbl" algn="ctr">
              <a:solidFill>
                <a:schemeClr val="accent4"/>
              </a:solidFill>
              <a:miter lim="800000"/>
            </a:ln>
            <a:effectLst/>
          </c:spPr>
          <c:marker>
            <c:symbol val="circle"/>
            <c:size val="6"/>
            <c:spPr>
              <a:solidFill>
                <a:schemeClr val="accent4"/>
              </a:solidFill>
              <a:ln w="9525" cap="flat" cmpd="sng" algn="ctr">
                <a:solidFill>
                  <a:schemeClr val="lt1"/>
                </a:solidFill>
                <a:round/>
              </a:ln>
              <a:effectLst/>
            </c:spPr>
          </c:marker>
          <c:cat>
            <c:strRef>
              <c:f>'Analysis &amp; visuals'!$A$14:$A$21</c:f>
              <c:strCache>
                <c:ptCount val="7"/>
                <c:pt idx="0">
                  <c:v>15.6 Inch</c:v>
                </c:pt>
                <c:pt idx="1">
                  <c:v>17.3 Inch</c:v>
                </c:pt>
                <c:pt idx="2">
                  <c:v>13.4 inch</c:v>
                </c:pt>
                <c:pt idx="3">
                  <c:v>14 inch</c:v>
                </c:pt>
                <c:pt idx="4">
                  <c:v>15.6 inches</c:v>
                </c:pt>
                <c:pt idx="5">
                  <c:v>17.3 inches</c:v>
                </c:pt>
                <c:pt idx="6">
                  <c:v>16 inch</c:v>
                </c:pt>
              </c:strCache>
            </c:strRef>
          </c:cat>
          <c:val>
            <c:numRef>
              <c:f>'Analysis &amp; visuals'!$B$14:$B$21</c:f>
              <c:numCache>
                <c:formatCode>"$"#,##0.0</c:formatCode>
                <c:ptCount val="7"/>
                <c:pt idx="0">
                  <c:v>4591247.18</c:v>
                </c:pt>
                <c:pt idx="1">
                  <c:v>1520156.4000000001</c:v>
                </c:pt>
                <c:pt idx="2">
                  <c:v>839740.2</c:v>
                </c:pt>
                <c:pt idx="3">
                  <c:v>495694.80000000005</c:v>
                </c:pt>
                <c:pt idx="4">
                  <c:v>224824.6</c:v>
                </c:pt>
                <c:pt idx="5">
                  <c:v>163662.39999999999</c:v>
                </c:pt>
                <c:pt idx="6">
                  <c:v>151880.04</c:v>
                </c:pt>
              </c:numCache>
            </c:numRef>
          </c:val>
          <c:smooth val="0"/>
          <c:extLst>
            <c:ext xmlns:c16="http://schemas.microsoft.com/office/drawing/2014/chart" uri="{C3380CC4-5D6E-409C-BE32-E72D297353CC}">
              <c16:uniqueId val="{00000000-9EE7-4384-BA29-FB633127D79D}"/>
            </c:ext>
          </c:extLst>
        </c:ser>
        <c:dLbls>
          <c:showLegendKey val="0"/>
          <c:showVal val="0"/>
          <c:showCatName val="0"/>
          <c:showSerName val="0"/>
          <c:showPercent val="0"/>
          <c:showBubbleSize val="0"/>
        </c:dLbls>
        <c:marker val="1"/>
        <c:smooth val="0"/>
        <c:axId val="668546464"/>
        <c:axId val="668544496"/>
      </c:lineChart>
      <c:catAx>
        <c:axId val="668546464"/>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68544496"/>
        <c:crosses val="autoZero"/>
        <c:auto val="1"/>
        <c:lblAlgn val="ctr"/>
        <c:lblOffset val="100"/>
        <c:noMultiLvlLbl val="0"/>
      </c:catAx>
      <c:valAx>
        <c:axId val="668544496"/>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quot;$&quot;#,##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6854646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40000"/>
            <a:lumOff val="60000"/>
          </a:schemeClr>
        </a:gs>
        <a:gs pos="37000">
          <a:schemeClr val="accent5">
            <a:lumMod val="95000"/>
            <a:lumOff val="5000"/>
          </a:schemeClr>
        </a:gs>
        <a:gs pos="100000">
          <a:schemeClr val="accent5">
            <a:lumMod val="60000"/>
          </a:schemeClr>
        </a:gs>
      </a:gsLst>
      <a:path path="circle">
        <a:fillToRect l="50000" t="130000" r="50000" b="-30000"/>
      </a:path>
      <a:tileRect/>
    </a:gra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[asus-laptops-flipkart.xlsx]Analysis &amp; visuals!PT4</c:name>
    <c:fmtId val="2"/>
  </c:pivotSource>
  <c:chart>
    <c:autoTitleDeleted val="1"/>
    <c:pivotFmts>
      <c:pivotFmt>
        <c:idx val="0"/>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hade val="44000"/>
            </a:schemeClr>
          </a:solidFill>
          <a:ln w="25400">
            <a:solidFill>
              <a:schemeClr val="lt1"/>
            </a:solidFill>
          </a:ln>
          <a:effectLst/>
          <a:sp3d contourW="25400">
            <a:contourClr>
              <a:schemeClr val="lt1"/>
            </a:contourClr>
          </a:sp3d>
        </c:spPr>
      </c:pivotFmt>
      <c:pivotFmt>
        <c:idx val="3"/>
        <c:spPr>
          <a:solidFill>
            <a:schemeClr val="accent6">
              <a:shade val="58000"/>
            </a:schemeClr>
          </a:solidFill>
          <a:ln w="25400">
            <a:solidFill>
              <a:schemeClr val="lt1"/>
            </a:solidFill>
          </a:ln>
          <a:effectLst/>
          <a:sp3d contourW="25400">
            <a:contourClr>
              <a:schemeClr val="lt1"/>
            </a:contourClr>
          </a:sp3d>
        </c:spPr>
      </c:pivotFmt>
      <c:pivotFmt>
        <c:idx val="4"/>
        <c:spPr>
          <a:solidFill>
            <a:schemeClr val="accent6">
              <a:shade val="72000"/>
            </a:schemeClr>
          </a:solidFill>
          <a:ln w="25400">
            <a:solidFill>
              <a:schemeClr val="lt1"/>
            </a:solidFill>
          </a:ln>
          <a:effectLst/>
          <a:sp3d contourW="25400">
            <a:contourClr>
              <a:schemeClr val="lt1"/>
            </a:contourClr>
          </a:sp3d>
        </c:spPr>
      </c:pivotFmt>
      <c:pivotFmt>
        <c:idx val="5"/>
        <c:spPr>
          <a:solidFill>
            <a:schemeClr val="accent6">
              <a:shade val="86000"/>
            </a:schemeClr>
          </a:solidFill>
          <a:ln w="25400">
            <a:solidFill>
              <a:schemeClr val="lt1"/>
            </a:solidFill>
          </a:ln>
          <a:effectLst/>
          <a:sp3d contourW="25400">
            <a:contourClr>
              <a:schemeClr val="lt1"/>
            </a:contourClr>
          </a:sp3d>
        </c:spPr>
      </c:pivotFmt>
      <c:pivotFmt>
        <c:idx val="6"/>
        <c:spPr>
          <a:solidFill>
            <a:schemeClr val="accent6"/>
          </a:solidFill>
          <a:ln w="25400">
            <a:solidFill>
              <a:schemeClr val="lt1"/>
            </a:solidFill>
          </a:ln>
          <a:effectLst/>
          <a:sp3d contourW="25400">
            <a:contourClr>
              <a:schemeClr val="lt1"/>
            </a:contourClr>
          </a:sp3d>
        </c:spPr>
      </c:pivotFmt>
      <c:pivotFmt>
        <c:idx val="7"/>
        <c:spPr>
          <a:solidFill>
            <a:schemeClr val="accent6">
              <a:tint val="86000"/>
            </a:schemeClr>
          </a:solidFill>
          <a:ln w="25400">
            <a:solidFill>
              <a:schemeClr val="lt1"/>
            </a:solidFill>
          </a:ln>
          <a:effectLst/>
          <a:sp3d contourW="25400">
            <a:contourClr>
              <a:schemeClr val="lt1"/>
            </a:contourClr>
          </a:sp3d>
        </c:spPr>
      </c:pivotFmt>
      <c:pivotFmt>
        <c:idx val="8"/>
        <c:spPr>
          <a:solidFill>
            <a:schemeClr val="accent6">
              <a:tint val="72000"/>
            </a:schemeClr>
          </a:solidFill>
          <a:ln w="25400">
            <a:solidFill>
              <a:schemeClr val="lt1"/>
            </a:solidFill>
          </a:ln>
          <a:effectLst/>
          <a:sp3d contourW="25400">
            <a:contourClr>
              <a:schemeClr val="lt1"/>
            </a:contourClr>
          </a:sp3d>
        </c:spPr>
      </c:pivotFmt>
      <c:pivotFmt>
        <c:idx val="9"/>
        <c:spPr>
          <a:solidFill>
            <a:schemeClr val="accent6">
              <a:tint val="58000"/>
            </a:schemeClr>
          </a:solidFill>
          <a:ln w="25400">
            <a:solidFill>
              <a:schemeClr val="lt1"/>
            </a:solidFill>
          </a:ln>
          <a:effectLst/>
          <a:sp3d contourW="25400">
            <a:contourClr>
              <a:schemeClr val="lt1"/>
            </a:contourClr>
          </a:sp3d>
        </c:spPr>
      </c:pivotFmt>
      <c:pivotFmt>
        <c:idx val="10"/>
        <c:spPr>
          <a:solidFill>
            <a:schemeClr val="accent6">
              <a:tint val="44000"/>
            </a:schemeClr>
          </a:solidFill>
          <a:ln w="25400">
            <a:solidFill>
              <a:schemeClr val="lt1"/>
            </a:solidFill>
          </a:ln>
          <a:effectLst/>
          <a:sp3d contourW="25400">
            <a:contourClr>
              <a:schemeClr val="lt1"/>
            </a:contourClr>
          </a:sp3d>
        </c:spPr>
      </c:pivotFmt>
      <c:pivotFmt>
        <c:idx val="11"/>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hade val="44000"/>
            </a:schemeClr>
          </a:solidFill>
          <a:ln w="25400">
            <a:solidFill>
              <a:schemeClr val="lt1"/>
            </a:solidFill>
          </a:ln>
          <a:effectLst/>
          <a:sp3d contourW="25400">
            <a:contourClr>
              <a:schemeClr val="lt1"/>
            </a:contourClr>
          </a:sp3d>
        </c:spPr>
      </c:pivotFmt>
      <c:pivotFmt>
        <c:idx val="13"/>
        <c:spPr>
          <a:solidFill>
            <a:schemeClr val="accent6">
              <a:shade val="58000"/>
            </a:schemeClr>
          </a:solidFill>
          <a:ln w="25400">
            <a:solidFill>
              <a:schemeClr val="lt1"/>
            </a:solidFill>
          </a:ln>
          <a:effectLst/>
          <a:sp3d contourW="25400">
            <a:contourClr>
              <a:schemeClr val="lt1"/>
            </a:contourClr>
          </a:sp3d>
        </c:spPr>
      </c:pivotFmt>
      <c:pivotFmt>
        <c:idx val="14"/>
        <c:spPr>
          <a:solidFill>
            <a:schemeClr val="accent6">
              <a:shade val="72000"/>
            </a:schemeClr>
          </a:solidFill>
          <a:ln w="25400">
            <a:solidFill>
              <a:schemeClr val="lt1"/>
            </a:solidFill>
          </a:ln>
          <a:effectLst/>
          <a:sp3d contourW="25400">
            <a:contourClr>
              <a:schemeClr val="lt1"/>
            </a:contourClr>
          </a:sp3d>
        </c:spPr>
      </c:pivotFmt>
      <c:pivotFmt>
        <c:idx val="15"/>
        <c:spPr>
          <a:solidFill>
            <a:schemeClr val="accent6">
              <a:shade val="86000"/>
            </a:schemeClr>
          </a:solidFill>
          <a:ln w="25400">
            <a:solidFill>
              <a:schemeClr val="lt1"/>
            </a:solidFill>
          </a:ln>
          <a:effectLst/>
          <a:sp3d contourW="25400">
            <a:contourClr>
              <a:schemeClr val="lt1"/>
            </a:contourClr>
          </a:sp3d>
        </c:spPr>
      </c:pivotFmt>
      <c:pivotFmt>
        <c:idx val="16"/>
        <c:spPr>
          <a:solidFill>
            <a:schemeClr val="accent6"/>
          </a:solidFill>
          <a:ln w="25400">
            <a:solidFill>
              <a:schemeClr val="lt1"/>
            </a:solidFill>
          </a:ln>
          <a:effectLst/>
          <a:sp3d contourW="25400">
            <a:contourClr>
              <a:schemeClr val="lt1"/>
            </a:contourClr>
          </a:sp3d>
        </c:spPr>
      </c:pivotFmt>
      <c:pivotFmt>
        <c:idx val="17"/>
        <c:spPr>
          <a:solidFill>
            <a:schemeClr val="accent6">
              <a:tint val="86000"/>
            </a:schemeClr>
          </a:solidFill>
          <a:ln w="25400">
            <a:solidFill>
              <a:schemeClr val="lt1"/>
            </a:solidFill>
          </a:ln>
          <a:effectLst/>
          <a:sp3d contourW="25400">
            <a:contourClr>
              <a:schemeClr val="lt1"/>
            </a:contourClr>
          </a:sp3d>
        </c:spPr>
      </c:pivotFmt>
      <c:pivotFmt>
        <c:idx val="18"/>
        <c:spPr>
          <a:solidFill>
            <a:schemeClr val="accent6">
              <a:tint val="72000"/>
            </a:schemeClr>
          </a:solidFill>
          <a:ln w="25400">
            <a:solidFill>
              <a:schemeClr val="lt1"/>
            </a:solidFill>
          </a:ln>
          <a:effectLst/>
          <a:sp3d contourW="25400">
            <a:contourClr>
              <a:schemeClr val="lt1"/>
            </a:contourClr>
          </a:sp3d>
        </c:spPr>
      </c:pivotFmt>
      <c:pivotFmt>
        <c:idx val="19"/>
        <c:spPr>
          <a:solidFill>
            <a:schemeClr val="accent6">
              <a:tint val="58000"/>
            </a:schemeClr>
          </a:solidFill>
          <a:ln w="25400">
            <a:solidFill>
              <a:schemeClr val="lt1"/>
            </a:solidFill>
          </a:ln>
          <a:effectLst/>
          <a:sp3d contourW="25400">
            <a:contourClr>
              <a:schemeClr val="lt1"/>
            </a:contourClr>
          </a:sp3d>
        </c:spPr>
      </c:pivotFmt>
      <c:pivotFmt>
        <c:idx val="20"/>
        <c:spPr>
          <a:solidFill>
            <a:schemeClr val="accent6">
              <a:tint val="44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&amp; visuals'!$B$26</c:f>
              <c:strCache>
                <c:ptCount val="1"/>
                <c:pt idx="0">
                  <c:v>Total</c:v>
                </c:pt>
              </c:strCache>
            </c:strRef>
          </c:tx>
          <c:dPt>
            <c:idx val="0"/>
            <c:bubble3D val="0"/>
            <c:spPr>
              <a:solidFill>
                <a:schemeClr val="accent6">
                  <a:shade val="4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3CD1-4599-80B7-62D57D7749A3}"/>
              </c:ext>
            </c:extLst>
          </c:dPt>
          <c:dPt>
            <c:idx val="1"/>
            <c:bubble3D val="0"/>
            <c:spPr>
              <a:solidFill>
                <a:schemeClr val="accent6">
                  <a:shade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3CD1-4599-80B7-62D57D7749A3}"/>
              </c:ext>
            </c:extLst>
          </c:dPt>
          <c:dPt>
            <c:idx val="2"/>
            <c:bubble3D val="0"/>
            <c:spPr>
              <a:solidFill>
                <a:schemeClr val="accent6">
                  <a:shade val="72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3CD1-4599-80B7-62D57D7749A3}"/>
              </c:ext>
            </c:extLst>
          </c:dPt>
          <c:dPt>
            <c:idx val="3"/>
            <c:bubble3D val="0"/>
            <c:spPr>
              <a:solidFill>
                <a:schemeClr val="accent6">
                  <a:shade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3CD1-4599-80B7-62D57D7749A3}"/>
              </c:ext>
            </c:extLst>
          </c:dPt>
          <c:dPt>
            <c:idx val="4"/>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9-3CD1-4599-80B7-62D57D7749A3}"/>
              </c:ext>
            </c:extLst>
          </c:dPt>
          <c:dPt>
            <c:idx val="5"/>
            <c:bubble3D val="0"/>
            <c:spPr>
              <a:solidFill>
                <a:schemeClr val="accent6">
                  <a:tint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3CD1-4599-80B7-62D57D7749A3}"/>
              </c:ext>
            </c:extLst>
          </c:dPt>
          <c:dPt>
            <c:idx val="6"/>
            <c:bubble3D val="0"/>
            <c:spPr>
              <a:solidFill>
                <a:schemeClr val="accent6">
                  <a:tint val="72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CD1-4599-80B7-62D57D7749A3}"/>
              </c:ext>
            </c:extLst>
          </c:dPt>
          <c:dPt>
            <c:idx val="7"/>
            <c:bubble3D val="0"/>
            <c:spPr>
              <a:solidFill>
                <a:schemeClr val="accent6">
                  <a:tint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3CD1-4599-80B7-62D57D7749A3}"/>
              </c:ext>
            </c:extLst>
          </c:dPt>
          <c:dPt>
            <c:idx val="8"/>
            <c:bubble3D val="0"/>
            <c:spPr>
              <a:solidFill>
                <a:schemeClr val="accent6">
                  <a:tint val="44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CD1-4599-80B7-62D57D7749A3}"/>
              </c:ext>
            </c:extLst>
          </c:dPt>
          <c:cat>
            <c:strRef>
              <c:f>'Analysis &amp; visuals'!$A$27:$A$36</c:f>
              <c:strCache>
                <c:ptCount val="9"/>
                <c:pt idx="0">
                  <c:v>4</c:v>
                </c:pt>
                <c:pt idx="1">
                  <c:v>4.5</c:v>
                </c:pt>
                <c:pt idx="2">
                  <c:v>4.6</c:v>
                </c:pt>
                <c:pt idx="3">
                  <c:v>4.4</c:v>
                </c:pt>
                <c:pt idx="4">
                  <c:v>5</c:v>
                </c:pt>
                <c:pt idx="5">
                  <c:v>4.2</c:v>
                </c:pt>
                <c:pt idx="6">
                  <c:v>3</c:v>
                </c:pt>
                <c:pt idx="7">
                  <c:v>4.7</c:v>
                </c:pt>
                <c:pt idx="8">
                  <c:v>4.3</c:v>
                </c:pt>
              </c:strCache>
            </c:strRef>
          </c:cat>
          <c:val>
            <c:numRef>
              <c:f>'Analysis &amp; visuals'!$B$27:$B$36</c:f>
              <c:numCache>
                <c:formatCode>"$"#,##0.0</c:formatCode>
                <c:ptCount val="9"/>
                <c:pt idx="0">
                  <c:v>4257307.92</c:v>
                </c:pt>
                <c:pt idx="1">
                  <c:v>1215168.4000000001</c:v>
                </c:pt>
                <c:pt idx="2">
                  <c:v>617838</c:v>
                </c:pt>
                <c:pt idx="3">
                  <c:v>535732.19999999995</c:v>
                </c:pt>
                <c:pt idx="4">
                  <c:v>524974.6</c:v>
                </c:pt>
                <c:pt idx="5">
                  <c:v>396733.6</c:v>
                </c:pt>
                <c:pt idx="6">
                  <c:v>292980</c:v>
                </c:pt>
                <c:pt idx="7">
                  <c:v>95128.8</c:v>
                </c:pt>
                <c:pt idx="8">
                  <c:v>51342.1</c:v>
                </c:pt>
              </c:numCache>
            </c:numRef>
          </c:val>
          <c:extLst>
            <c:ext xmlns:c16="http://schemas.microsoft.com/office/drawing/2014/chart" uri="{C3380CC4-5D6E-409C-BE32-E72D297353CC}">
              <c16:uniqueId val="{00000012-3CD1-4599-80B7-62D57D7749A3}"/>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1000">
          <a:schemeClr val="accent6">
            <a:lumMod val="67000"/>
          </a:schemeClr>
        </a:gs>
        <a:gs pos="26000">
          <a:schemeClr val="accent6">
            <a:lumMod val="97000"/>
            <a:lumOff val="3000"/>
          </a:schemeClr>
        </a:gs>
        <a:gs pos="64000">
          <a:schemeClr val="accent6">
            <a:lumMod val="60000"/>
            <a:lumOff val="40000"/>
          </a:schemeClr>
        </a:gs>
      </a:gsLst>
      <a:lin ang="162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Reversed" id="24">
  <a:schemeClr val="accent4"/>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236220</xdr:colOff>
      <xdr:row>0</xdr:row>
      <xdr:rowOff>15240</xdr:rowOff>
    </xdr:from>
    <xdr:to>
      <xdr:col>9</xdr:col>
      <xdr:colOff>403860</xdr:colOff>
      <xdr:row>10</xdr:row>
      <xdr:rowOff>45720</xdr:rowOff>
    </xdr:to>
    <xdr:graphicFrame macro="">
      <xdr:nvGraphicFramePr>
        <xdr:cNvPr id="2" name="Chart1">
          <a:extLst>
            <a:ext uri="{FF2B5EF4-FFF2-40B4-BE49-F238E27FC236}">
              <a16:creationId xmlns:a16="http://schemas.microsoft.com/office/drawing/2014/main" id="{1B381DFC-9B32-479B-9C97-688396851A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266700</xdr:colOff>
      <xdr:row>11</xdr:row>
      <xdr:rowOff>137160</xdr:rowOff>
    </xdr:from>
    <xdr:to>
      <xdr:col>9</xdr:col>
      <xdr:colOff>548640</xdr:colOff>
      <xdr:row>22</xdr:row>
      <xdr:rowOff>45720</xdr:rowOff>
    </xdr:to>
    <xdr:graphicFrame macro="">
      <xdr:nvGraphicFramePr>
        <xdr:cNvPr id="3" name="Chart2">
          <a:extLst>
            <a:ext uri="{FF2B5EF4-FFF2-40B4-BE49-F238E27FC236}">
              <a16:creationId xmlns:a16="http://schemas.microsoft.com/office/drawing/2014/main" id="{8D7D9C74-AC6B-4CA0-8C5E-38912CEF9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60960</xdr:colOff>
      <xdr:row>1</xdr:row>
      <xdr:rowOff>83820</xdr:rowOff>
    </xdr:from>
    <xdr:to>
      <xdr:col>22</xdr:col>
      <xdr:colOff>91440</xdr:colOff>
      <xdr:row>16</xdr:row>
      <xdr:rowOff>106680</xdr:rowOff>
    </xdr:to>
    <xdr:graphicFrame macro="">
      <xdr:nvGraphicFramePr>
        <xdr:cNvPr id="4" name="Chart3">
          <a:extLst>
            <a:ext uri="{FF2B5EF4-FFF2-40B4-BE49-F238E27FC236}">
              <a16:creationId xmlns:a16="http://schemas.microsoft.com/office/drawing/2014/main" id="{0205F76C-3D34-4CC1-8F66-4C365CBEA1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266700</xdr:colOff>
      <xdr:row>24</xdr:row>
      <xdr:rowOff>91440</xdr:rowOff>
    </xdr:from>
    <xdr:to>
      <xdr:col>10</xdr:col>
      <xdr:colOff>45720</xdr:colOff>
      <xdr:row>36</xdr:row>
      <xdr:rowOff>152400</xdr:rowOff>
    </xdr:to>
    <xdr:graphicFrame macro="">
      <xdr:nvGraphicFramePr>
        <xdr:cNvPr id="5" name="Chart4">
          <a:extLst>
            <a:ext uri="{FF2B5EF4-FFF2-40B4-BE49-F238E27FC236}">
              <a16:creationId xmlns:a16="http://schemas.microsoft.com/office/drawing/2014/main" id="{A207C537-7694-4875-ACA2-6235E317A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312420</xdr:colOff>
      <xdr:row>22</xdr:row>
      <xdr:rowOff>144780</xdr:rowOff>
    </xdr:from>
    <xdr:to>
      <xdr:col>23</xdr:col>
      <xdr:colOff>7620</xdr:colOff>
      <xdr:row>38</xdr:row>
      <xdr:rowOff>68580</xdr:rowOff>
    </xdr:to>
    <xdr:graphicFrame macro="">
      <xdr:nvGraphicFramePr>
        <xdr:cNvPr id="6" name="Chart5">
          <a:extLst>
            <a:ext uri="{FF2B5EF4-FFF2-40B4-BE49-F238E27FC236}">
              <a16:creationId xmlns:a16="http://schemas.microsoft.com/office/drawing/2014/main" id="{E981216D-B624-4B2E-A164-EB8E335FF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xdr:colOff>
      <xdr:row>0</xdr:row>
      <xdr:rowOff>53340</xdr:rowOff>
    </xdr:from>
    <xdr:to>
      <xdr:col>28</xdr:col>
      <xdr:colOff>542924</xdr:colOff>
      <xdr:row>4</xdr:row>
      <xdr:rowOff>129540</xdr:rowOff>
    </xdr:to>
    <xdr:sp macro="" textlink="">
      <xdr:nvSpPr>
        <xdr:cNvPr id="2" name="Rectangle: Rounded Corners 1">
          <a:extLst>
            <a:ext uri="{FF2B5EF4-FFF2-40B4-BE49-F238E27FC236}">
              <a16:creationId xmlns:a16="http://schemas.microsoft.com/office/drawing/2014/main" id="{9B87E1F8-8C7E-4A21-AF48-09119BD2E107}"/>
            </a:ext>
          </a:extLst>
        </xdr:cNvPr>
        <xdr:cNvSpPr/>
      </xdr:nvSpPr>
      <xdr:spPr>
        <a:xfrm>
          <a:off x="60959" y="53340"/>
          <a:ext cx="17550765" cy="800100"/>
        </a:xfrm>
        <a:prstGeom prst="roundRect">
          <a:avLst/>
        </a:prstGeom>
        <a:gradFill flip="none" rotWithShape="1">
          <a:gsLst>
            <a:gs pos="0">
              <a:schemeClr val="bg1">
                <a:lumMod val="50000"/>
                <a:shade val="30000"/>
                <a:satMod val="115000"/>
              </a:schemeClr>
            </a:gs>
            <a:gs pos="50000">
              <a:schemeClr val="bg1">
                <a:lumMod val="50000"/>
                <a:shade val="67500"/>
                <a:satMod val="115000"/>
              </a:schemeClr>
            </a:gs>
            <a:gs pos="100000">
              <a:schemeClr val="bg1">
                <a:lumMod val="50000"/>
                <a:shade val="100000"/>
                <a:satMod val="115000"/>
              </a:schemeClr>
            </a:gs>
          </a:gsLst>
          <a:lin ang="189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0</xdr:col>
      <xdr:colOff>441960</xdr:colOff>
      <xdr:row>1</xdr:row>
      <xdr:rowOff>30480</xdr:rowOff>
    </xdr:from>
    <xdr:to>
      <xdr:col>5</xdr:col>
      <xdr:colOff>152400</xdr:colOff>
      <xdr:row>3</xdr:row>
      <xdr:rowOff>68580</xdr:rowOff>
    </xdr:to>
    <xdr:sp macro="" textlink="">
      <xdr:nvSpPr>
        <xdr:cNvPr id="4" name="TextBox 3">
          <a:extLst>
            <a:ext uri="{FF2B5EF4-FFF2-40B4-BE49-F238E27FC236}">
              <a16:creationId xmlns:a16="http://schemas.microsoft.com/office/drawing/2014/main" id="{E80FA9B1-D171-403D-BAC1-F56F99AA4E33}"/>
            </a:ext>
          </a:extLst>
        </xdr:cNvPr>
        <xdr:cNvSpPr txBox="1"/>
      </xdr:nvSpPr>
      <xdr:spPr>
        <a:xfrm>
          <a:off x="441960" y="213360"/>
          <a:ext cx="2758440" cy="403860"/>
        </a:xfrm>
        <a:prstGeom prst="roundRect">
          <a:avLst/>
        </a:prstGeom>
        <a:solidFill>
          <a:schemeClr val="bg1">
            <a:lumMod val="75000"/>
          </a:schemeClr>
        </a:solidFill>
        <a:ln>
          <a:solidFill>
            <a:schemeClr val="tx1"/>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lstStyle/>
        <a:p>
          <a:pPr algn="ctr"/>
          <a:r>
            <a:rPr lang="en-US" sz="1400" b="1">
              <a:latin typeface="Times New Roman" panose="02020603050405020304" pitchFamily="18" charset="0"/>
              <a:cs typeface="Times New Roman" panose="02020603050405020304" pitchFamily="18" charset="0"/>
            </a:rPr>
            <a:t>Asus</a:t>
          </a:r>
          <a:r>
            <a:rPr lang="en-US" sz="1400" b="1" baseline="0">
              <a:latin typeface="Times New Roman" panose="02020603050405020304" pitchFamily="18" charset="0"/>
              <a:cs typeface="Times New Roman" panose="02020603050405020304" pitchFamily="18" charset="0"/>
            </a:rPr>
            <a:t> Laptop Pricing Analysis</a:t>
          </a:r>
          <a:endParaRPr lang="en-US" sz="1400" b="1">
            <a:latin typeface="Times New Roman" panose="02020603050405020304" pitchFamily="18" charset="0"/>
            <a:cs typeface="Times New Roman" panose="02020603050405020304" pitchFamily="18" charset="0"/>
          </a:endParaRPr>
        </a:p>
      </xdr:txBody>
    </xdr:sp>
    <xdr:clientData/>
  </xdr:twoCellAnchor>
  <xdr:twoCellAnchor>
    <xdr:from>
      <xdr:col>7</xdr:col>
      <xdr:colOff>266700</xdr:colOff>
      <xdr:row>1</xdr:row>
      <xdr:rowOff>102870</xdr:rowOff>
    </xdr:from>
    <xdr:to>
      <xdr:col>8</xdr:col>
      <xdr:colOff>518160</xdr:colOff>
      <xdr:row>3</xdr:row>
      <xdr:rowOff>83820</xdr:rowOff>
    </xdr:to>
    <xdr:sp macro="" textlink="">
      <xdr:nvSpPr>
        <xdr:cNvPr id="5" name="TextBox 4">
          <a:extLst>
            <a:ext uri="{FF2B5EF4-FFF2-40B4-BE49-F238E27FC236}">
              <a16:creationId xmlns:a16="http://schemas.microsoft.com/office/drawing/2014/main" id="{B81E45C4-E444-4161-9AAC-2FB858009BA6}"/>
            </a:ext>
          </a:extLst>
        </xdr:cNvPr>
        <xdr:cNvSpPr txBox="1"/>
      </xdr:nvSpPr>
      <xdr:spPr>
        <a:xfrm>
          <a:off x="4533900" y="285750"/>
          <a:ext cx="861060" cy="34671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tx1"/>
              </a:solidFill>
              <a:latin typeface="Times New Roman" panose="02020603050405020304" pitchFamily="18" charset="0"/>
              <a:cs typeface="Times New Roman" panose="02020603050405020304" pitchFamily="18" charset="0"/>
            </a:rPr>
            <a:t>Price</a:t>
          </a:r>
        </a:p>
      </xdr:txBody>
    </xdr:sp>
    <xdr:clientData/>
  </xdr:twoCellAnchor>
  <xdr:twoCellAnchor>
    <xdr:from>
      <xdr:col>12</xdr:col>
      <xdr:colOff>91440</xdr:colOff>
      <xdr:row>1</xdr:row>
      <xdr:rowOff>95250</xdr:rowOff>
    </xdr:from>
    <xdr:to>
      <xdr:col>13</xdr:col>
      <xdr:colOff>274320</xdr:colOff>
      <xdr:row>3</xdr:row>
      <xdr:rowOff>83820</xdr:rowOff>
    </xdr:to>
    <xdr:sp macro="" textlink="">
      <xdr:nvSpPr>
        <xdr:cNvPr id="7" name="TextBox 6">
          <a:extLst>
            <a:ext uri="{FF2B5EF4-FFF2-40B4-BE49-F238E27FC236}">
              <a16:creationId xmlns:a16="http://schemas.microsoft.com/office/drawing/2014/main" id="{A4FB3004-4F2B-4D5D-88E6-577E3AA30F48}"/>
            </a:ext>
          </a:extLst>
        </xdr:cNvPr>
        <xdr:cNvSpPr txBox="1"/>
      </xdr:nvSpPr>
      <xdr:spPr>
        <a:xfrm>
          <a:off x="7406640" y="278130"/>
          <a:ext cx="792480" cy="35433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tx1"/>
              </a:solidFill>
              <a:latin typeface="Times New Roman" panose="02020603050405020304" pitchFamily="18" charset="0"/>
              <a:cs typeface="Times New Roman" panose="02020603050405020304" pitchFamily="18" charset="0"/>
            </a:rPr>
            <a:t>Offers</a:t>
          </a:r>
        </a:p>
      </xdr:txBody>
    </xdr:sp>
    <xdr:clientData/>
  </xdr:twoCellAnchor>
  <xdr:twoCellAnchor>
    <xdr:from>
      <xdr:col>16</xdr:col>
      <xdr:colOff>457200</xdr:colOff>
      <xdr:row>1</xdr:row>
      <xdr:rowOff>87630</xdr:rowOff>
    </xdr:from>
    <xdr:to>
      <xdr:col>18</xdr:col>
      <xdr:colOff>53340</xdr:colOff>
      <xdr:row>3</xdr:row>
      <xdr:rowOff>106680</xdr:rowOff>
    </xdr:to>
    <xdr:sp macro="" textlink="">
      <xdr:nvSpPr>
        <xdr:cNvPr id="8" name="TextBox 7">
          <a:extLst>
            <a:ext uri="{FF2B5EF4-FFF2-40B4-BE49-F238E27FC236}">
              <a16:creationId xmlns:a16="http://schemas.microsoft.com/office/drawing/2014/main" id="{6619DF93-C217-4A85-A8CE-34D3F07BBB5F}"/>
            </a:ext>
          </a:extLst>
        </xdr:cNvPr>
        <xdr:cNvSpPr txBox="1"/>
      </xdr:nvSpPr>
      <xdr:spPr>
        <a:xfrm>
          <a:off x="10210800" y="270510"/>
          <a:ext cx="815340" cy="384810"/>
        </a:xfrm>
        <a:prstGeom prst="rect">
          <a:avLst/>
        </a:prstGeom>
        <a:solidFill>
          <a:schemeClr val="bg2"/>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tx1"/>
              </a:solidFill>
              <a:latin typeface="Times New Roman" panose="02020603050405020304" pitchFamily="18" charset="0"/>
              <a:cs typeface="Times New Roman" panose="02020603050405020304" pitchFamily="18" charset="0"/>
            </a:rPr>
            <a:t>Rating</a:t>
          </a:r>
        </a:p>
      </xdr:txBody>
    </xdr:sp>
    <xdr:clientData/>
  </xdr:twoCellAnchor>
  <xdr:twoCellAnchor>
    <xdr:from>
      <xdr:col>9</xdr:col>
      <xdr:colOff>22860</xdr:colOff>
      <xdr:row>1</xdr:row>
      <xdr:rowOff>114300</xdr:rowOff>
    </xdr:from>
    <xdr:to>
      <xdr:col>9</xdr:col>
      <xdr:colOff>320040</xdr:colOff>
      <xdr:row>2</xdr:row>
      <xdr:rowOff>53340</xdr:rowOff>
    </xdr:to>
    <xdr:sp macro="" textlink="">
      <xdr:nvSpPr>
        <xdr:cNvPr id="9" name="Rectangle 8">
          <a:extLst>
            <a:ext uri="{FF2B5EF4-FFF2-40B4-BE49-F238E27FC236}">
              <a16:creationId xmlns:a16="http://schemas.microsoft.com/office/drawing/2014/main" id="{38EDEE14-0A6E-4C3D-85BF-F98BC0C45204}"/>
            </a:ext>
          </a:extLst>
        </xdr:cNvPr>
        <xdr:cNvSpPr/>
      </xdr:nvSpPr>
      <xdr:spPr>
        <a:xfrm>
          <a:off x="5509260" y="297180"/>
          <a:ext cx="297180" cy="121920"/>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22860</xdr:colOff>
      <xdr:row>2</xdr:row>
      <xdr:rowOff>137160</xdr:rowOff>
    </xdr:from>
    <xdr:to>
      <xdr:col>9</xdr:col>
      <xdr:colOff>320040</xdr:colOff>
      <xdr:row>3</xdr:row>
      <xdr:rowOff>76200</xdr:rowOff>
    </xdr:to>
    <xdr:sp macro="" textlink="">
      <xdr:nvSpPr>
        <xdr:cNvPr id="10" name="Rectangle 9">
          <a:extLst>
            <a:ext uri="{FF2B5EF4-FFF2-40B4-BE49-F238E27FC236}">
              <a16:creationId xmlns:a16="http://schemas.microsoft.com/office/drawing/2014/main" id="{3630EC17-7CD4-48D0-980E-101A94645D5B}"/>
            </a:ext>
          </a:extLst>
        </xdr:cNvPr>
        <xdr:cNvSpPr/>
      </xdr:nvSpPr>
      <xdr:spPr>
        <a:xfrm>
          <a:off x="5509260" y="502920"/>
          <a:ext cx="297180" cy="121920"/>
        </a:xfrm>
        <a:prstGeom prst="rect">
          <a:avLst/>
        </a:prstGeom>
        <a:solidFill>
          <a:srgbClr val="BC64B8"/>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403860</xdr:colOff>
      <xdr:row>1</xdr:row>
      <xdr:rowOff>106680</xdr:rowOff>
    </xdr:from>
    <xdr:to>
      <xdr:col>14</xdr:col>
      <xdr:colOff>91440</xdr:colOff>
      <xdr:row>2</xdr:row>
      <xdr:rowOff>45720</xdr:rowOff>
    </xdr:to>
    <xdr:sp macro="" textlink="">
      <xdr:nvSpPr>
        <xdr:cNvPr id="11" name="Rectangle 10">
          <a:extLst>
            <a:ext uri="{FF2B5EF4-FFF2-40B4-BE49-F238E27FC236}">
              <a16:creationId xmlns:a16="http://schemas.microsoft.com/office/drawing/2014/main" id="{65A13713-CA96-47CE-BFB1-434EE604C1CC}"/>
            </a:ext>
          </a:extLst>
        </xdr:cNvPr>
        <xdr:cNvSpPr/>
      </xdr:nvSpPr>
      <xdr:spPr>
        <a:xfrm>
          <a:off x="8328660" y="289560"/>
          <a:ext cx="297180" cy="12192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403860</xdr:colOff>
      <xdr:row>2</xdr:row>
      <xdr:rowOff>129540</xdr:rowOff>
    </xdr:from>
    <xdr:to>
      <xdr:col>14</xdr:col>
      <xdr:colOff>91440</xdr:colOff>
      <xdr:row>3</xdr:row>
      <xdr:rowOff>68580</xdr:rowOff>
    </xdr:to>
    <xdr:sp macro="" textlink="">
      <xdr:nvSpPr>
        <xdr:cNvPr id="12" name="Rectangle 11">
          <a:extLst>
            <a:ext uri="{FF2B5EF4-FFF2-40B4-BE49-F238E27FC236}">
              <a16:creationId xmlns:a16="http://schemas.microsoft.com/office/drawing/2014/main" id="{52B36409-6858-4E7B-8AC0-BFDC12914FCB}"/>
            </a:ext>
          </a:extLst>
        </xdr:cNvPr>
        <xdr:cNvSpPr/>
      </xdr:nvSpPr>
      <xdr:spPr>
        <a:xfrm>
          <a:off x="8328660" y="495300"/>
          <a:ext cx="297180" cy="121920"/>
        </a:xfrm>
        <a:prstGeom prst="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190500</xdr:colOff>
      <xdr:row>1</xdr:row>
      <xdr:rowOff>91440</xdr:rowOff>
    </xdr:from>
    <xdr:to>
      <xdr:col>18</xdr:col>
      <xdr:colOff>487680</xdr:colOff>
      <xdr:row>2</xdr:row>
      <xdr:rowOff>30480</xdr:rowOff>
    </xdr:to>
    <xdr:sp macro="" textlink="">
      <xdr:nvSpPr>
        <xdr:cNvPr id="13" name="Rectangle 12">
          <a:extLst>
            <a:ext uri="{FF2B5EF4-FFF2-40B4-BE49-F238E27FC236}">
              <a16:creationId xmlns:a16="http://schemas.microsoft.com/office/drawing/2014/main" id="{BA566B0E-FF37-4648-847B-E65AF4718272}"/>
            </a:ext>
          </a:extLst>
        </xdr:cNvPr>
        <xdr:cNvSpPr/>
      </xdr:nvSpPr>
      <xdr:spPr>
        <a:xfrm>
          <a:off x="11163300" y="274320"/>
          <a:ext cx="297180" cy="12192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198120</xdr:colOff>
      <xdr:row>2</xdr:row>
      <xdr:rowOff>144780</xdr:rowOff>
    </xdr:from>
    <xdr:to>
      <xdr:col>18</xdr:col>
      <xdr:colOff>495300</xdr:colOff>
      <xdr:row>3</xdr:row>
      <xdr:rowOff>83820</xdr:rowOff>
    </xdr:to>
    <xdr:sp macro="" textlink="">
      <xdr:nvSpPr>
        <xdr:cNvPr id="14" name="Rectangle 13">
          <a:extLst>
            <a:ext uri="{FF2B5EF4-FFF2-40B4-BE49-F238E27FC236}">
              <a16:creationId xmlns:a16="http://schemas.microsoft.com/office/drawing/2014/main" id="{AAE685B0-6804-437D-8EBA-023455D83ADA}"/>
            </a:ext>
          </a:extLst>
        </xdr:cNvPr>
        <xdr:cNvSpPr/>
      </xdr:nvSpPr>
      <xdr:spPr>
        <a:xfrm>
          <a:off x="11170920" y="510540"/>
          <a:ext cx="297180" cy="121920"/>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396240</xdr:colOff>
      <xdr:row>1</xdr:row>
      <xdr:rowOff>76200</xdr:rowOff>
    </xdr:from>
    <xdr:to>
      <xdr:col>11</xdr:col>
      <xdr:colOff>281940</xdr:colOff>
      <xdr:row>2</xdr:row>
      <xdr:rowOff>91440</xdr:rowOff>
    </xdr:to>
    <xdr:sp macro="" textlink="">
      <xdr:nvSpPr>
        <xdr:cNvPr id="15" name="TextBox 14">
          <a:extLst>
            <a:ext uri="{FF2B5EF4-FFF2-40B4-BE49-F238E27FC236}">
              <a16:creationId xmlns:a16="http://schemas.microsoft.com/office/drawing/2014/main" id="{C6AB2B84-AEB7-41CA-A527-F5E87378CD63}"/>
            </a:ext>
          </a:extLst>
        </xdr:cNvPr>
        <xdr:cNvSpPr txBox="1"/>
      </xdr:nvSpPr>
      <xdr:spPr>
        <a:xfrm>
          <a:off x="5882640" y="259080"/>
          <a:ext cx="11049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Total Price</a:t>
          </a:r>
        </a:p>
      </xdr:txBody>
    </xdr:sp>
    <xdr:clientData/>
  </xdr:twoCellAnchor>
  <xdr:twoCellAnchor>
    <xdr:from>
      <xdr:col>9</xdr:col>
      <xdr:colOff>403860</xdr:colOff>
      <xdr:row>2</xdr:row>
      <xdr:rowOff>91440</xdr:rowOff>
    </xdr:from>
    <xdr:to>
      <xdr:col>11</xdr:col>
      <xdr:colOff>289560</xdr:colOff>
      <xdr:row>3</xdr:row>
      <xdr:rowOff>106680</xdr:rowOff>
    </xdr:to>
    <xdr:sp macro="" textlink="">
      <xdr:nvSpPr>
        <xdr:cNvPr id="16" name="TextBox 15">
          <a:extLst>
            <a:ext uri="{FF2B5EF4-FFF2-40B4-BE49-F238E27FC236}">
              <a16:creationId xmlns:a16="http://schemas.microsoft.com/office/drawing/2014/main" id="{88B2AD5D-3D39-44CD-A76E-F2E9C173D349}"/>
            </a:ext>
          </a:extLst>
        </xdr:cNvPr>
        <xdr:cNvSpPr txBox="1"/>
      </xdr:nvSpPr>
      <xdr:spPr>
        <a:xfrm>
          <a:off x="5890260" y="457200"/>
          <a:ext cx="11049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Price</a:t>
          </a:r>
        </a:p>
      </xdr:txBody>
    </xdr:sp>
    <xdr:clientData/>
  </xdr:twoCellAnchor>
  <xdr:twoCellAnchor>
    <xdr:from>
      <xdr:col>14</xdr:col>
      <xdr:colOff>213360</xdr:colOff>
      <xdr:row>1</xdr:row>
      <xdr:rowOff>68580</xdr:rowOff>
    </xdr:from>
    <xdr:to>
      <xdr:col>16</xdr:col>
      <xdr:colOff>99060</xdr:colOff>
      <xdr:row>2</xdr:row>
      <xdr:rowOff>83820</xdr:rowOff>
    </xdr:to>
    <xdr:sp macro="" textlink="">
      <xdr:nvSpPr>
        <xdr:cNvPr id="17" name="TextBox 16">
          <a:extLst>
            <a:ext uri="{FF2B5EF4-FFF2-40B4-BE49-F238E27FC236}">
              <a16:creationId xmlns:a16="http://schemas.microsoft.com/office/drawing/2014/main" id="{3580981B-4371-44EA-9284-14124F134206}"/>
            </a:ext>
          </a:extLst>
        </xdr:cNvPr>
        <xdr:cNvSpPr txBox="1"/>
      </xdr:nvSpPr>
      <xdr:spPr>
        <a:xfrm>
          <a:off x="8747760" y="251460"/>
          <a:ext cx="11049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latin typeface="Times New Roman" panose="02020603050405020304" pitchFamily="18" charset="0"/>
              <a:cs typeface="Times New Roman" panose="02020603050405020304" pitchFamily="18" charset="0"/>
            </a:rPr>
            <a:t>MS Office</a:t>
          </a:r>
        </a:p>
      </xdr:txBody>
    </xdr:sp>
    <xdr:clientData/>
  </xdr:twoCellAnchor>
  <xdr:twoCellAnchor>
    <xdr:from>
      <xdr:col>14</xdr:col>
      <xdr:colOff>205740</xdr:colOff>
      <xdr:row>2</xdr:row>
      <xdr:rowOff>99060</xdr:rowOff>
    </xdr:from>
    <xdr:to>
      <xdr:col>16</xdr:col>
      <xdr:colOff>91440</xdr:colOff>
      <xdr:row>3</xdr:row>
      <xdr:rowOff>114300</xdr:rowOff>
    </xdr:to>
    <xdr:sp macro="" textlink="">
      <xdr:nvSpPr>
        <xdr:cNvPr id="18" name="TextBox 17">
          <a:extLst>
            <a:ext uri="{FF2B5EF4-FFF2-40B4-BE49-F238E27FC236}">
              <a16:creationId xmlns:a16="http://schemas.microsoft.com/office/drawing/2014/main" id="{42140448-F9A3-4D0C-99D5-7089DFDE228F}"/>
            </a:ext>
          </a:extLst>
        </xdr:cNvPr>
        <xdr:cNvSpPr txBox="1"/>
      </xdr:nvSpPr>
      <xdr:spPr>
        <a:xfrm>
          <a:off x="8740140" y="464820"/>
          <a:ext cx="11049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latin typeface="Times New Roman" panose="02020603050405020304" pitchFamily="18" charset="0"/>
              <a:cs typeface="Times New Roman" panose="02020603050405020304" pitchFamily="18" charset="0"/>
            </a:rPr>
            <a:t>No Offfers</a:t>
          </a:r>
        </a:p>
      </xdr:txBody>
    </xdr:sp>
    <xdr:clientData/>
  </xdr:twoCellAnchor>
  <xdr:twoCellAnchor>
    <xdr:from>
      <xdr:col>18</xdr:col>
      <xdr:colOff>502920</xdr:colOff>
      <xdr:row>1</xdr:row>
      <xdr:rowOff>60960</xdr:rowOff>
    </xdr:from>
    <xdr:to>
      <xdr:col>20</xdr:col>
      <xdr:colOff>388620</xdr:colOff>
      <xdr:row>2</xdr:row>
      <xdr:rowOff>76200</xdr:rowOff>
    </xdr:to>
    <xdr:sp macro="" textlink="">
      <xdr:nvSpPr>
        <xdr:cNvPr id="19" name="TextBox 18">
          <a:extLst>
            <a:ext uri="{FF2B5EF4-FFF2-40B4-BE49-F238E27FC236}">
              <a16:creationId xmlns:a16="http://schemas.microsoft.com/office/drawing/2014/main" id="{A0012E13-8276-4ACA-A0EE-ACDAE0376B83}"/>
            </a:ext>
          </a:extLst>
        </xdr:cNvPr>
        <xdr:cNvSpPr txBox="1"/>
      </xdr:nvSpPr>
      <xdr:spPr>
        <a:xfrm>
          <a:off x="11475720" y="243840"/>
          <a:ext cx="11049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latin typeface="Times New Roman" panose="02020603050405020304" pitchFamily="18" charset="0"/>
              <a:cs typeface="Times New Roman" panose="02020603050405020304" pitchFamily="18" charset="0"/>
            </a:rPr>
            <a:t>&lt;= 4</a:t>
          </a:r>
        </a:p>
      </xdr:txBody>
    </xdr:sp>
    <xdr:clientData/>
  </xdr:twoCellAnchor>
  <xdr:twoCellAnchor>
    <xdr:from>
      <xdr:col>18</xdr:col>
      <xdr:colOff>525780</xdr:colOff>
      <xdr:row>2</xdr:row>
      <xdr:rowOff>106680</xdr:rowOff>
    </xdr:from>
    <xdr:to>
      <xdr:col>20</xdr:col>
      <xdr:colOff>411480</xdr:colOff>
      <xdr:row>3</xdr:row>
      <xdr:rowOff>121920</xdr:rowOff>
    </xdr:to>
    <xdr:sp macro="" textlink="">
      <xdr:nvSpPr>
        <xdr:cNvPr id="20" name="TextBox 19">
          <a:extLst>
            <a:ext uri="{FF2B5EF4-FFF2-40B4-BE49-F238E27FC236}">
              <a16:creationId xmlns:a16="http://schemas.microsoft.com/office/drawing/2014/main" id="{0BF1B03B-70F1-4D99-B639-CF32E739EFF9}"/>
            </a:ext>
          </a:extLst>
        </xdr:cNvPr>
        <xdr:cNvSpPr txBox="1"/>
      </xdr:nvSpPr>
      <xdr:spPr>
        <a:xfrm>
          <a:off x="11498580" y="472440"/>
          <a:ext cx="11049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latin typeface="Times New Roman" panose="02020603050405020304" pitchFamily="18" charset="0"/>
              <a:cs typeface="Times New Roman" panose="02020603050405020304" pitchFamily="18" charset="0"/>
            </a:rPr>
            <a:t>5</a:t>
          </a:r>
        </a:p>
      </xdr:txBody>
    </xdr:sp>
    <xdr:clientData/>
  </xdr:twoCellAnchor>
  <xdr:twoCellAnchor>
    <xdr:from>
      <xdr:col>0</xdr:col>
      <xdr:colOff>304799</xdr:colOff>
      <xdr:row>5</xdr:row>
      <xdr:rowOff>53339</xdr:rowOff>
    </xdr:from>
    <xdr:to>
      <xdr:col>9</xdr:col>
      <xdr:colOff>200024</xdr:colOff>
      <xdr:row>8</xdr:row>
      <xdr:rowOff>38099</xdr:rowOff>
    </xdr:to>
    <xdr:sp macro="" textlink="">
      <xdr:nvSpPr>
        <xdr:cNvPr id="22" name="Trapezoid 21">
          <a:extLst>
            <a:ext uri="{FF2B5EF4-FFF2-40B4-BE49-F238E27FC236}">
              <a16:creationId xmlns:a16="http://schemas.microsoft.com/office/drawing/2014/main" id="{531D98A1-17D8-41E2-AD3A-4A82F97BB075}"/>
            </a:ext>
          </a:extLst>
        </xdr:cNvPr>
        <xdr:cNvSpPr/>
      </xdr:nvSpPr>
      <xdr:spPr>
        <a:xfrm>
          <a:off x="304799" y="958214"/>
          <a:ext cx="5381625" cy="527685"/>
        </a:xfrm>
        <a:prstGeom prst="trapezoid">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5</xdr:row>
      <xdr:rowOff>146685</xdr:rowOff>
    </xdr:from>
    <xdr:to>
      <xdr:col>8</xdr:col>
      <xdr:colOff>552450</xdr:colOff>
      <xdr:row>7</xdr:row>
      <xdr:rowOff>93345</xdr:rowOff>
    </xdr:to>
    <xdr:sp macro="" textlink="">
      <xdr:nvSpPr>
        <xdr:cNvPr id="23" name="TextBox 22">
          <a:extLst>
            <a:ext uri="{FF2B5EF4-FFF2-40B4-BE49-F238E27FC236}">
              <a16:creationId xmlns:a16="http://schemas.microsoft.com/office/drawing/2014/main" id="{834E457A-BE8E-4BEE-8BB8-A361E8599724}"/>
            </a:ext>
          </a:extLst>
        </xdr:cNvPr>
        <xdr:cNvSpPr txBox="1"/>
      </xdr:nvSpPr>
      <xdr:spPr>
        <a:xfrm>
          <a:off x="640080" y="1051560"/>
          <a:ext cx="4789170" cy="308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Color code</a:t>
          </a:r>
        </a:p>
      </xdr:txBody>
    </xdr:sp>
    <xdr:clientData/>
  </xdr:twoCellAnchor>
  <xdr:twoCellAnchor>
    <xdr:from>
      <xdr:col>10</xdr:col>
      <xdr:colOff>529590</xdr:colOff>
      <xdr:row>5</xdr:row>
      <xdr:rowOff>80009</xdr:rowOff>
    </xdr:from>
    <xdr:to>
      <xdr:col>20</xdr:col>
      <xdr:colOff>228600</xdr:colOff>
      <xdr:row>8</xdr:row>
      <xdr:rowOff>38099</xdr:rowOff>
    </xdr:to>
    <xdr:sp macro="" textlink="">
      <xdr:nvSpPr>
        <xdr:cNvPr id="24" name="Trapezoid 23">
          <a:extLst>
            <a:ext uri="{FF2B5EF4-FFF2-40B4-BE49-F238E27FC236}">
              <a16:creationId xmlns:a16="http://schemas.microsoft.com/office/drawing/2014/main" id="{F1C4584A-00BD-4998-BCCB-B94869D468D2}"/>
            </a:ext>
          </a:extLst>
        </xdr:cNvPr>
        <xdr:cNvSpPr/>
      </xdr:nvSpPr>
      <xdr:spPr>
        <a:xfrm>
          <a:off x="6625590" y="984884"/>
          <a:ext cx="5795010" cy="501015"/>
        </a:xfrm>
        <a:prstGeom prst="trapezoid">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144780</xdr:colOff>
      <xdr:row>5</xdr:row>
      <xdr:rowOff>173355</xdr:rowOff>
    </xdr:from>
    <xdr:to>
      <xdr:col>18</xdr:col>
      <xdr:colOff>510540</xdr:colOff>
      <xdr:row>7</xdr:row>
      <xdr:rowOff>81915</xdr:rowOff>
    </xdr:to>
    <xdr:sp macro="" textlink="">
      <xdr:nvSpPr>
        <xdr:cNvPr id="25" name="TextBox 24">
          <a:extLst>
            <a:ext uri="{FF2B5EF4-FFF2-40B4-BE49-F238E27FC236}">
              <a16:creationId xmlns:a16="http://schemas.microsoft.com/office/drawing/2014/main" id="{F67C784E-B9A8-469D-B196-D2DF69FABAB5}"/>
            </a:ext>
          </a:extLst>
        </xdr:cNvPr>
        <xdr:cNvSpPr txBox="1"/>
      </xdr:nvSpPr>
      <xdr:spPr>
        <a:xfrm>
          <a:off x="7459980" y="1078230"/>
          <a:ext cx="4023360"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Payment</a:t>
          </a:r>
          <a:r>
            <a:rPr lang="en-US" sz="1800" b="1" baseline="0"/>
            <a:t> Option</a:t>
          </a:r>
          <a:endParaRPr lang="en-US" sz="1800" b="1"/>
        </a:p>
      </xdr:txBody>
    </xdr:sp>
    <xdr:clientData/>
  </xdr:twoCellAnchor>
  <xdr:twoCellAnchor>
    <xdr:from>
      <xdr:col>0</xdr:col>
      <xdr:colOff>266699</xdr:colOff>
      <xdr:row>9</xdr:row>
      <xdr:rowOff>45719</xdr:rowOff>
    </xdr:from>
    <xdr:to>
      <xdr:col>9</xdr:col>
      <xdr:colOff>257174</xdr:colOff>
      <xdr:row>26</xdr:row>
      <xdr:rowOff>38100</xdr:rowOff>
    </xdr:to>
    <xdr:graphicFrame macro="">
      <xdr:nvGraphicFramePr>
        <xdr:cNvPr id="27" name="Chart3">
          <a:extLst>
            <a:ext uri="{FF2B5EF4-FFF2-40B4-BE49-F238E27FC236}">
              <a16:creationId xmlns:a16="http://schemas.microsoft.com/office/drawing/2014/main" id="{8592A5DB-52BC-4A48-A55B-307E778027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546734</xdr:colOff>
      <xdr:row>9</xdr:row>
      <xdr:rowOff>49529</xdr:rowOff>
    </xdr:from>
    <xdr:to>
      <xdr:col>20</xdr:col>
      <xdr:colOff>247649</xdr:colOff>
      <xdr:row>26</xdr:row>
      <xdr:rowOff>57150</xdr:rowOff>
    </xdr:to>
    <xdr:graphicFrame macro="">
      <xdr:nvGraphicFramePr>
        <xdr:cNvPr id="28" name="Chart5">
          <a:extLst>
            <a:ext uri="{FF2B5EF4-FFF2-40B4-BE49-F238E27FC236}">
              <a16:creationId xmlns:a16="http://schemas.microsoft.com/office/drawing/2014/main" id="{2C48A933-F778-4049-B06B-7508B9D11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262890</xdr:colOff>
      <xdr:row>5</xdr:row>
      <xdr:rowOff>51434</xdr:rowOff>
    </xdr:from>
    <xdr:to>
      <xdr:col>27</xdr:col>
      <xdr:colOff>314325</xdr:colOff>
      <xdr:row>8</xdr:row>
      <xdr:rowOff>9524</xdr:rowOff>
    </xdr:to>
    <xdr:sp macro="" textlink="">
      <xdr:nvSpPr>
        <xdr:cNvPr id="29" name="Trapezoid 28">
          <a:extLst>
            <a:ext uri="{FF2B5EF4-FFF2-40B4-BE49-F238E27FC236}">
              <a16:creationId xmlns:a16="http://schemas.microsoft.com/office/drawing/2014/main" id="{A6BF8E42-E578-47D2-A857-8ACE58FBF8A3}"/>
            </a:ext>
          </a:extLst>
        </xdr:cNvPr>
        <xdr:cNvSpPr/>
      </xdr:nvSpPr>
      <xdr:spPr>
        <a:xfrm>
          <a:off x="13674090" y="956309"/>
          <a:ext cx="3099435" cy="501015"/>
        </a:xfrm>
        <a:prstGeom prst="trapezoid">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542925</xdr:colOff>
      <xdr:row>5</xdr:row>
      <xdr:rowOff>116205</xdr:rowOff>
    </xdr:from>
    <xdr:to>
      <xdr:col>26</xdr:col>
      <xdr:colOff>577214</xdr:colOff>
      <xdr:row>7</xdr:row>
      <xdr:rowOff>95251</xdr:rowOff>
    </xdr:to>
    <xdr:sp macro="" textlink="">
      <xdr:nvSpPr>
        <xdr:cNvPr id="30" name="TextBox 29">
          <a:extLst>
            <a:ext uri="{FF2B5EF4-FFF2-40B4-BE49-F238E27FC236}">
              <a16:creationId xmlns:a16="http://schemas.microsoft.com/office/drawing/2014/main" id="{51A39A96-DED2-45D8-9880-7F6D009603F6}"/>
            </a:ext>
          </a:extLst>
        </xdr:cNvPr>
        <xdr:cNvSpPr txBox="1"/>
      </xdr:nvSpPr>
      <xdr:spPr>
        <a:xfrm>
          <a:off x="13954125" y="1021080"/>
          <a:ext cx="2472689" cy="34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Offers</a:t>
          </a:r>
        </a:p>
      </xdr:txBody>
    </xdr:sp>
    <xdr:clientData/>
  </xdr:twoCellAnchor>
  <xdr:twoCellAnchor>
    <xdr:from>
      <xdr:col>22</xdr:col>
      <xdr:colOff>228600</xdr:colOff>
      <xdr:row>9</xdr:row>
      <xdr:rowOff>57150</xdr:rowOff>
    </xdr:from>
    <xdr:to>
      <xdr:col>27</xdr:col>
      <xdr:colOff>304800</xdr:colOff>
      <xdr:row>26</xdr:row>
      <xdr:rowOff>28575</xdr:rowOff>
    </xdr:to>
    <xdr:graphicFrame macro="">
      <xdr:nvGraphicFramePr>
        <xdr:cNvPr id="31" name="Chart1">
          <a:extLst>
            <a:ext uri="{FF2B5EF4-FFF2-40B4-BE49-F238E27FC236}">
              <a16:creationId xmlns:a16="http://schemas.microsoft.com/office/drawing/2014/main" id="{3E651F68-7A88-4418-9D2B-E556CF2C5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247650</xdr:colOff>
      <xdr:row>30</xdr:row>
      <xdr:rowOff>51434</xdr:rowOff>
    </xdr:from>
    <xdr:to>
      <xdr:col>13</xdr:col>
      <xdr:colOff>123825</xdr:colOff>
      <xdr:row>33</xdr:row>
      <xdr:rowOff>9524</xdr:rowOff>
    </xdr:to>
    <xdr:sp macro="" textlink="">
      <xdr:nvSpPr>
        <xdr:cNvPr id="32" name="Trapezoid 31">
          <a:extLst>
            <a:ext uri="{FF2B5EF4-FFF2-40B4-BE49-F238E27FC236}">
              <a16:creationId xmlns:a16="http://schemas.microsoft.com/office/drawing/2014/main" id="{27D3356B-E91F-442A-BE2A-F2011C169513}"/>
            </a:ext>
          </a:extLst>
        </xdr:cNvPr>
        <xdr:cNvSpPr/>
      </xdr:nvSpPr>
      <xdr:spPr>
        <a:xfrm>
          <a:off x="4514850" y="5480684"/>
          <a:ext cx="3533775" cy="501015"/>
        </a:xfrm>
        <a:prstGeom prst="trapezoid">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533400</xdr:colOff>
      <xdr:row>30</xdr:row>
      <xdr:rowOff>80009</xdr:rowOff>
    </xdr:from>
    <xdr:to>
      <xdr:col>24</xdr:col>
      <xdr:colOff>19050</xdr:colOff>
      <xdr:row>33</xdr:row>
      <xdr:rowOff>38099</xdr:rowOff>
    </xdr:to>
    <xdr:sp macro="" textlink="">
      <xdr:nvSpPr>
        <xdr:cNvPr id="33" name="Trapezoid 32">
          <a:extLst>
            <a:ext uri="{FF2B5EF4-FFF2-40B4-BE49-F238E27FC236}">
              <a16:creationId xmlns:a16="http://schemas.microsoft.com/office/drawing/2014/main" id="{034882B2-46C6-4A09-9B79-8BE5561C8247}"/>
            </a:ext>
          </a:extLst>
        </xdr:cNvPr>
        <xdr:cNvSpPr/>
      </xdr:nvSpPr>
      <xdr:spPr>
        <a:xfrm>
          <a:off x="10896600" y="5509259"/>
          <a:ext cx="3752850" cy="501015"/>
        </a:xfrm>
        <a:prstGeom prst="trapezoid">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514350</xdr:colOff>
      <xdr:row>30</xdr:row>
      <xdr:rowOff>173355</xdr:rowOff>
    </xdr:from>
    <xdr:to>
      <xdr:col>22</xdr:col>
      <xdr:colOff>548639</xdr:colOff>
      <xdr:row>32</xdr:row>
      <xdr:rowOff>152401</xdr:rowOff>
    </xdr:to>
    <xdr:sp macro="" textlink="">
      <xdr:nvSpPr>
        <xdr:cNvPr id="34" name="TextBox 33">
          <a:extLst>
            <a:ext uri="{FF2B5EF4-FFF2-40B4-BE49-F238E27FC236}">
              <a16:creationId xmlns:a16="http://schemas.microsoft.com/office/drawing/2014/main" id="{D7A37EBA-60B8-47D6-8328-C1ED376D911E}"/>
            </a:ext>
          </a:extLst>
        </xdr:cNvPr>
        <xdr:cNvSpPr txBox="1"/>
      </xdr:nvSpPr>
      <xdr:spPr>
        <a:xfrm>
          <a:off x="11487150" y="5602605"/>
          <a:ext cx="2472689" cy="34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Rating</a:t>
          </a:r>
        </a:p>
      </xdr:txBody>
    </xdr:sp>
    <xdr:clientData/>
  </xdr:twoCellAnchor>
  <xdr:twoCellAnchor>
    <xdr:from>
      <xdr:col>8</xdr:col>
      <xdr:colOff>129540</xdr:colOff>
      <xdr:row>30</xdr:row>
      <xdr:rowOff>118109</xdr:rowOff>
    </xdr:from>
    <xdr:to>
      <xdr:col>12</xdr:col>
      <xdr:colOff>163829</xdr:colOff>
      <xdr:row>32</xdr:row>
      <xdr:rowOff>97155</xdr:rowOff>
    </xdr:to>
    <xdr:sp macro="" textlink="">
      <xdr:nvSpPr>
        <xdr:cNvPr id="35" name="TextBox 34">
          <a:extLst>
            <a:ext uri="{FF2B5EF4-FFF2-40B4-BE49-F238E27FC236}">
              <a16:creationId xmlns:a16="http://schemas.microsoft.com/office/drawing/2014/main" id="{EE78550D-F219-4254-A2FE-216BEBD45015}"/>
            </a:ext>
          </a:extLst>
        </xdr:cNvPr>
        <xdr:cNvSpPr txBox="1"/>
      </xdr:nvSpPr>
      <xdr:spPr>
        <a:xfrm>
          <a:off x="5006340" y="5547359"/>
          <a:ext cx="2472689" cy="34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Sizing</a:t>
          </a:r>
        </a:p>
      </xdr:txBody>
    </xdr:sp>
    <xdr:clientData/>
  </xdr:twoCellAnchor>
  <xdr:twoCellAnchor>
    <xdr:from>
      <xdr:col>6</xdr:col>
      <xdr:colOff>247650</xdr:colOff>
      <xdr:row>34</xdr:row>
      <xdr:rowOff>0</xdr:rowOff>
    </xdr:from>
    <xdr:to>
      <xdr:col>14</xdr:col>
      <xdr:colOff>104775</xdr:colOff>
      <xdr:row>47</xdr:row>
      <xdr:rowOff>47625</xdr:rowOff>
    </xdr:to>
    <xdr:graphicFrame macro="">
      <xdr:nvGraphicFramePr>
        <xdr:cNvPr id="36" name="Chart2">
          <a:extLst>
            <a:ext uri="{FF2B5EF4-FFF2-40B4-BE49-F238E27FC236}">
              <a16:creationId xmlns:a16="http://schemas.microsoft.com/office/drawing/2014/main" id="{FED7D046-8C8A-465E-9CB5-BBFEAA443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581025</xdr:colOff>
      <xdr:row>34</xdr:row>
      <xdr:rowOff>19050</xdr:rowOff>
    </xdr:from>
    <xdr:to>
      <xdr:col>24</xdr:col>
      <xdr:colOff>581025</xdr:colOff>
      <xdr:row>47</xdr:row>
      <xdr:rowOff>85725</xdr:rowOff>
    </xdr:to>
    <xdr:graphicFrame macro="">
      <xdr:nvGraphicFramePr>
        <xdr:cNvPr id="37" name="Chart4">
          <a:extLst>
            <a:ext uri="{FF2B5EF4-FFF2-40B4-BE49-F238E27FC236}">
              <a16:creationId xmlns:a16="http://schemas.microsoft.com/office/drawing/2014/main" id="{E01F6955-A3E4-4181-8788-B146DC8D4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40005</xdr:colOff>
      <xdr:row>33</xdr:row>
      <xdr:rowOff>121920</xdr:rowOff>
    </xdr:from>
    <xdr:to>
      <xdr:col>5</xdr:col>
      <xdr:colOff>466725</xdr:colOff>
      <xdr:row>47</xdr:row>
      <xdr:rowOff>55245</xdr:rowOff>
    </xdr:to>
    <mc:AlternateContent xmlns:mc="http://schemas.openxmlformats.org/markup-compatibility/2006">
      <mc:Choice xmlns:a14="http://schemas.microsoft.com/office/drawing/2010/main" Requires="a14">
        <xdr:graphicFrame macro="">
          <xdr:nvGraphicFramePr>
            <xdr:cNvPr id="38" name="rating">
              <a:extLst>
                <a:ext uri="{FF2B5EF4-FFF2-40B4-BE49-F238E27FC236}">
                  <a16:creationId xmlns:a16="http://schemas.microsoft.com/office/drawing/2014/main" id="{C37F62C4-A632-4946-AF02-62B15C086478}"/>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868805" y="6094095"/>
              <a:ext cx="164592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148590</xdr:colOff>
      <xdr:row>33</xdr:row>
      <xdr:rowOff>116205</xdr:rowOff>
    </xdr:from>
    <xdr:to>
      <xdr:col>2</xdr:col>
      <xdr:colOff>476250</xdr:colOff>
      <xdr:row>47</xdr:row>
      <xdr:rowOff>49530</xdr:rowOff>
    </xdr:to>
    <mc:AlternateContent xmlns:mc="http://schemas.openxmlformats.org/markup-compatibility/2006">
      <mc:Choice xmlns:a14="http://schemas.microsoft.com/office/drawing/2010/main" Requires="a14">
        <xdr:graphicFrame macro="">
          <xdr:nvGraphicFramePr>
            <xdr:cNvPr id="39" name="speci 1">
              <a:extLst>
                <a:ext uri="{FF2B5EF4-FFF2-40B4-BE49-F238E27FC236}">
                  <a16:creationId xmlns:a16="http://schemas.microsoft.com/office/drawing/2014/main" id="{988C68C8-7BA0-49A5-9074-7EE598B579D0}"/>
                </a:ext>
              </a:extLst>
            </xdr:cNvPr>
            <xdr:cNvGraphicFramePr/>
          </xdr:nvGraphicFramePr>
          <xdr:xfrm>
            <a:off x="0" y="0"/>
            <a:ext cx="0" cy="0"/>
          </xdr:xfrm>
          <a:graphic>
            <a:graphicData uri="http://schemas.microsoft.com/office/drawing/2010/slicer">
              <sle:slicer xmlns:sle="http://schemas.microsoft.com/office/drawing/2010/slicer" name="speci 1"/>
            </a:graphicData>
          </a:graphic>
        </xdr:graphicFrame>
      </mc:Choice>
      <mc:Fallback>
        <xdr:sp macro="" textlink="">
          <xdr:nvSpPr>
            <xdr:cNvPr id="0" name=""/>
            <xdr:cNvSpPr>
              <a:spLocks noTextEdit="1"/>
            </xdr:cNvSpPr>
          </xdr:nvSpPr>
          <xdr:spPr>
            <a:xfrm>
              <a:off x="148590" y="6088380"/>
              <a:ext cx="154686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19050</xdr:colOff>
      <xdr:row>34</xdr:row>
      <xdr:rowOff>72390</xdr:rowOff>
    </xdr:from>
    <xdr:to>
      <xdr:col>29</xdr:col>
      <xdr:colOff>19050</xdr:colOff>
      <xdr:row>48</xdr:row>
      <xdr:rowOff>5715</xdr:rowOff>
    </xdr:to>
    <mc:AlternateContent xmlns:mc="http://schemas.openxmlformats.org/markup-compatibility/2006">
      <mc:Choice xmlns:a14="http://schemas.microsoft.com/office/drawing/2010/main" Requires="a14">
        <xdr:graphicFrame macro="">
          <xdr:nvGraphicFramePr>
            <xdr:cNvPr id="40" name="speci 2">
              <a:extLst>
                <a:ext uri="{FF2B5EF4-FFF2-40B4-BE49-F238E27FC236}">
                  <a16:creationId xmlns:a16="http://schemas.microsoft.com/office/drawing/2014/main" id="{8F7D942F-23BA-4D99-9074-216B0C49FE4E}"/>
                </a:ext>
              </a:extLst>
            </xdr:cNvPr>
            <xdr:cNvGraphicFramePr/>
          </xdr:nvGraphicFramePr>
          <xdr:xfrm>
            <a:off x="0" y="0"/>
            <a:ext cx="0" cy="0"/>
          </xdr:xfrm>
          <a:graphic>
            <a:graphicData uri="http://schemas.microsoft.com/office/drawing/2010/slicer">
              <sle:slicer xmlns:sle="http://schemas.microsoft.com/office/drawing/2010/slicer" name="speci 2"/>
            </a:graphicData>
          </a:graphic>
        </xdr:graphicFrame>
      </mc:Choice>
      <mc:Fallback>
        <xdr:sp macro="" textlink="">
          <xdr:nvSpPr>
            <xdr:cNvPr id="0" name=""/>
            <xdr:cNvSpPr>
              <a:spLocks noTextEdit="1"/>
            </xdr:cNvSpPr>
          </xdr:nvSpPr>
          <xdr:spPr>
            <a:xfrm>
              <a:off x="15868650" y="62255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13335</xdr:colOff>
      <xdr:row>28</xdr:row>
      <xdr:rowOff>38101</xdr:rowOff>
    </xdr:from>
    <xdr:to>
      <xdr:col>29</xdr:col>
      <xdr:colOff>13335</xdr:colOff>
      <xdr:row>33</xdr:row>
      <xdr:rowOff>104776</xdr:rowOff>
    </xdr:to>
    <mc:AlternateContent xmlns:mc="http://schemas.openxmlformats.org/markup-compatibility/2006">
      <mc:Choice xmlns:a14="http://schemas.microsoft.com/office/drawing/2010/main" Requires="a14">
        <xdr:graphicFrame macro="">
          <xdr:nvGraphicFramePr>
            <xdr:cNvPr id="41" name="speci 4">
              <a:extLst>
                <a:ext uri="{FF2B5EF4-FFF2-40B4-BE49-F238E27FC236}">
                  <a16:creationId xmlns:a16="http://schemas.microsoft.com/office/drawing/2014/main" id="{BABDCD85-76B6-402D-8A1F-5BB2342C15F5}"/>
                </a:ext>
              </a:extLst>
            </xdr:cNvPr>
            <xdr:cNvGraphicFramePr/>
          </xdr:nvGraphicFramePr>
          <xdr:xfrm>
            <a:off x="0" y="0"/>
            <a:ext cx="0" cy="0"/>
          </xdr:xfrm>
          <a:graphic>
            <a:graphicData uri="http://schemas.microsoft.com/office/drawing/2010/slicer">
              <sle:slicer xmlns:sle="http://schemas.microsoft.com/office/drawing/2010/slicer" name="speci 4"/>
            </a:graphicData>
          </a:graphic>
        </xdr:graphicFrame>
      </mc:Choice>
      <mc:Fallback>
        <xdr:sp macro="" textlink="">
          <xdr:nvSpPr>
            <xdr:cNvPr id="0" name=""/>
            <xdr:cNvSpPr>
              <a:spLocks noTextEdit="1"/>
            </xdr:cNvSpPr>
          </xdr:nvSpPr>
          <xdr:spPr>
            <a:xfrm>
              <a:off x="15862935" y="5105401"/>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tick M" refreshedDate="44527.120621064816" createdVersion="7" refreshedVersion="7" minRefreshableVersion="3" recordCount="80" xr:uid="{321A92AB-924E-48D6-A270-BDCF5D56AD39}">
  <cacheSource type="worksheet">
    <worksheetSource name="data"/>
  </cacheSource>
  <cacheFields count="11">
    <cacheField name="product" numFmtId="0">
      <sharedItems/>
    </cacheField>
    <cacheField name="review" numFmtId="0">
      <sharedItems containsSemiMixedTypes="0" containsString="0" containsNumber="1" minValue="2" maxValue="2559"/>
    </cacheField>
    <cacheField name="price" numFmtId="0">
      <sharedItems containsSemiMixedTypes="0" containsString="0" containsNumber="1" containsInteger="1" minValue="54990" maxValue="441990"/>
    </cacheField>
    <cacheField name="rating" numFmtId="0">
      <sharedItems containsSemiMixedTypes="0" containsString="0" containsNumber="1" minValue="3" maxValue="5" count="9">
        <n v="4.4000000000000004"/>
        <n v="4.5"/>
        <n v="4.5999999999999996"/>
        <n v="4.7"/>
        <n v="4.2"/>
        <n v="4"/>
        <n v="4.3"/>
        <n v="5"/>
        <n v="3"/>
      </sharedItems>
    </cacheField>
    <cacheField name="discounted price" numFmtId="0">
      <sharedItems containsSemiMixedTypes="0" containsString="0" containsNumber="1" minValue="0" maxValue="63447.3"/>
    </cacheField>
    <cacheField name="total price" numFmtId="0">
      <sharedItems containsSemiMixedTypes="0" containsString="0" containsNumber="1" minValue="39592.800000000003" maxValue="441990"/>
    </cacheField>
    <cacheField name="offers" numFmtId="0">
      <sharedItems count="19">
        <s v="No Cost EMI from10,832/month"/>
        <s v="No Cost EMI from12,832/month"/>
        <s v="No Cost EMI from11,499/month"/>
        <s v="No Cost EMI from17,665/month"/>
        <s v="No Cost EMI from14,999/month"/>
        <s v="No Cost EMI from13,332/month"/>
        <s v="NO EMI Option"/>
        <s v="No Cost EMI from9,165/month"/>
        <s v="No Cost EMI from10,165/month"/>
        <s v="No Cost EMI from15,499/month"/>
        <s v="No Cost EMI from16,665/month"/>
        <s v="No Cost EMI from20,832/month"/>
        <s v="No Cost EMI from14,665/month"/>
        <s v="No Cost EMI from17,832/month"/>
        <s v="No Cost EMI from15,832/month"/>
        <s v="No Cost EMI from24,332/month"/>
        <s v="No Cost EMI from27,499/month"/>
        <s v="No Cost EMI from18,915/month"/>
        <s v="No Cost EMI from23,332/month"/>
      </sharedItems>
    </cacheField>
    <cacheField name="speci 1" numFmtId="0">
      <sharedItems count="7">
        <s v="15.6 Inch"/>
        <s v="17.3 Inch"/>
        <s v="14 inch"/>
        <s v="17.3 inches"/>
        <s v="13.4 inch"/>
        <s v="15.6 inches"/>
        <s v="16 inch"/>
      </sharedItems>
    </cacheField>
    <cacheField name="speci 2" numFmtId="0">
      <sharedItems count="18">
        <s v=" Black Plastic"/>
        <s v=" Plastic Grey"/>
        <s v=" Graphite Black"/>
        <s v=" Transparent Silver"/>
        <s v=" Star Black"/>
        <s v=" Eclipse Gray"/>
        <s v=" Eclipse Grey"/>
        <s v=" Moonlight White"/>
        <s v=" Black"/>
        <s v=" Celestial Blue"/>
        <s v=" Electro Punk"/>
        <s v=" Gray W&amp;LED"/>
        <s v=" Gun Metal"/>
        <s v=" Off Black"/>
        <s v=" Off-Black"/>
        <s v=" Black Metal"/>
        <s v=" White"/>
        <s v=" Black Aluminum"/>
      </sharedItems>
    </cacheField>
    <cacheField name="speci 3" numFmtId="0">
      <sharedItems/>
    </cacheField>
    <cacheField name="speci 4" numFmtId="0">
      <sharedItems count="2">
        <s v=" With MS Office"/>
        <s v="No Offers"/>
      </sharedItems>
    </cacheField>
  </cacheFields>
  <extLst>
    <ext xmlns:x14="http://schemas.microsoft.com/office/spreadsheetml/2009/9/main" uri="{725AE2AE-9491-48be-B2B4-4EB974FC3084}">
      <x14:pivotCacheDefinition pivotCacheId="1031657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s v="ASUS TUF Gaming F15 Core i5 10th Gen - (8 GB/512 GB SSD..."/>
    <n v="1942"/>
    <n v="64990"/>
    <x v="0"/>
    <n v="17547.3"/>
    <n v="47442.7"/>
    <x v="0"/>
    <x v="0"/>
    <x v="0"/>
    <s v=" 2.3 KG"/>
    <x v="0"/>
  </r>
  <r>
    <s v="ASUS ROG Strix G15 (2021) Ryzen 7 Octa Core 4800H - (8 ..."/>
    <n v="74"/>
    <n v="76990"/>
    <x v="0"/>
    <n v="11548.5"/>
    <n v="65441.5"/>
    <x v="1"/>
    <x v="0"/>
    <x v="1"/>
    <s v=" 2.10 Kg"/>
    <x v="1"/>
  </r>
  <r>
    <s v="ASUS ASUS TUF Gaming Core i5 10th Gen - (16 GB/512 GB S..."/>
    <n v="380"/>
    <n v="68990"/>
    <x v="1"/>
    <n v="15867.7"/>
    <n v="53122.3"/>
    <x v="2"/>
    <x v="0"/>
    <x v="0"/>
    <s v=" 2.30 kg"/>
    <x v="1"/>
  </r>
  <r>
    <s v="ASUS ASUS TUF Gaming Core i7 11th Gen - (16 GB/1 TB SSD..."/>
    <n v="121"/>
    <n v="105990"/>
    <x v="2"/>
    <n v="23317.8"/>
    <n v="82672.2"/>
    <x v="3"/>
    <x v="0"/>
    <x v="2"/>
    <s v=" 2.30 kg"/>
    <x v="1"/>
  </r>
  <r>
    <s v="ASUS ASUS TUF Gaming Core i5 11th Gen - (8 GB/1 TB SSD/..."/>
    <n v="27"/>
    <n v="89990"/>
    <x v="2"/>
    <n v="20697.7"/>
    <n v="69292.3"/>
    <x v="4"/>
    <x v="0"/>
    <x v="2"/>
    <s v=" 2.30 kg"/>
    <x v="1"/>
  </r>
  <r>
    <s v="ASUS Core i7 10th Gen - (8 GB/1 TB SSD/Windows 10 Home/..."/>
    <n v="90"/>
    <n v="79990"/>
    <x v="0"/>
    <n v="1599.8"/>
    <n v="78390.2"/>
    <x v="5"/>
    <x v="0"/>
    <x v="0"/>
    <s v=" 2.30 kg"/>
    <x v="1"/>
  </r>
  <r>
    <s v="ASUS Vivobook 15 Core i5 11th Gen - (8 GB/1 TB HDD/256 ..."/>
    <n v="3"/>
    <n v="60980"/>
    <x v="3"/>
    <n v="13415.6"/>
    <n v="47564.4"/>
    <x v="6"/>
    <x v="0"/>
    <x v="3"/>
    <s v=" With MS Office"/>
    <x v="1"/>
  </r>
  <r>
    <s v="ASUS Vivobook Gaming Core i5 9th Gen - (8 GB/512 GB SSD..."/>
    <n v="1310"/>
    <n v="54990"/>
    <x v="0"/>
    <n v="15397.2"/>
    <n v="39592.800000000003"/>
    <x v="7"/>
    <x v="0"/>
    <x v="4"/>
    <s v=" 2.14 Kg"/>
    <x v="0"/>
  </r>
  <r>
    <s v="ASUS TUF Gaming F15 Core i5 10th Gen - (8 GB/512 GB SSD..."/>
    <n v="2559"/>
    <n v="60990"/>
    <x v="1"/>
    <n v="15247.5"/>
    <n v="45742.5"/>
    <x v="8"/>
    <x v="0"/>
    <x v="0"/>
    <s v=" 2.3 KG"/>
    <x v="1"/>
  </r>
  <r>
    <s v="ASUS TUF Gaming F17 (2021) Core i5 11th Gen - (8 GB/1 T..."/>
    <n v="112"/>
    <n v="92990"/>
    <x v="1"/>
    <n v="17668.099999999999"/>
    <n v="75321.899999999994"/>
    <x v="9"/>
    <x v="1"/>
    <x v="2"/>
    <s v=" 2.6 KG"/>
    <x v="1"/>
  </r>
  <r>
    <s v="ASUS ROG Zephyrus G15 Ryzen 9 Octa Core 5900HS - (16 GB..."/>
    <n v="69"/>
    <n v="143990"/>
    <x v="4"/>
    <n v="33117.699999999997"/>
    <n v="110872.3"/>
    <x v="6"/>
    <x v="0"/>
    <x v="5"/>
    <s v=" 1.90 Kg"/>
    <x v="0"/>
  </r>
  <r>
    <s v="ASUS TUF Dash F15 Core i5 11th Gen - (8 GB/1 TB SSD/Win..."/>
    <n v="2.5"/>
    <n v="89990"/>
    <x v="5"/>
    <n v="18897.900000000001"/>
    <n v="71092.100000000006"/>
    <x v="6"/>
    <x v="0"/>
    <x v="6"/>
    <s v=" 2. Kg"/>
    <x v="1"/>
  </r>
  <r>
    <s v="ASUS ASUS TUF Dash Core i5 11th Gen - (16 GB/512 GB SSD..."/>
    <n v="2.5"/>
    <n v="89990"/>
    <x v="5"/>
    <n v="18897.900000000001"/>
    <n v="71092.100000000006"/>
    <x v="6"/>
    <x v="0"/>
    <x v="7"/>
    <s v=" 2.00 kg"/>
    <x v="1"/>
  </r>
  <r>
    <s v="ASUS TUF Dash F15 (2021) Core i5 11th Gen - (16 GB/512 ..."/>
    <n v="165"/>
    <n v="99990"/>
    <x v="0"/>
    <n v="3999.6"/>
    <n v="95990.399999999994"/>
    <x v="10"/>
    <x v="0"/>
    <x v="7"/>
    <s v=" 2 KG"/>
    <x v="0"/>
  </r>
  <r>
    <s v="ASUS TUF Core i5 10th Gen - (8 GB/1 TB SSD/Windows 10 H..."/>
    <n v="23"/>
    <n v="64990"/>
    <x v="6"/>
    <n v="13647.9"/>
    <n v="51342.1"/>
    <x v="6"/>
    <x v="0"/>
    <x v="0"/>
    <s v=" 2.30 kg"/>
    <x v="1"/>
  </r>
  <r>
    <s v="ASUS ROG Strix Ryzen 9 Octa Core 5900HX - (16 GB/1 TB S..."/>
    <n v="2.5"/>
    <n v="124990"/>
    <x v="5"/>
    <n v="28747.7"/>
    <n v="96242.3"/>
    <x v="11"/>
    <x v="0"/>
    <x v="5"/>
    <s v=" 2.10 Kg"/>
    <x v="1"/>
  </r>
  <r>
    <s v="ASUS ROG Strix G17 Ryzen 9 Octa Core AMD Ryzen™ 9 5900H..."/>
    <n v="2.5"/>
    <n v="124990"/>
    <x v="5"/>
    <n v="23748.1"/>
    <n v="101241.9"/>
    <x v="6"/>
    <x v="1"/>
    <x v="8"/>
    <s v=" 2.5 kg"/>
    <x v="1"/>
  </r>
  <r>
    <s v="ASUS Core i7 10th Gen - (32 GB/1 TB SSD/Windows 10 Home..."/>
    <n v="6"/>
    <n v="225990"/>
    <x v="1"/>
    <n v="38418.300000000003"/>
    <n v="187571.7"/>
    <x v="6"/>
    <x v="0"/>
    <x v="9"/>
    <s v=" 2.50 kg"/>
    <x v="1"/>
  </r>
  <r>
    <s v="ASUS ROG Strix G15 (2021) Ryzen 5 Hexa Core 5600H - (8 ..."/>
    <n v="95"/>
    <n v="87990"/>
    <x v="1"/>
    <n v="20237.7"/>
    <n v="67752.3"/>
    <x v="12"/>
    <x v="0"/>
    <x v="5"/>
    <s v=" 2.1 KG"/>
    <x v="1"/>
  </r>
  <r>
    <s v="ASUS ROG Strix G15 Ryzen 7 Octa Core AMD Ryzen™ 7 4800H..."/>
    <n v="2.5"/>
    <n v="92990"/>
    <x v="5"/>
    <n v="21387.7"/>
    <n v="71602.3"/>
    <x v="6"/>
    <x v="0"/>
    <x v="10"/>
    <s v=" 2.30 kg"/>
    <x v="1"/>
  </r>
  <r>
    <s v="ASUS TUF Dash F15 Core i5 11th Gen - (8 GB/1 TB SSD/Win..."/>
    <n v="2.5"/>
    <n v="86990"/>
    <x v="5"/>
    <n v="16528.099999999999"/>
    <n v="70461.899999999994"/>
    <x v="6"/>
    <x v="0"/>
    <x v="7"/>
    <s v=" 2. Kg"/>
    <x v="1"/>
  </r>
  <r>
    <s v="ASUS ROG Zephyrus G14 Ryzen 9 Octa Core 4900HS - (16 GB..."/>
    <n v="102"/>
    <n v="106990"/>
    <x v="2"/>
    <n v="20328.099999999999"/>
    <n v="86661.9"/>
    <x v="13"/>
    <x v="2"/>
    <x v="11"/>
    <s v=" 1.6 Kg"/>
    <x v="0"/>
  </r>
  <r>
    <s v="ASUS F17 Core i5 11th Gen - (8 GB/1 TB SSD/Windows 10 H..."/>
    <n v="2.5"/>
    <n v="85990"/>
    <x v="5"/>
    <n v="22357.4"/>
    <n v="63632.6"/>
    <x v="6"/>
    <x v="1"/>
    <x v="5"/>
    <s v=" 2.6 KG"/>
    <x v="1"/>
  </r>
  <r>
    <s v="ASUS F15 (2021) Core i5 11th Gen - (8 GB/1 TB SSD/Windo..."/>
    <n v="2.5"/>
    <n v="86990"/>
    <x v="5"/>
    <n v="21747.5"/>
    <n v="65242.5"/>
    <x v="6"/>
    <x v="0"/>
    <x v="2"/>
    <s v=" 2.3 KG"/>
    <x v="1"/>
  </r>
  <r>
    <s v="ASUS TUF(The Ultimate Force) Core i5 8th Gen - (8 GB/1 ..."/>
    <n v="2.5"/>
    <n v="73990"/>
    <x v="5"/>
    <n v="9618.7000000000007"/>
    <n v="64371.3"/>
    <x v="6"/>
    <x v="0"/>
    <x v="12"/>
    <s v=" 2.3 KG"/>
    <x v="1"/>
  </r>
  <r>
    <s v="ASUS ASUS TUF Gaming F17 Core i5 11th Gen - (8 GB/512 G..."/>
    <n v="27"/>
    <n v="92990"/>
    <x v="1"/>
    <n v="11158.8"/>
    <n v="81831.199999999997"/>
    <x v="6"/>
    <x v="3"/>
    <x v="2"/>
    <s v=" 2.60 kg"/>
    <x v="1"/>
  </r>
  <r>
    <s v="ASUS TUF Gaming F15 (2021) Core i5 11th Gen - (16 GB/51..."/>
    <n v="60"/>
    <n v="94990"/>
    <x v="2"/>
    <n v="24697.4"/>
    <n v="70292.600000000006"/>
    <x v="14"/>
    <x v="0"/>
    <x v="2"/>
    <s v=" 2.3 KG"/>
    <x v="1"/>
  </r>
  <r>
    <s v="ASUS Zephyrus S17 (2021) Core i9 11th Gen - (32 GB/3 TB..."/>
    <n v="2.5"/>
    <n v="441990"/>
    <x v="5"/>
    <n v="0"/>
    <n v="441990"/>
    <x v="6"/>
    <x v="1"/>
    <x v="13"/>
    <s v=" 2.60 kg"/>
    <x v="0"/>
  </r>
  <r>
    <s v="ASUS ROG Flow X13 Ryzen 7 Octa Core 5800HS - (16 GB/1 T..."/>
    <n v="54"/>
    <n v="124990"/>
    <x v="1"/>
    <n v="28747.7"/>
    <n v="96242.3"/>
    <x v="11"/>
    <x v="4"/>
    <x v="13"/>
    <s v=" 1.30 kg"/>
    <x v="0"/>
  </r>
  <r>
    <s v="ASUS ROG Zephyrus G15 Ryzen 9 Octa Core 5900HS - (16 GB..."/>
    <n v="28"/>
    <n v="145990"/>
    <x v="5"/>
    <n v="33577.699999999997"/>
    <n v="112412.3"/>
    <x v="15"/>
    <x v="5"/>
    <x v="7"/>
    <s v=" 1.90 Kg"/>
    <x v="0"/>
  </r>
  <r>
    <s v="ASUS ASUS TUF Dash Series Core i5 11th Gen - (16 GB/512..."/>
    <n v="2.5"/>
    <n v="105590"/>
    <x v="5"/>
    <n v="19006.2"/>
    <n v="86583.8"/>
    <x v="6"/>
    <x v="0"/>
    <x v="6"/>
    <s v=" 2. Kg"/>
    <x v="0"/>
  </r>
  <r>
    <s v="ASUS Core i9 10th Gen - (32 GB/1 TB SSD/Windows 10 Home..."/>
    <n v="3"/>
    <n v="249990"/>
    <x v="7"/>
    <n v="57497.7"/>
    <n v="192492.3"/>
    <x v="6"/>
    <x v="0"/>
    <x v="9"/>
    <s v=" 2.50 kg"/>
    <x v="1"/>
  </r>
  <r>
    <s v="ASUS TUF Dash F15 Core i5 11th Gen - (16 GB/1 TB SSD/Wi..."/>
    <n v="2.5"/>
    <n v="100990"/>
    <x v="5"/>
    <n v="18178.2"/>
    <n v="82811.8"/>
    <x v="6"/>
    <x v="0"/>
    <x v="6"/>
    <s v=" 2. Kg"/>
    <x v="0"/>
  </r>
  <r>
    <s v="ASUS Core i5 5th Gen - (16 GB/512 GB SSD/Windows 10/4 G..."/>
    <n v="2.5"/>
    <n v="94990"/>
    <x v="5"/>
    <n v="17098.2"/>
    <n v="77891.8"/>
    <x v="6"/>
    <x v="1"/>
    <x v="2"/>
    <s v="No Offer"/>
    <x v="1"/>
  </r>
  <r>
    <s v="ASUS ROG Flow X13 Ryzen 9 Octa Core 5900HS - (32 GB/1 T..."/>
    <n v="2.5"/>
    <n v="164990"/>
    <x v="5"/>
    <n v="37947.699999999997"/>
    <n v="127042.3"/>
    <x v="16"/>
    <x v="4"/>
    <x v="14"/>
    <s v=" 1.30 kg"/>
    <x v="0"/>
  </r>
  <r>
    <s v="ASUS ROG Zephyrus S15 Core i7 10th Gen - (32 GB/1 TB SS..."/>
    <n v="2.5"/>
    <n v="234990"/>
    <x v="5"/>
    <n v="63447.3"/>
    <n v="171542.7"/>
    <x v="6"/>
    <x v="0"/>
    <x v="15"/>
    <s v=" 1.90 Kg"/>
    <x v="1"/>
  </r>
  <r>
    <s v="ASUS ROG Zephyrus G14 (2020) Ryzen 9 Octa Core - (16 GB..."/>
    <n v="2.5"/>
    <n v="129990"/>
    <x v="5"/>
    <n v="42896.7"/>
    <n v="87093.3"/>
    <x v="6"/>
    <x v="2"/>
    <x v="11"/>
    <s v=" 1.70 Kg"/>
    <x v="0"/>
  </r>
  <r>
    <s v="ASUS ROG Zephyrus G14 Ryzen 7 Octa Core AMD Ryzen™ 7 58..."/>
    <n v="2.5"/>
    <n v="94990"/>
    <x v="5"/>
    <n v="20897.8"/>
    <n v="74092.2"/>
    <x v="6"/>
    <x v="2"/>
    <x v="16"/>
    <s v=" 1.6 Kg"/>
    <x v="0"/>
  </r>
  <r>
    <s v="ASUS ROG Core i7 7th Gen - (8 GB/1 TB HDD/256 GB SSD/Wi..."/>
    <n v="2"/>
    <n v="146490"/>
    <x v="8"/>
    <n v="0"/>
    <n v="146490"/>
    <x v="6"/>
    <x v="0"/>
    <x v="17"/>
    <s v=" 2.24 kg"/>
    <x v="1"/>
  </r>
  <r>
    <s v="ASUS TUF Gaming F15 (2021) Core i7 11th Gen - (8 GB/1 T..."/>
    <n v="2.5"/>
    <n v="113490"/>
    <x v="5"/>
    <n v="12483.9"/>
    <n v="101006.1"/>
    <x v="17"/>
    <x v="0"/>
    <x v="2"/>
    <s v=" 2.3 KG"/>
    <x v="1"/>
  </r>
  <r>
    <s v="ASUS TUF Dash F15 (2021) Core i5 11th Gen - (16 GB/512 ..."/>
    <n v="165"/>
    <n v="99990"/>
    <x v="0"/>
    <n v="3999.6"/>
    <n v="95990.399999999994"/>
    <x v="10"/>
    <x v="0"/>
    <x v="7"/>
    <s v=" 2 KG"/>
    <x v="0"/>
  </r>
  <r>
    <s v="ASUS TUF Gaming F17 (2021) Core i5 11th Gen - (8 GB/1 T..."/>
    <n v="112"/>
    <n v="92990"/>
    <x v="1"/>
    <n v="17668.099999999999"/>
    <n v="75321.899999999994"/>
    <x v="9"/>
    <x v="1"/>
    <x v="2"/>
    <s v=" 2.6 KG"/>
    <x v="1"/>
  </r>
  <r>
    <s v="ASUS TUF Gaming F15 Core i5 10th Gen - (8 GB/512 GB SSD..."/>
    <n v="1942"/>
    <n v="64990"/>
    <x v="0"/>
    <n v="17547.3"/>
    <n v="47442.7"/>
    <x v="0"/>
    <x v="0"/>
    <x v="0"/>
    <s v=" 2.3 KG"/>
    <x v="0"/>
  </r>
  <r>
    <s v="ASUS ROG Strix G15 (2021) Ryzen 7 Octa Core 4800H - (8 ..."/>
    <n v="74"/>
    <n v="76990"/>
    <x v="0"/>
    <n v="11548.5"/>
    <n v="65441.5"/>
    <x v="1"/>
    <x v="0"/>
    <x v="1"/>
    <s v=" 2.10 Kg"/>
    <x v="1"/>
  </r>
  <r>
    <s v="ASUS ASUS TUF Gaming Core i5 10th Gen - (16 GB/512 GB S..."/>
    <n v="380"/>
    <n v="68990"/>
    <x v="1"/>
    <n v="15867.7"/>
    <n v="53122.3"/>
    <x v="2"/>
    <x v="0"/>
    <x v="0"/>
    <s v=" 2.30 kg"/>
    <x v="1"/>
  </r>
  <r>
    <s v="ASUS ASUS TUF Gaming Core i5 11th Gen - (8 GB/1 TB SSD/..."/>
    <n v="27"/>
    <n v="89990"/>
    <x v="2"/>
    <n v="20697.7"/>
    <n v="69292.3"/>
    <x v="4"/>
    <x v="0"/>
    <x v="2"/>
    <s v=" 2.30 kg"/>
    <x v="1"/>
  </r>
  <r>
    <s v="ASUS Vivobook 15 Core i5 11th Gen - (8 GB/1 TB HDD/256 ..."/>
    <n v="3"/>
    <n v="60980"/>
    <x v="3"/>
    <n v="13415.6"/>
    <n v="47564.4"/>
    <x v="6"/>
    <x v="0"/>
    <x v="3"/>
    <s v=" With MS Office"/>
    <x v="1"/>
  </r>
  <r>
    <s v="ASUS ASUS TUF Gaming Core i7 11th Gen - (16 GB/1 TB SSD..."/>
    <n v="121"/>
    <n v="105990"/>
    <x v="2"/>
    <n v="23317.8"/>
    <n v="82672.2"/>
    <x v="3"/>
    <x v="0"/>
    <x v="2"/>
    <s v=" 2.30 kg"/>
    <x v="1"/>
  </r>
  <r>
    <s v="ASUS TUF Gaming F15 Core i5 10th Gen - (8 GB/512 GB SSD..."/>
    <n v="2559"/>
    <n v="60990"/>
    <x v="1"/>
    <n v="15247.5"/>
    <n v="45742.5"/>
    <x v="8"/>
    <x v="0"/>
    <x v="0"/>
    <s v=" 2.3 KG"/>
    <x v="1"/>
  </r>
  <r>
    <s v="ASUS ROG Zephyrus G15 Ryzen 9 Octa Core 5900HS - (16 GB..."/>
    <n v="69"/>
    <n v="143990"/>
    <x v="4"/>
    <n v="33117.699999999997"/>
    <n v="110872.3"/>
    <x v="6"/>
    <x v="0"/>
    <x v="5"/>
    <s v=" 1.90 Kg"/>
    <x v="0"/>
  </r>
  <r>
    <s v="ASUS ASUS TUF Dash Core i5 11th Gen - (16 GB/512 GB SSD..."/>
    <n v="2.5"/>
    <n v="89990"/>
    <x v="5"/>
    <n v="18897.900000000001"/>
    <n v="71092.100000000006"/>
    <x v="6"/>
    <x v="0"/>
    <x v="7"/>
    <s v=" 2.00 kg"/>
    <x v="1"/>
  </r>
  <r>
    <s v="ASUS ROG Strix G17 Ryzen 9 Octa Core AMD Ryzen™ 9 5900H..."/>
    <n v="2.5"/>
    <n v="124990"/>
    <x v="5"/>
    <n v="23748.1"/>
    <n v="101241.9"/>
    <x v="6"/>
    <x v="1"/>
    <x v="8"/>
    <s v=" 2.5 kg"/>
    <x v="1"/>
  </r>
  <r>
    <s v="ASUS Core i7 10th Gen - (32 GB/1 TB SSD/Windows 10 Home..."/>
    <n v="6"/>
    <n v="225990"/>
    <x v="1"/>
    <n v="38418.300000000003"/>
    <n v="187571.7"/>
    <x v="6"/>
    <x v="0"/>
    <x v="9"/>
    <s v=" 2.50 kg"/>
    <x v="1"/>
  </r>
  <r>
    <s v="ASUS ROG Strix G15 (2021) Ryzen 5 Hexa Core 5600H - (8 ..."/>
    <n v="95"/>
    <n v="87990"/>
    <x v="1"/>
    <n v="20237.7"/>
    <n v="67752.3"/>
    <x v="12"/>
    <x v="0"/>
    <x v="5"/>
    <s v=" 2.1 KG"/>
    <x v="1"/>
  </r>
  <r>
    <s v="ASUS ROG Strix G15 Ryzen 7 Octa Core AMD Ryzen™ 7 4800H..."/>
    <n v="2.5"/>
    <n v="92990"/>
    <x v="5"/>
    <n v="21387.7"/>
    <n v="71602.3"/>
    <x v="6"/>
    <x v="0"/>
    <x v="10"/>
    <s v=" 2.30 kg"/>
    <x v="1"/>
  </r>
  <r>
    <s v="ASUS TUF Dash F15 Core i5 11th Gen - (8 GB/1 TB SSD/Win..."/>
    <n v="2.5"/>
    <n v="86990"/>
    <x v="5"/>
    <n v="16528.099999999999"/>
    <n v="70461.899999999994"/>
    <x v="6"/>
    <x v="0"/>
    <x v="7"/>
    <s v=" 2. Kg"/>
    <x v="1"/>
  </r>
  <r>
    <s v="ASUS ROG Zephyrus G14 Ryzen 9 Octa Core 4900HS - (16 GB..."/>
    <n v="102"/>
    <n v="106990"/>
    <x v="2"/>
    <n v="20328.099999999999"/>
    <n v="86661.9"/>
    <x v="13"/>
    <x v="2"/>
    <x v="11"/>
    <s v=" 1.6 Kg"/>
    <x v="0"/>
  </r>
  <r>
    <s v="ASUS F17 Core i5 11th Gen - (8 GB/1 TB SSD/Windows 10 H..."/>
    <n v="2.5"/>
    <n v="85990"/>
    <x v="5"/>
    <n v="22357.4"/>
    <n v="63632.6"/>
    <x v="6"/>
    <x v="1"/>
    <x v="5"/>
    <s v=" 2.6 KG"/>
    <x v="1"/>
  </r>
  <r>
    <s v="ASUS F15 (2021) Core i5 11th Gen - (8 GB/1 TB SSD/Windo..."/>
    <n v="2.5"/>
    <n v="86990"/>
    <x v="5"/>
    <n v="21747.5"/>
    <n v="65242.5"/>
    <x v="6"/>
    <x v="0"/>
    <x v="2"/>
    <s v=" 2.3 KG"/>
    <x v="1"/>
  </r>
  <r>
    <s v="ASUS TUF(The Ultimate Force) Core i5 8th Gen - (8 GB/1 ..."/>
    <n v="2.5"/>
    <n v="73990"/>
    <x v="5"/>
    <n v="9618.7000000000007"/>
    <n v="64371.3"/>
    <x v="6"/>
    <x v="0"/>
    <x v="12"/>
    <s v=" 2.3 KG"/>
    <x v="1"/>
  </r>
  <r>
    <s v="ASUS TUF Gaming F15 (2021) Core i5 11th Gen - (16 GB/51..."/>
    <n v="60"/>
    <n v="94990"/>
    <x v="2"/>
    <n v="24697.4"/>
    <n v="70292.600000000006"/>
    <x v="14"/>
    <x v="0"/>
    <x v="2"/>
    <s v=" 2.3 KG"/>
    <x v="1"/>
  </r>
  <r>
    <s v="ASUS ASUS TUF Gaming F17 Core i5 11th Gen - (8 GB/512 G..."/>
    <n v="27"/>
    <n v="92990"/>
    <x v="1"/>
    <n v="11158.8"/>
    <n v="81831.199999999997"/>
    <x v="6"/>
    <x v="3"/>
    <x v="2"/>
    <s v=" 2.60 kg"/>
    <x v="1"/>
  </r>
  <r>
    <s v="ASUS Zephyrus S17 (2021) Core i9 11th Gen - (32 GB/3 TB..."/>
    <n v="2.5"/>
    <n v="441990"/>
    <x v="5"/>
    <n v="0"/>
    <n v="441990"/>
    <x v="6"/>
    <x v="1"/>
    <x v="13"/>
    <s v=" 2.60 kg"/>
    <x v="0"/>
  </r>
  <r>
    <s v="ASUS ROG Zephyrus G15 Ryzen 9 Octa Core 5900HS - (16 GB..."/>
    <n v="28"/>
    <n v="145990"/>
    <x v="5"/>
    <n v="33577.699999999997"/>
    <n v="112412.3"/>
    <x v="15"/>
    <x v="5"/>
    <x v="7"/>
    <s v=" 1.90 Kg"/>
    <x v="0"/>
  </r>
  <r>
    <s v="ASUS ROG Flow X13 Ryzen 7 Octa Core 5800HS - (16 GB/1 T..."/>
    <n v="54"/>
    <n v="124990"/>
    <x v="1"/>
    <n v="28747.7"/>
    <n v="96242.3"/>
    <x v="11"/>
    <x v="4"/>
    <x v="13"/>
    <s v=" 1.30 kg"/>
    <x v="0"/>
  </r>
  <r>
    <s v="ASUS Core i9 10th Gen - (32 GB/1 TB SSD/Windows 10 Home..."/>
    <n v="3"/>
    <n v="249990"/>
    <x v="7"/>
    <n v="57497.7"/>
    <n v="192492.3"/>
    <x v="6"/>
    <x v="0"/>
    <x v="9"/>
    <s v=" 2.50 kg"/>
    <x v="1"/>
  </r>
  <r>
    <s v="ASUS TUF Dash F15 Core i5 11th Gen - (16 GB/1 TB SSD/Wi..."/>
    <n v="2.5"/>
    <n v="100990"/>
    <x v="5"/>
    <n v="18178.2"/>
    <n v="82811.8"/>
    <x v="6"/>
    <x v="0"/>
    <x v="6"/>
    <s v=" 2. Kg"/>
    <x v="0"/>
  </r>
  <r>
    <s v="ASUS Core i5 5th Gen - (16 GB/512 GB SSD/Windows 10/4 G..."/>
    <n v="2.5"/>
    <n v="94990"/>
    <x v="5"/>
    <n v="17098.2"/>
    <n v="77891.8"/>
    <x v="6"/>
    <x v="1"/>
    <x v="2"/>
    <s v="No Offer"/>
    <x v="1"/>
  </r>
  <r>
    <s v="ASUS ROG Flow X13 Ryzen 9 Octa Core 5900HS - (32 GB/1 T..."/>
    <n v="2.5"/>
    <n v="164990"/>
    <x v="5"/>
    <n v="37947.699999999997"/>
    <n v="127042.3"/>
    <x v="16"/>
    <x v="4"/>
    <x v="14"/>
    <s v=" 1.30 kg"/>
    <x v="0"/>
  </r>
  <r>
    <s v="ASUS ROG Zephyrus S15 Core i7 10th Gen - (32 GB/1 TB SS..."/>
    <n v="2.5"/>
    <n v="234990"/>
    <x v="5"/>
    <n v="63447.3"/>
    <n v="171542.7"/>
    <x v="6"/>
    <x v="0"/>
    <x v="15"/>
    <s v=" 1.90 Kg"/>
    <x v="1"/>
  </r>
  <r>
    <s v="ASUS ROG Zephyrus G14 (2020) Ryzen 9 Octa Core - (16 GB..."/>
    <n v="2.5"/>
    <n v="129990"/>
    <x v="5"/>
    <n v="42896.7"/>
    <n v="87093.3"/>
    <x v="6"/>
    <x v="2"/>
    <x v="11"/>
    <s v=" 1.70 Kg"/>
    <x v="0"/>
  </r>
  <r>
    <s v="ASUS ROG Zephyrus G14 Ryzen 7 Octa Core AMD Ryzen™ 7 58..."/>
    <n v="2.5"/>
    <n v="94990"/>
    <x v="5"/>
    <n v="20897.8"/>
    <n v="74092.2"/>
    <x v="6"/>
    <x v="2"/>
    <x v="16"/>
    <s v=" 1.6 Kg"/>
    <x v="0"/>
  </r>
  <r>
    <s v="ASUS ROG Core i7 7th Gen - (8 GB/1 TB HDD/256 GB SSD/Wi..."/>
    <n v="2"/>
    <n v="146490"/>
    <x v="8"/>
    <n v="0"/>
    <n v="146490"/>
    <x v="6"/>
    <x v="0"/>
    <x v="17"/>
    <s v=" 2.24 kg"/>
    <x v="1"/>
  </r>
  <r>
    <s v="ASUS TUF Gaming F15 (2021) Core i7 11th Gen - (8 GB/1 T..."/>
    <n v="2.5"/>
    <n v="113490"/>
    <x v="5"/>
    <n v="12483.9"/>
    <n v="101006.1"/>
    <x v="17"/>
    <x v="0"/>
    <x v="2"/>
    <s v=" 2.3 KG"/>
    <x v="1"/>
  </r>
  <r>
    <s v="ASUS ROG Flow X13 (2021) Ryzen 9 Octa Core 5900HS - (16..."/>
    <n v="20"/>
    <n v="174989"/>
    <x v="4"/>
    <n v="0"/>
    <n v="174989"/>
    <x v="6"/>
    <x v="4"/>
    <x v="13"/>
    <s v=" 1.3 KG"/>
    <x v="0"/>
  </r>
  <r>
    <s v="ASUS Strix G15 Ryzen 7 Octa Core AMD Ryzen™ 7 4800H 4th..."/>
    <n v="2.5"/>
    <n v="78897"/>
    <x v="5"/>
    <n v="12623.52"/>
    <n v="66273.48"/>
    <x v="6"/>
    <x v="0"/>
    <x v="8"/>
    <s v=" 2.30 kg"/>
    <x v="0"/>
  </r>
  <r>
    <s v="ASUS ROG Flow X13 Ryzen 9 Octa Core 5900HS - (16 GB/1 T..."/>
    <n v="2.5"/>
    <n v="139990"/>
    <x v="5"/>
    <n v="27998"/>
    <n v="111992"/>
    <x v="18"/>
    <x v="4"/>
    <x v="14"/>
    <s v=" 1.30 kg"/>
    <x v="0"/>
  </r>
  <r>
    <s v="ASUS Zephyrus M16 (2021) Core i7 11th Gen - (16 GB/1 TB..."/>
    <n v="2.5"/>
    <n v="182988"/>
    <x v="5"/>
    <n v="31107.96"/>
    <n v="151880.04"/>
    <x v="6"/>
    <x v="6"/>
    <x v="13"/>
    <s v=" 1.90 Kg"/>
    <x v="0"/>
  </r>
  <r>
    <s v="ASUS ROG Strix Edition Core i7 7th Gen - (16 GB/1 TB HD..."/>
    <n v="2"/>
    <n v="139990"/>
    <x v="7"/>
    <n v="0"/>
    <n v="139990"/>
    <x v="6"/>
    <x v="0"/>
    <x v="8"/>
    <s v=" 2.6 KG"/>
    <x v="1"/>
  </r>
  <r>
    <s v="ASUS ROG Flow X13 (2021) Ryzen 9 Octa Core 5900HS - (16..."/>
    <n v="2.5"/>
    <n v="143500"/>
    <x v="5"/>
    <n v="37310"/>
    <n v="106190"/>
    <x v="6"/>
    <x v="4"/>
    <x v="8"/>
    <s v=" 1.30 kg"/>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59774E-D3F7-435D-8959-1EDB2D6A74CF}" name="PivotTable5"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L23:N43" firstHeaderRow="0" firstDataRow="1" firstDataCol="1"/>
  <pivotFields count="11">
    <pivotField showAll="0"/>
    <pivotField showAll="0"/>
    <pivotField dataField="1" showAll="0"/>
    <pivotField showAll="0">
      <items count="10">
        <item x="8"/>
        <item x="5"/>
        <item x="4"/>
        <item x="6"/>
        <item x="0"/>
        <item x="1"/>
        <item x="2"/>
        <item x="3"/>
        <item x="7"/>
        <item t="default"/>
      </items>
    </pivotField>
    <pivotField showAll="0"/>
    <pivotField dataField="1" showAll="0"/>
    <pivotField axis="axisRow" showAll="0" sortType="descending">
      <items count="20">
        <item x="8"/>
        <item x="0"/>
        <item x="2"/>
        <item x="1"/>
        <item x="5"/>
        <item x="12"/>
        <item x="4"/>
        <item x="9"/>
        <item x="14"/>
        <item x="10"/>
        <item x="3"/>
        <item x="13"/>
        <item x="17"/>
        <item x="11"/>
        <item x="18"/>
        <item x="15"/>
        <item x="16"/>
        <item x="7"/>
        <item x="6"/>
        <item t="default"/>
      </items>
      <autoSortScope>
        <pivotArea dataOnly="0" outline="0" fieldPosition="0">
          <references count="1">
            <reference field="4294967294" count="1" selected="0">
              <x v="0"/>
            </reference>
          </references>
        </pivotArea>
      </autoSortScope>
    </pivotField>
    <pivotField showAll="0">
      <items count="8">
        <item x="4"/>
        <item x="2"/>
        <item x="0"/>
        <item x="5"/>
        <item x="6"/>
        <item x="1"/>
        <item x="3"/>
        <item t="default"/>
      </items>
    </pivotField>
    <pivotField showAll="0">
      <items count="19">
        <item x="8"/>
        <item x="17"/>
        <item x="15"/>
        <item x="0"/>
        <item x="9"/>
        <item x="5"/>
        <item x="6"/>
        <item x="10"/>
        <item x="2"/>
        <item x="11"/>
        <item x="12"/>
        <item x="7"/>
        <item x="13"/>
        <item x="14"/>
        <item x="1"/>
        <item x="4"/>
        <item x="3"/>
        <item x="16"/>
        <item t="default"/>
      </items>
    </pivotField>
    <pivotField showAll="0"/>
    <pivotField showAll="0">
      <items count="3">
        <item x="0"/>
        <item x="1"/>
        <item t="default"/>
      </items>
    </pivotField>
  </pivotFields>
  <rowFields count="1">
    <field x="6"/>
  </rowFields>
  <rowItems count="20">
    <i>
      <x v="18"/>
    </i>
    <i>
      <x v="13"/>
    </i>
    <i>
      <x v="16"/>
    </i>
    <i>
      <x v="15"/>
    </i>
    <i>
      <x v="12"/>
    </i>
    <i>
      <x v="9"/>
    </i>
    <i>
      <x v="11"/>
    </i>
    <i>
      <x v="10"/>
    </i>
    <i>
      <x v="7"/>
    </i>
    <i>
      <x v="8"/>
    </i>
    <i>
      <x v="6"/>
    </i>
    <i>
      <x v="5"/>
    </i>
    <i>
      <x v="3"/>
    </i>
    <i>
      <x v="14"/>
    </i>
    <i>
      <x v="2"/>
    </i>
    <i>
      <x v="1"/>
    </i>
    <i>
      <x/>
    </i>
    <i>
      <x v="4"/>
    </i>
    <i>
      <x v="17"/>
    </i>
    <i t="grand">
      <x/>
    </i>
  </rowItems>
  <colFields count="1">
    <field x="-2"/>
  </colFields>
  <colItems count="2">
    <i>
      <x/>
    </i>
    <i i="1">
      <x v="1"/>
    </i>
  </colItems>
  <dataFields count="2">
    <dataField name="Sum of total price" fld="5" baseField="0" baseItem="0" numFmtId="164"/>
    <dataField name="Sum of price" fld="2" baseField="0" baseItem="0" numFmtId="164"/>
  </dataFields>
  <formats count="4">
    <format dxfId="75">
      <pivotArea collapsedLevelsAreSubtotals="1" fieldPosition="0">
        <references count="1">
          <reference field="6" count="0"/>
        </references>
      </pivotArea>
    </format>
    <format dxfId="74">
      <pivotArea dataOnly="0" labelOnly="1" fieldPosition="0">
        <references count="1">
          <reference field="6" count="0"/>
        </references>
      </pivotArea>
    </format>
    <format dxfId="69">
      <pivotArea outline="0" fieldPosition="0">
        <references count="1">
          <reference field="4294967294" count="1">
            <x v="0"/>
          </reference>
        </references>
      </pivotArea>
    </format>
    <format dxfId="68">
      <pivotArea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4185AC-5B5C-418F-963D-373E729A3239}" name="PT4"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6:B36" firstHeaderRow="1" firstDataRow="1" firstDataCol="1"/>
  <pivotFields count="11">
    <pivotField showAll="0"/>
    <pivotField showAll="0"/>
    <pivotField showAll="0"/>
    <pivotField axis="axisRow" showAll="0" sortType="descending">
      <items count="10">
        <item x="8"/>
        <item x="5"/>
        <item x="4"/>
        <item x="6"/>
        <item x="0"/>
        <item x="1"/>
        <item x="2"/>
        <item x="3"/>
        <item x="7"/>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items count="8">
        <item x="4"/>
        <item x="2"/>
        <item x="0"/>
        <item x="5"/>
        <item x="6"/>
        <item x="1"/>
        <item x="3"/>
        <item t="default"/>
      </items>
    </pivotField>
    <pivotField showAll="0">
      <items count="19">
        <item x="8"/>
        <item x="17"/>
        <item x="15"/>
        <item x="0"/>
        <item x="9"/>
        <item x="5"/>
        <item x="6"/>
        <item x="10"/>
        <item x="2"/>
        <item x="11"/>
        <item x="12"/>
        <item x="7"/>
        <item x="13"/>
        <item x="14"/>
        <item x="1"/>
        <item x="4"/>
        <item x="3"/>
        <item x="16"/>
        <item t="default"/>
      </items>
    </pivotField>
    <pivotField showAll="0"/>
    <pivotField showAll="0">
      <items count="3">
        <item x="0"/>
        <item x="1"/>
        <item t="default"/>
      </items>
    </pivotField>
  </pivotFields>
  <rowFields count="1">
    <field x="3"/>
  </rowFields>
  <rowItems count="10">
    <i>
      <x v="1"/>
    </i>
    <i>
      <x v="5"/>
    </i>
    <i>
      <x v="6"/>
    </i>
    <i>
      <x v="4"/>
    </i>
    <i>
      <x v="8"/>
    </i>
    <i>
      <x v="2"/>
    </i>
    <i>
      <x/>
    </i>
    <i>
      <x v="7"/>
    </i>
    <i>
      <x v="3"/>
    </i>
    <i t="grand">
      <x/>
    </i>
  </rowItems>
  <colItems count="1">
    <i/>
  </colItems>
  <dataFields count="1">
    <dataField name="Sum of total price" fld="5" baseField="0" baseItem="0" numFmtId="164"/>
  </dataFields>
  <formats count="3">
    <format dxfId="79">
      <pivotArea collapsedLevelsAreSubtotals="1" fieldPosition="0">
        <references count="1">
          <reference field="3" count="0"/>
        </references>
      </pivotArea>
    </format>
    <format dxfId="78">
      <pivotArea dataOnly="0" labelOnly="1" fieldPosition="0">
        <references count="1">
          <reference field="3" count="0"/>
        </references>
      </pivotArea>
    </format>
    <format dxfId="71">
      <pivotArea outline="0" fieldPosition="0">
        <references count="1">
          <reference field="4294967294" count="1">
            <x v="0"/>
          </reference>
        </references>
      </pivotArea>
    </format>
  </formats>
  <chartFormats count="2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5"/>
          </reference>
        </references>
      </pivotArea>
    </chartFormat>
    <chartFormat chart="1" format="4">
      <pivotArea type="data" outline="0" fieldPosition="0">
        <references count="2">
          <reference field="4294967294" count="1" selected="0">
            <x v="0"/>
          </reference>
          <reference field="3" count="1" selected="0">
            <x v="6"/>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8"/>
          </reference>
        </references>
      </pivotArea>
    </chartFormat>
    <chartFormat chart="1" format="7">
      <pivotArea type="data" outline="0" fieldPosition="0">
        <references count="2">
          <reference field="4294967294" count="1" selected="0">
            <x v="0"/>
          </reference>
          <reference field="3" count="1" selected="0">
            <x v="2"/>
          </reference>
        </references>
      </pivotArea>
    </chartFormat>
    <chartFormat chart="1" format="8">
      <pivotArea type="data" outline="0" fieldPosition="0">
        <references count="2">
          <reference field="4294967294" count="1" selected="0">
            <x v="0"/>
          </reference>
          <reference field="3" count="1" selected="0">
            <x v="0"/>
          </reference>
        </references>
      </pivotArea>
    </chartFormat>
    <chartFormat chart="1" format="9">
      <pivotArea type="data" outline="0" fieldPosition="0">
        <references count="2">
          <reference field="4294967294" count="1" selected="0">
            <x v="0"/>
          </reference>
          <reference field="3" count="1" selected="0">
            <x v="7"/>
          </reference>
        </references>
      </pivotArea>
    </chartFormat>
    <chartFormat chart="1" format="10">
      <pivotArea type="data" outline="0" fieldPosition="0">
        <references count="2">
          <reference field="4294967294" count="1" selected="0">
            <x v="0"/>
          </reference>
          <reference field="3" count="1" selected="0">
            <x v="3"/>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5"/>
          </reference>
        </references>
      </pivotArea>
    </chartFormat>
    <chartFormat chart="2" format="14">
      <pivotArea type="data" outline="0" fieldPosition="0">
        <references count="2">
          <reference field="4294967294" count="1" selected="0">
            <x v="0"/>
          </reference>
          <reference field="3" count="1" selected="0">
            <x v="6"/>
          </reference>
        </references>
      </pivotArea>
    </chartFormat>
    <chartFormat chart="2" format="15">
      <pivotArea type="data" outline="0" fieldPosition="0">
        <references count="2">
          <reference field="4294967294" count="1" selected="0">
            <x v="0"/>
          </reference>
          <reference field="3" count="1" selected="0">
            <x v="4"/>
          </reference>
        </references>
      </pivotArea>
    </chartFormat>
    <chartFormat chart="2" format="16">
      <pivotArea type="data" outline="0" fieldPosition="0">
        <references count="2">
          <reference field="4294967294" count="1" selected="0">
            <x v="0"/>
          </reference>
          <reference field="3" count="1" selected="0">
            <x v="8"/>
          </reference>
        </references>
      </pivotArea>
    </chartFormat>
    <chartFormat chart="2" format="17">
      <pivotArea type="data" outline="0" fieldPosition="0">
        <references count="2">
          <reference field="4294967294" count="1" selected="0">
            <x v="0"/>
          </reference>
          <reference field="3" count="1" selected="0">
            <x v="2"/>
          </reference>
        </references>
      </pivotArea>
    </chartFormat>
    <chartFormat chart="2" format="18">
      <pivotArea type="data" outline="0" fieldPosition="0">
        <references count="2">
          <reference field="4294967294" count="1" selected="0">
            <x v="0"/>
          </reference>
          <reference field="3" count="1" selected="0">
            <x v="0"/>
          </reference>
        </references>
      </pivotArea>
    </chartFormat>
    <chartFormat chart="2" format="19">
      <pivotArea type="data" outline="0" fieldPosition="0">
        <references count="2">
          <reference field="4294967294" count="1" selected="0">
            <x v="0"/>
          </reference>
          <reference field="3" count="1" selected="0">
            <x v="7"/>
          </reference>
        </references>
      </pivotArea>
    </chartFormat>
    <chartFormat chart="2" format="2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0FD6FA-E30E-467C-B19E-C707639C525A}" name="PT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L1:M20" firstHeaderRow="1" firstDataRow="1" firstDataCol="1"/>
  <pivotFields count="11">
    <pivotField showAll="0"/>
    <pivotField showAll="0"/>
    <pivotField showAll="0"/>
    <pivotField showAll="0">
      <items count="10">
        <item x="8"/>
        <item x="5"/>
        <item x="4"/>
        <item x="6"/>
        <item x="0"/>
        <item x="1"/>
        <item x="2"/>
        <item x="3"/>
        <item x="7"/>
        <item t="default"/>
      </items>
    </pivotField>
    <pivotField showAll="0"/>
    <pivotField dataField="1" showAll="0"/>
    <pivotField showAll="0"/>
    <pivotField showAll="0">
      <items count="8">
        <item x="4"/>
        <item x="2"/>
        <item x="0"/>
        <item x="5"/>
        <item x="6"/>
        <item x="1"/>
        <item x="3"/>
        <item t="default"/>
      </items>
    </pivotField>
    <pivotField axis="axisRow" showAll="0" sortType="ascending">
      <items count="19">
        <item x="8"/>
        <item x="17"/>
        <item x="15"/>
        <item x="0"/>
        <item x="9"/>
        <item x="5"/>
        <item x="6"/>
        <item x="10"/>
        <item x="2"/>
        <item x="11"/>
        <item x="12"/>
        <item x="7"/>
        <item x="13"/>
        <item x="14"/>
        <item x="1"/>
        <item x="4"/>
        <item x="3"/>
        <item x="16"/>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s>
  <rowFields count="1">
    <field x="8"/>
  </rowFields>
  <rowItems count="19">
    <i>
      <x v="15"/>
    </i>
    <i>
      <x v="16"/>
    </i>
    <i>
      <x v="10"/>
    </i>
    <i>
      <x v="14"/>
    </i>
    <i>
      <x v="7"/>
    </i>
    <i>
      <x v="17"/>
    </i>
    <i>
      <x v="1"/>
    </i>
    <i>
      <x v="6"/>
    </i>
    <i>
      <x v="2"/>
    </i>
    <i>
      <x v="9"/>
    </i>
    <i>
      <x v="13"/>
    </i>
    <i>
      <x v="3"/>
    </i>
    <i>
      <x/>
    </i>
    <i>
      <x v="5"/>
    </i>
    <i>
      <x v="11"/>
    </i>
    <i>
      <x v="4"/>
    </i>
    <i>
      <x v="8"/>
    </i>
    <i>
      <x v="12"/>
    </i>
    <i t="grand">
      <x/>
    </i>
  </rowItems>
  <colItems count="1">
    <i/>
  </colItems>
  <dataFields count="1">
    <dataField name="Sum of total price" fld="5" baseField="0" baseItem="0" numFmtId="164"/>
  </dataFields>
  <formats count="4">
    <format dxfId="77">
      <pivotArea collapsedLevelsAreSubtotals="1" fieldPosition="0">
        <references count="1">
          <reference field="8" count="0"/>
        </references>
      </pivotArea>
    </format>
    <format dxfId="76">
      <pivotArea dataOnly="0" labelOnly="1" fieldPosition="0">
        <references count="1">
          <reference field="8" count="0"/>
        </references>
      </pivotArea>
    </format>
    <format dxfId="73">
      <pivotArea dataOnly="0" fieldPosition="0">
        <references count="1">
          <reference field="8" count="0"/>
        </references>
      </pivotArea>
    </format>
    <format dxfId="7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4EA72C-545A-4C31-8D10-4CAC908F5E2B}" name="PT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3:B21" firstHeaderRow="1" firstDataRow="1" firstDataCol="1"/>
  <pivotFields count="11">
    <pivotField showAll="0"/>
    <pivotField showAll="0"/>
    <pivotField showAll="0"/>
    <pivotField showAll="0">
      <items count="10">
        <item x="8"/>
        <item x="5"/>
        <item x="4"/>
        <item x="6"/>
        <item x="0"/>
        <item x="1"/>
        <item x="2"/>
        <item x="3"/>
        <item x="7"/>
        <item t="default"/>
      </items>
    </pivotField>
    <pivotField showAll="0"/>
    <pivotField dataField="1" showAll="0"/>
    <pivotField showAll="0"/>
    <pivotField axis="axisRow" showAll="0" sortType="descending">
      <items count="8">
        <item x="4"/>
        <item x="2"/>
        <item x="0"/>
        <item x="5"/>
        <item x="6"/>
        <item x="1"/>
        <item x="3"/>
        <item t="default"/>
      </items>
      <autoSortScope>
        <pivotArea dataOnly="0" outline="0" fieldPosition="0">
          <references count="1">
            <reference field="4294967294" count="1" selected="0">
              <x v="0"/>
            </reference>
          </references>
        </pivotArea>
      </autoSortScope>
    </pivotField>
    <pivotField showAll="0">
      <items count="19">
        <item x="8"/>
        <item x="17"/>
        <item x="15"/>
        <item x="0"/>
        <item x="9"/>
        <item x="5"/>
        <item x="6"/>
        <item x="10"/>
        <item x="2"/>
        <item x="11"/>
        <item x="12"/>
        <item x="7"/>
        <item x="13"/>
        <item x="14"/>
        <item x="1"/>
        <item x="4"/>
        <item x="3"/>
        <item x="16"/>
        <item t="default"/>
      </items>
    </pivotField>
    <pivotField showAll="0"/>
    <pivotField showAll="0">
      <items count="3">
        <item x="0"/>
        <item x="1"/>
        <item t="default"/>
      </items>
    </pivotField>
  </pivotFields>
  <rowFields count="1">
    <field x="7"/>
  </rowFields>
  <rowItems count="8">
    <i>
      <x v="2"/>
    </i>
    <i>
      <x v="5"/>
    </i>
    <i>
      <x/>
    </i>
    <i>
      <x v="1"/>
    </i>
    <i>
      <x v="3"/>
    </i>
    <i>
      <x v="6"/>
    </i>
    <i>
      <x v="4"/>
    </i>
    <i t="grand">
      <x/>
    </i>
  </rowItems>
  <colItems count="1">
    <i/>
  </colItems>
  <dataFields count="1">
    <dataField name="Sum of total price" fld="5" baseField="0" baseItem="0" numFmtId="164"/>
  </dataFields>
  <formats count="3">
    <format dxfId="81">
      <pivotArea collapsedLevelsAreSubtotals="1" fieldPosition="0">
        <references count="1">
          <reference field="7" count="0"/>
        </references>
      </pivotArea>
    </format>
    <format dxfId="80">
      <pivotArea dataOnly="0" labelOnly="1" fieldPosition="0">
        <references count="1">
          <reference field="7" count="0"/>
        </references>
      </pivotArea>
    </format>
    <format dxfId="72">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7E3885-29E2-4A3B-9EB4-4203F0769891}" name="PT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 firstHeaderRow="1" firstDataRow="1" firstDataCol="1"/>
  <pivotFields count="11">
    <pivotField showAll="0"/>
    <pivotField showAll="0"/>
    <pivotField showAll="0"/>
    <pivotField dataField="1" showAll="0">
      <items count="10">
        <item x="8"/>
        <item x="5"/>
        <item x="4"/>
        <item x="6"/>
        <item x="0"/>
        <item x="1"/>
        <item x="2"/>
        <item x="3"/>
        <item x="7"/>
        <item t="default"/>
      </items>
    </pivotField>
    <pivotField showAll="0"/>
    <pivotField showAll="0"/>
    <pivotField showAll="0"/>
    <pivotField showAll="0">
      <items count="8">
        <item x="4"/>
        <item x="2"/>
        <item x="0"/>
        <item x="5"/>
        <item x="6"/>
        <item x="1"/>
        <item x="3"/>
        <item t="default"/>
      </items>
    </pivotField>
    <pivotField showAll="0">
      <items count="19">
        <item x="8"/>
        <item x="17"/>
        <item x="15"/>
        <item x="0"/>
        <item x="9"/>
        <item x="5"/>
        <item x="6"/>
        <item x="10"/>
        <item x="2"/>
        <item x="11"/>
        <item x="12"/>
        <item x="7"/>
        <item x="13"/>
        <item x="14"/>
        <item x="1"/>
        <item x="4"/>
        <item x="3"/>
        <item x="16"/>
        <item t="default"/>
      </items>
    </pivotField>
    <pivotField showAll="0"/>
    <pivotField axis="axisRow" showAll="0">
      <items count="3">
        <item x="0"/>
        <item x="1"/>
        <item t="default"/>
      </items>
    </pivotField>
  </pivotFields>
  <rowFields count="1">
    <field x="10"/>
  </rowFields>
  <rowItems count="3">
    <i>
      <x/>
    </i>
    <i>
      <x v="1"/>
    </i>
    <i t="grand">
      <x/>
    </i>
  </rowItems>
  <colItems count="1">
    <i/>
  </colItems>
  <dataFields count="1">
    <dataField name="Sum of rating" fld="3" baseField="0" baseItem="0"/>
  </dataFields>
  <formats count="2">
    <format dxfId="83">
      <pivotArea collapsedLevelsAreSubtotals="1" fieldPosition="0">
        <references count="1">
          <reference field="10" count="0"/>
        </references>
      </pivotArea>
    </format>
    <format dxfId="82">
      <pivotArea dataOnly="0" labelOnly="1" fieldPosition="0">
        <references count="1">
          <reference field="10" count="0"/>
        </references>
      </pivotArea>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315F687D-CC66-4BB8-AC00-88067A87BFFA}" sourceName="rating">
  <pivotTables>
    <pivotTable tabId="4" name="PT3"/>
    <pivotTable tabId="4" name="PivotTable5"/>
    <pivotTable tabId="4" name="PT1"/>
    <pivotTable tabId="4" name="PT2"/>
    <pivotTable tabId="4" name="PT4"/>
  </pivotTables>
  <data>
    <tabular pivotCacheId="1031657547">
      <items count="9">
        <i x="8" s="1"/>
        <i x="5" s="1"/>
        <i x="4" s="1"/>
        <i x="6" s="1"/>
        <i x="0" s="1"/>
        <i x="1" s="1"/>
        <i x="2" s="1"/>
        <i x="3"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_1" xr10:uid="{0249647B-2410-4172-93E9-2F92294B42E3}" sourceName="speci 1">
  <pivotTables>
    <pivotTable tabId="4" name="PT3"/>
    <pivotTable tabId="4" name="PivotTable5"/>
    <pivotTable tabId="4" name="PT1"/>
    <pivotTable tabId="4" name="PT2"/>
    <pivotTable tabId="4" name="PT4"/>
  </pivotTables>
  <data>
    <tabular pivotCacheId="1031657547">
      <items count="7">
        <i x="4" s="1"/>
        <i x="2" s="1"/>
        <i x="0" s="1"/>
        <i x="5" s="1"/>
        <i x="6"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_2" xr10:uid="{F1D929E8-0D99-4655-9493-7ACD119A2CDB}" sourceName="speci 2">
  <pivotTables>
    <pivotTable tabId="4" name="PT3"/>
    <pivotTable tabId="4" name="PivotTable5"/>
    <pivotTable tabId="4" name="PT1"/>
    <pivotTable tabId="4" name="PT2"/>
    <pivotTable tabId="4" name="PT4"/>
  </pivotTables>
  <data>
    <tabular pivotCacheId="1031657547">
      <items count="18">
        <i x="8" s="1"/>
        <i x="17" s="1"/>
        <i x="15" s="1"/>
        <i x="0" s="1"/>
        <i x="9" s="1"/>
        <i x="5" s="1"/>
        <i x="6" s="1"/>
        <i x="10" s="1"/>
        <i x="2" s="1"/>
        <i x="11" s="1"/>
        <i x="12" s="1"/>
        <i x="7" s="1"/>
        <i x="13" s="1"/>
        <i x="14" s="1"/>
        <i x="1" s="1"/>
        <i x="4" s="1"/>
        <i x="3" s="1"/>
        <i x="1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_4" xr10:uid="{D59D0491-7D4A-47CC-8729-B2F7E2278B9F}" sourceName="speci 4">
  <pivotTables>
    <pivotTable tabId="4" name="PT3"/>
    <pivotTable tabId="4" name="PivotTable5"/>
    <pivotTable tabId="4" name="PT1"/>
    <pivotTable tabId="4" name="PT2"/>
    <pivotTable tabId="4" name="PT4"/>
  </pivotTables>
  <data>
    <tabular pivotCacheId="103165754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E3BA61B9-3419-4A9C-8530-5CB14424B0B0}" cache="Slicer_rating" caption="rating" rowHeight="234950"/>
  <slicer name="speci 1" xr10:uid="{99BEB62E-CE72-4F6B-A65D-4046EDEC0B05}" cache="Slicer_speci_1" caption="speci 1" rowHeight="234950"/>
  <slicer name="speci 2" xr10:uid="{CA0DDFF5-03FA-4CFE-8D22-21E35019B6E9}" cache="Slicer_speci_2" caption="speci 2" rowHeight="234950"/>
  <slicer name="speci 4" xr10:uid="{B835F79F-DC65-4E96-B70A-1C781F1EB350}" cache="Slicer_speci_4" caption="speci 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8C9CFF-2A74-41C9-88C2-18A4A7A07E60}" name="data" displayName="data" ref="A1:K81" totalsRowShown="0" headerRowDxfId="84" headerRowBorderDxfId="85" tableBorderDxfId="86">
  <autoFilter ref="A1:K81" xr:uid="{6A8C9CFF-2A74-41C9-88C2-18A4A7A07E60}"/>
  <tableColumns count="11">
    <tableColumn id="1" xr3:uid="{B6A6E715-7B68-41D3-AAD8-5718B9A7E31D}" name="product"/>
    <tableColumn id="2" xr3:uid="{58321B30-80B2-4D7D-BD17-C3B07B466400}" name="review"/>
    <tableColumn id="3" xr3:uid="{AD2A7D29-6B07-4DF2-AFC7-2D5FEF9FEF0B}" name="price"/>
    <tableColumn id="4" xr3:uid="{9AE44680-6274-423E-9E27-37305970E475}" name="rating"/>
    <tableColumn id="10" xr3:uid="{10F889B9-C9C0-406D-BFC6-6EA050B6CC91}" name="discounted price"/>
    <tableColumn id="11" xr3:uid="{949DF559-1B42-4588-A589-06EE924620C3}" name="total price"/>
    <tableColumn id="5" xr3:uid="{4D35900E-A0A7-4320-B850-3B49B18ABCD5}" name="offers"/>
    <tableColumn id="6" xr3:uid="{8FAEE7E8-96E0-4915-8A5E-47D75FD9E7FC}" name="speci 1"/>
    <tableColumn id="7" xr3:uid="{862AA251-224A-4AF5-8009-AB9EEAD5717D}" name="speci 2"/>
    <tableColumn id="8" xr3:uid="{4C72129E-EDF4-4454-AC78-1CBAEBCAA4F8}" name="speci 3"/>
    <tableColumn id="9" xr3:uid="{73ECA039-58AC-4FD1-A748-6243F9238FFB}" name="speci 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workbookViewId="0">
      <selection activeCell="L8" sqref="L8"/>
    </sheetView>
  </sheetViews>
  <sheetFormatPr defaultRowHeight="14.4" x14ac:dyDescent="0.3"/>
  <cols>
    <col min="1" max="1" width="53.77734375" bestFit="1" customWidth="1"/>
    <col min="2" max="2" width="6.5546875" bestFit="1" customWidth="1"/>
    <col min="3" max="3" width="7" bestFit="1" customWidth="1"/>
    <col min="4" max="4" width="5.88671875" bestFit="1" customWidth="1"/>
    <col min="5" max="5" width="27.6640625" bestFit="1" customWidth="1"/>
    <col min="6" max="6" width="10.109375" bestFit="1" customWidth="1"/>
    <col min="7" max="7" width="16.109375" bestFit="1" customWidth="1"/>
    <col min="8" max="9" width="13.88671875" bestFit="1" customWidth="1"/>
    <col min="10" max="10" width="1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1942</v>
      </c>
      <c r="C2">
        <v>64990</v>
      </c>
      <c r="D2">
        <v>4.4000000000000004</v>
      </c>
      <c r="E2" t="s">
        <v>53</v>
      </c>
      <c r="F2" t="s">
        <v>72</v>
      </c>
      <c r="G2" t="s">
        <v>82</v>
      </c>
      <c r="H2" t="s">
        <v>100</v>
      </c>
      <c r="I2" t="s">
        <v>104</v>
      </c>
      <c r="J2">
        <v>17547.3</v>
      </c>
      <c r="K2">
        <v>47442.7</v>
      </c>
    </row>
    <row r="3" spans="1:11" x14ac:dyDescent="0.3">
      <c r="A3" t="s">
        <v>12</v>
      </c>
      <c r="B3">
        <v>74</v>
      </c>
      <c r="C3">
        <v>76990</v>
      </c>
      <c r="D3">
        <v>4.4000000000000004</v>
      </c>
      <c r="E3" t="s">
        <v>54</v>
      </c>
      <c r="F3" t="s">
        <v>73</v>
      </c>
      <c r="G3" t="s">
        <v>83</v>
      </c>
      <c r="H3" t="s">
        <v>101</v>
      </c>
      <c r="I3" t="s">
        <v>127</v>
      </c>
      <c r="J3">
        <v>11548.5</v>
      </c>
      <c r="K3">
        <v>65441.5</v>
      </c>
    </row>
    <row r="4" spans="1:11" x14ac:dyDescent="0.3">
      <c r="A4" t="s">
        <v>13</v>
      </c>
      <c r="B4">
        <v>380</v>
      </c>
      <c r="C4">
        <v>68990</v>
      </c>
      <c r="D4">
        <v>4.5</v>
      </c>
      <c r="E4" t="s">
        <v>55</v>
      </c>
      <c r="F4" t="s">
        <v>73</v>
      </c>
      <c r="G4" t="s">
        <v>82</v>
      </c>
      <c r="H4" t="s">
        <v>102</v>
      </c>
      <c r="I4" t="s">
        <v>127</v>
      </c>
      <c r="J4">
        <v>15867.7</v>
      </c>
      <c r="K4">
        <v>53122.3</v>
      </c>
    </row>
    <row r="5" spans="1:11" x14ac:dyDescent="0.3">
      <c r="A5" t="s">
        <v>14</v>
      </c>
      <c r="B5">
        <v>121</v>
      </c>
      <c r="C5">
        <v>105990</v>
      </c>
      <c r="D5">
        <v>4.5999999999999996</v>
      </c>
      <c r="E5" t="s">
        <v>56</v>
      </c>
      <c r="F5" t="s">
        <v>73</v>
      </c>
      <c r="G5" t="s">
        <v>84</v>
      </c>
      <c r="H5" t="s">
        <v>102</v>
      </c>
      <c r="I5" t="s">
        <v>127</v>
      </c>
      <c r="J5">
        <v>23317.8</v>
      </c>
      <c r="K5">
        <v>82672.2</v>
      </c>
    </row>
    <row r="6" spans="1:11" x14ac:dyDescent="0.3">
      <c r="A6" t="s">
        <v>15</v>
      </c>
      <c r="B6">
        <v>27</v>
      </c>
      <c r="C6">
        <v>89990</v>
      </c>
      <c r="D6">
        <v>4.5999999999999996</v>
      </c>
      <c r="E6" t="s">
        <v>57</v>
      </c>
      <c r="F6" t="s">
        <v>73</v>
      </c>
      <c r="G6" t="s">
        <v>84</v>
      </c>
      <c r="H6" t="s">
        <v>102</v>
      </c>
      <c r="I6" t="s">
        <v>127</v>
      </c>
      <c r="J6">
        <v>20697.7</v>
      </c>
      <c r="K6">
        <v>69292.3</v>
      </c>
    </row>
    <row r="7" spans="1:11" x14ac:dyDescent="0.3">
      <c r="A7" t="s">
        <v>16</v>
      </c>
      <c r="B7">
        <v>90</v>
      </c>
      <c r="C7">
        <v>79990</v>
      </c>
      <c r="D7">
        <v>4.4000000000000004</v>
      </c>
      <c r="E7" t="s">
        <v>58</v>
      </c>
      <c r="F7" t="s">
        <v>73</v>
      </c>
      <c r="G7" t="s">
        <v>82</v>
      </c>
      <c r="H7" t="s">
        <v>103</v>
      </c>
      <c r="I7" t="s">
        <v>127</v>
      </c>
      <c r="J7">
        <v>1599.8</v>
      </c>
      <c r="K7">
        <v>78390.2</v>
      </c>
    </row>
    <row r="8" spans="1:11" x14ac:dyDescent="0.3">
      <c r="A8" t="s">
        <v>17</v>
      </c>
      <c r="B8">
        <v>3</v>
      </c>
      <c r="C8">
        <v>60980</v>
      </c>
      <c r="D8">
        <v>4.7</v>
      </c>
      <c r="E8" t="s">
        <v>59</v>
      </c>
      <c r="F8" t="s">
        <v>73</v>
      </c>
      <c r="G8" t="s">
        <v>85</v>
      </c>
      <c r="H8" t="s">
        <v>104</v>
      </c>
      <c r="I8" t="s">
        <v>127</v>
      </c>
      <c r="J8">
        <v>13415.6</v>
      </c>
      <c r="K8">
        <v>47564.4</v>
      </c>
    </row>
    <row r="9" spans="1:11" x14ac:dyDescent="0.3">
      <c r="A9" t="s">
        <v>18</v>
      </c>
      <c r="B9">
        <v>1310</v>
      </c>
      <c r="C9">
        <v>54990</v>
      </c>
      <c r="D9">
        <v>4.4000000000000004</v>
      </c>
      <c r="E9" t="s">
        <v>60</v>
      </c>
      <c r="F9" t="s">
        <v>73</v>
      </c>
      <c r="G9" t="s">
        <v>86</v>
      </c>
      <c r="H9" t="s">
        <v>105</v>
      </c>
      <c r="I9" t="s">
        <v>104</v>
      </c>
      <c r="J9">
        <v>15397.2</v>
      </c>
      <c r="K9">
        <v>39592.800000000003</v>
      </c>
    </row>
    <row r="10" spans="1:11" x14ac:dyDescent="0.3">
      <c r="A10" t="s">
        <v>11</v>
      </c>
      <c r="B10">
        <v>2559</v>
      </c>
      <c r="C10">
        <v>60990</v>
      </c>
      <c r="D10">
        <v>4.5</v>
      </c>
      <c r="E10" t="s">
        <v>61</v>
      </c>
      <c r="F10" t="s">
        <v>73</v>
      </c>
      <c r="G10" t="s">
        <v>82</v>
      </c>
      <c r="H10" t="s">
        <v>100</v>
      </c>
      <c r="I10" t="s">
        <v>127</v>
      </c>
      <c r="J10">
        <v>15247.5</v>
      </c>
      <c r="K10">
        <v>45742.5</v>
      </c>
    </row>
    <row r="11" spans="1:11" x14ac:dyDescent="0.3">
      <c r="A11" t="s">
        <v>19</v>
      </c>
      <c r="B11">
        <v>112</v>
      </c>
      <c r="C11">
        <v>92990</v>
      </c>
      <c r="D11">
        <v>4.5</v>
      </c>
      <c r="E11" t="s">
        <v>62</v>
      </c>
      <c r="F11" t="s">
        <v>74</v>
      </c>
      <c r="G11" t="s">
        <v>84</v>
      </c>
      <c r="H11" t="s">
        <v>106</v>
      </c>
      <c r="I11" t="s">
        <v>127</v>
      </c>
      <c r="J11">
        <v>17668.099999999999</v>
      </c>
      <c r="K11">
        <v>75321.899999999994</v>
      </c>
    </row>
    <row r="12" spans="1:11" x14ac:dyDescent="0.3">
      <c r="A12" t="s">
        <v>20</v>
      </c>
      <c r="B12">
        <v>69</v>
      </c>
      <c r="C12">
        <v>143990</v>
      </c>
      <c r="D12">
        <v>4.2</v>
      </c>
      <c r="E12" t="s">
        <v>59</v>
      </c>
      <c r="F12" t="s">
        <v>73</v>
      </c>
      <c r="G12" t="s">
        <v>87</v>
      </c>
      <c r="H12" t="s">
        <v>107</v>
      </c>
      <c r="I12" t="s">
        <v>104</v>
      </c>
      <c r="J12">
        <v>33117.699999999997</v>
      </c>
      <c r="K12">
        <v>110872.3</v>
      </c>
    </row>
    <row r="13" spans="1:11" x14ac:dyDescent="0.3">
      <c r="A13" t="s">
        <v>21</v>
      </c>
      <c r="B13">
        <v>2.5</v>
      </c>
      <c r="C13">
        <v>89990</v>
      </c>
      <c r="D13">
        <v>4</v>
      </c>
      <c r="E13" t="s">
        <v>59</v>
      </c>
      <c r="F13" t="s">
        <v>73</v>
      </c>
      <c r="G13" t="s">
        <v>88</v>
      </c>
      <c r="H13" t="s">
        <v>108</v>
      </c>
      <c r="I13" t="s">
        <v>127</v>
      </c>
      <c r="J13">
        <v>18897.900000000001</v>
      </c>
      <c r="K13">
        <v>71092.100000000006</v>
      </c>
    </row>
    <row r="14" spans="1:11" x14ac:dyDescent="0.3">
      <c r="A14" t="s">
        <v>22</v>
      </c>
      <c r="B14">
        <v>2.5</v>
      </c>
      <c r="C14">
        <v>89990</v>
      </c>
      <c r="D14">
        <v>4</v>
      </c>
      <c r="E14" t="s">
        <v>59</v>
      </c>
      <c r="F14" t="s">
        <v>73</v>
      </c>
      <c r="G14" t="s">
        <v>89</v>
      </c>
      <c r="H14" t="s">
        <v>109</v>
      </c>
      <c r="I14" t="s">
        <v>127</v>
      </c>
      <c r="J14">
        <v>18897.900000000001</v>
      </c>
      <c r="K14">
        <v>71092.100000000006</v>
      </c>
    </row>
    <row r="15" spans="1:11" x14ac:dyDescent="0.3">
      <c r="A15" t="s">
        <v>23</v>
      </c>
      <c r="B15">
        <v>165</v>
      </c>
      <c r="C15">
        <v>99990</v>
      </c>
      <c r="D15">
        <v>4.4000000000000004</v>
      </c>
      <c r="E15" t="s">
        <v>63</v>
      </c>
      <c r="F15" t="s">
        <v>73</v>
      </c>
      <c r="G15" t="s">
        <v>89</v>
      </c>
      <c r="H15" t="s">
        <v>110</v>
      </c>
      <c r="I15" t="s">
        <v>104</v>
      </c>
      <c r="J15">
        <v>3999.6</v>
      </c>
      <c r="K15">
        <v>95990.399999999994</v>
      </c>
    </row>
    <row r="16" spans="1:11" x14ac:dyDescent="0.3">
      <c r="A16" t="s">
        <v>24</v>
      </c>
      <c r="B16">
        <v>23</v>
      </c>
      <c r="C16">
        <v>64990</v>
      </c>
      <c r="D16">
        <v>4.3</v>
      </c>
      <c r="E16" t="s">
        <v>59</v>
      </c>
      <c r="F16" t="s">
        <v>73</v>
      </c>
      <c r="G16" t="s">
        <v>82</v>
      </c>
      <c r="H16" t="s">
        <v>103</v>
      </c>
      <c r="I16" t="s">
        <v>127</v>
      </c>
      <c r="J16">
        <v>13647.9</v>
      </c>
      <c r="K16">
        <v>51342.1</v>
      </c>
    </row>
    <row r="17" spans="1:11" x14ac:dyDescent="0.3">
      <c r="A17" t="s">
        <v>25</v>
      </c>
      <c r="B17">
        <v>2.5</v>
      </c>
      <c r="C17">
        <v>124990</v>
      </c>
      <c r="D17">
        <v>4</v>
      </c>
      <c r="E17" t="s">
        <v>64</v>
      </c>
      <c r="F17" t="s">
        <v>73</v>
      </c>
      <c r="G17" t="s">
        <v>87</v>
      </c>
      <c r="H17" t="s">
        <v>111</v>
      </c>
      <c r="I17" t="s">
        <v>127</v>
      </c>
      <c r="J17">
        <v>28747.7</v>
      </c>
      <c r="K17">
        <v>96242.3</v>
      </c>
    </row>
    <row r="18" spans="1:11" x14ac:dyDescent="0.3">
      <c r="A18" t="s">
        <v>26</v>
      </c>
      <c r="B18">
        <v>2.5</v>
      </c>
      <c r="C18">
        <v>124990</v>
      </c>
      <c r="D18">
        <v>4</v>
      </c>
      <c r="E18" t="s">
        <v>59</v>
      </c>
      <c r="F18" t="s">
        <v>75</v>
      </c>
      <c r="G18" t="s">
        <v>90</v>
      </c>
      <c r="H18" t="s">
        <v>112</v>
      </c>
      <c r="I18" t="s">
        <v>127</v>
      </c>
      <c r="J18">
        <v>23748.1</v>
      </c>
      <c r="K18">
        <v>101241.9</v>
      </c>
    </row>
    <row r="19" spans="1:11" x14ac:dyDescent="0.3">
      <c r="A19" t="s">
        <v>27</v>
      </c>
      <c r="B19">
        <v>6</v>
      </c>
      <c r="C19">
        <v>225990</v>
      </c>
      <c r="D19">
        <v>4.5</v>
      </c>
      <c r="E19" t="s">
        <v>59</v>
      </c>
      <c r="F19" t="s">
        <v>73</v>
      </c>
      <c r="G19" t="s">
        <v>91</v>
      </c>
      <c r="H19" t="s">
        <v>113</v>
      </c>
      <c r="I19" t="s">
        <v>127</v>
      </c>
      <c r="J19">
        <v>38418.300000000003</v>
      </c>
      <c r="K19">
        <v>187571.7</v>
      </c>
    </row>
    <row r="20" spans="1:11" x14ac:dyDescent="0.3">
      <c r="A20" t="s">
        <v>28</v>
      </c>
      <c r="B20">
        <v>95</v>
      </c>
      <c r="C20">
        <v>87990</v>
      </c>
      <c r="D20">
        <v>4.5</v>
      </c>
      <c r="E20" t="s">
        <v>65</v>
      </c>
      <c r="F20" t="s">
        <v>72</v>
      </c>
      <c r="G20" t="s">
        <v>87</v>
      </c>
      <c r="H20" t="s">
        <v>114</v>
      </c>
      <c r="I20" t="s">
        <v>127</v>
      </c>
      <c r="J20">
        <v>20237.7</v>
      </c>
      <c r="K20">
        <v>67752.3</v>
      </c>
    </row>
    <row r="21" spans="1:11" x14ac:dyDescent="0.3">
      <c r="A21" t="s">
        <v>29</v>
      </c>
      <c r="B21">
        <v>2.5</v>
      </c>
      <c r="C21">
        <v>92990</v>
      </c>
      <c r="D21">
        <v>4</v>
      </c>
      <c r="E21" t="s">
        <v>59</v>
      </c>
      <c r="F21" t="s">
        <v>73</v>
      </c>
      <c r="G21" t="s">
        <v>92</v>
      </c>
      <c r="H21" t="s">
        <v>103</v>
      </c>
      <c r="I21" t="s">
        <v>127</v>
      </c>
      <c r="J21">
        <v>21387.7</v>
      </c>
      <c r="K21">
        <v>71602.3</v>
      </c>
    </row>
    <row r="22" spans="1:11" x14ac:dyDescent="0.3">
      <c r="A22" t="s">
        <v>21</v>
      </c>
      <c r="B22">
        <v>2.5</v>
      </c>
      <c r="C22">
        <v>86990</v>
      </c>
      <c r="D22">
        <v>4</v>
      </c>
      <c r="E22" t="s">
        <v>59</v>
      </c>
      <c r="F22" t="s">
        <v>73</v>
      </c>
      <c r="G22" t="s">
        <v>89</v>
      </c>
      <c r="H22" t="s">
        <v>108</v>
      </c>
      <c r="I22" t="s">
        <v>127</v>
      </c>
      <c r="J22">
        <v>16528.099999999999</v>
      </c>
      <c r="K22">
        <v>70461.899999999994</v>
      </c>
    </row>
    <row r="23" spans="1:11" x14ac:dyDescent="0.3">
      <c r="A23" t="s">
        <v>30</v>
      </c>
      <c r="B23">
        <v>102</v>
      </c>
      <c r="C23">
        <v>106990</v>
      </c>
      <c r="D23">
        <v>4.5999999999999996</v>
      </c>
      <c r="E23" t="s">
        <v>66</v>
      </c>
      <c r="F23" t="s">
        <v>76</v>
      </c>
      <c r="G23" t="s">
        <v>93</v>
      </c>
      <c r="H23" t="s">
        <v>115</v>
      </c>
      <c r="I23" t="s">
        <v>104</v>
      </c>
      <c r="J23">
        <v>20328.099999999999</v>
      </c>
      <c r="K23">
        <v>86661.9</v>
      </c>
    </row>
    <row r="24" spans="1:11" x14ac:dyDescent="0.3">
      <c r="A24" t="s">
        <v>31</v>
      </c>
      <c r="B24">
        <v>2.5</v>
      </c>
      <c r="C24">
        <v>85990</v>
      </c>
      <c r="D24">
        <v>4</v>
      </c>
      <c r="E24" t="s">
        <v>59</v>
      </c>
      <c r="F24" t="s">
        <v>75</v>
      </c>
      <c r="G24" t="s">
        <v>87</v>
      </c>
      <c r="H24" t="s">
        <v>106</v>
      </c>
      <c r="I24" t="s">
        <v>127</v>
      </c>
      <c r="J24">
        <v>22357.4</v>
      </c>
      <c r="K24">
        <v>63632.6</v>
      </c>
    </row>
    <row r="25" spans="1:11" x14ac:dyDescent="0.3">
      <c r="A25" t="s">
        <v>32</v>
      </c>
      <c r="B25">
        <v>2.5</v>
      </c>
      <c r="C25">
        <v>86990</v>
      </c>
      <c r="D25">
        <v>4</v>
      </c>
      <c r="E25" t="s">
        <v>59</v>
      </c>
      <c r="F25" t="s">
        <v>72</v>
      </c>
      <c r="G25" t="s">
        <v>84</v>
      </c>
      <c r="H25" t="s">
        <v>100</v>
      </c>
      <c r="I25" t="s">
        <v>127</v>
      </c>
      <c r="J25">
        <v>21747.5</v>
      </c>
      <c r="K25">
        <v>65242.5</v>
      </c>
    </row>
    <row r="26" spans="1:11" x14ac:dyDescent="0.3">
      <c r="A26" t="s">
        <v>33</v>
      </c>
      <c r="B26">
        <v>2.5</v>
      </c>
      <c r="C26">
        <v>73990</v>
      </c>
      <c r="D26">
        <v>4</v>
      </c>
      <c r="E26" t="s">
        <v>59</v>
      </c>
      <c r="F26" t="s">
        <v>73</v>
      </c>
      <c r="G26" t="s">
        <v>94</v>
      </c>
      <c r="H26" t="s">
        <v>116</v>
      </c>
      <c r="I26" t="s">
        <v>127</v>
      </c>
      <c r="J26">
        <v>9618.7000000000007</v>
      </c>
      <c r="K26">
        <v>64371.3</v>
      </c>
    </row>
    <row r="27" spans="1:11" x14ac:dyDescent="0.3">
      <c r="A27" t="s">
        <v>34</v>
      </c>
      <c r="B27">
        <v>27</v>
      </c>
      <c r="C27">
        <v>92990</v>
      </c>
      <c r="D27">
        <v>4.5</v>
      </c>
      <c r="E27" t="s">
        <v>59</v>
      </c>
      <c r="F27" t="s">
        <v>77</v>
      </c>
      <c r="G27" t="s">
        <v>84</v>
      </c>
      <c r="H27" t="s">
        <v>117</v>
      </c>
      <c r="I27" t="s">
        <v>127</v>
      </c>
      <c r="J27">
        <v>11158.8</v>
      </c>
      <c r="K27">
        <v>81831.199999999997</v>
      </c>
    </row>
    <row r="28" spans="1:11" x14ac:dyDescent="0.3">
      <c r="A28" t="s">
        <v>35</v>
      </c>
      <c r="B28">
        <v>60</v>
      </c>
      <c r="C28">
        <v>94990</v>
      </c>
      <c r="D28">
        <v>4.5999999999999996</v>
      </c>
      <c r="E28" t="s">
        <v>67</v>
      </c>
      <c r="F28" t="s">
        <v>72</v>
      </c>
      <c r="G28" t="s">
        <v>84</v>
      </c>
      <c r="H28" t="s">
        <v>100</v>
      </c>
      <c r="I28" t="s">
        <v>127</v>
      </c>
      <c r="J28">
        <v>24697.4</v>
      </c>
      <c r="K28">
        <v>70292.600000000006</v>
      </c>
    </row>
    <row r="29" spans="1:11" x14ac:dyDescent="0.3">
      <c r="A29" t="s">
        <v>36</v>
      </c>
      <c r="B29">
        <v>2.5</v>
      </c>
      <c r="C29">
        <v>441990</v>
      </c>
      <c r="D29">
        <v>4</v>
      </c>
      <c r="E29" t="s">
        <v>59</v>
      </c>
      <c r="F29" t="s">
        <v>75</v>
      </c>
      <c r="G29" t="s">
        <v>95</v>
      </c>
      <c r="H29" t="s">
        <v>117</v>
      </c>
      <c r="I29" t="s">
        <v>104</v>
      </c>
      <c r="J29">
        <v>0</v>
      </c>
      <c r="K29">
        <v>441990</v>
      </c>
    </row>
    <row r="30" spans="1:11" x14ac:dyDescent="0.3">
      <c r="A30" t="s">
        <v>37</v>
      </c>
      <c r="B30">
        <v>54</v>
      </c>
      <c r="C30">
        <v>124990</v>
      </c>
      <c r="D30">
        <v>4.5</v>
      </c>
      <c r="E30" t="s">
        <v>64</v>
      </c>
      <c r="F30" t="s">
        <v>78</v>
      </c>
      <c r="G30" t="s">
        <v>95</v>
      </c>
      <c r="H30" t="s">
        <v>118</v>
      </c>
      <c r="I30" t="s">
        <v>104</v>
      </c>
      <c r="J30">
        <v>28747.7</v>
      </c>
      <c r="K30">
        <v>96242.3</v>
      </c>
    </row>
    <row r="31" spans="1:11" x14ac:dyDescent="0.3">
      <c r="A31" t="s">
        <v>20</v>
      </c>
      <c r="B31">
        <v>28</v>
      </c>
      <c r="C31">
        <v>145990</v>
      </c>
      <c r="D31">
        <v>4</v>
      </c>
      <c r="E31" t="s">
        <v>68</v>
      </c>
      <c r="F31" t="s">
        <v>79</v>
      </c>
      <c r="G31" t="s">
        <v>89</v>
      </c>
      <c r="H31" t="s">
        <v>119</v>
      </c>
      <c r="I31" t="s">
        <v>104</v>
      </c>
      <c r="J31">
        <v>33577.699999999997</v>
      </c>
      <c r="K31">
        <v>112412.3</v>
      </c>
    </row>
    <row r="32" spans="1:11" x14ac:dyDescent="0.3">
      <c r="A32" t="s">
        <v>38</v>
      </c>
      <c r="B32">
        <v>2.5</v>
      </c>
      <c r="C32">
        <v>105590</v>
      </c>
      <c r="D32">
        <v>4</v>
      </c>
      <c r="E32" t="s">
        <v>59</v>
      </c>
      <c r="F32" t="s">
        <v>73</v>
      </c>
      <c r="G32" t="s">
        <v>88</v>
      </c>
      <c r="H32" t="s">
        <v>108</v>
      </c>
      <c r="I32" t="s">
        <v>104</v>
      </c>
      <c r="J32">
        <v>19006.2</v>
      </c>
      <c r="K32">
        <v>86583.8</v>
      </c>
    </row>
    <row r="33" spans="1:11" x14ac:dyDescent="0.3">
      <c r="A33" t="s">
        <v>39</v>
      </c>
      <c r="B33">
        <v>3</v>
      </c>
      <c r="C33">
        <v>249990</v>
      </c>
      <c r="D33">
        <v>5</v>
      </c>
      <c r="E33" t="s">
        <v>59</v>
      </c>
      <c r="F33" t="s">
        <v>73</v>
      </c>
      <c r="G33" t="s">
        <v>91</v>
      </c>
      <c r="H33" t="s">
        <v>113</v>
      </c>
      <c r="I33" t="s">
        <v>127</v>
      </c>
      <c r="J33">
        <v>57497.7</v>
      </c>
      <c r="K33">
        <v>192492.3</v>
      </c>
    </row>
    <row r="34" spans="1:11" x14ac:dyDescent="0.3">
      <c r="A34" t="s">
        <v>40</v>
      </c>
      <c r="B34">
        <v>2.5</v>
      </c>
      <c r="C34">
        <v>100990</v>
      </c>
      <c r="D34">
        <v>4</v>
      </c>
      <c r="E34" t="s">
        <v>59</v>
      </c>
      <c r="F34" t="s">
        <v>73</v>
      </c>
      <c r="G34" t="s">
        <v>88</v>
      </c>
      <c r="H34" t="s">
        <v>108</v>
      </c>
      <c r="I34" t="s">
        <v>104</v>
      </c>
      <c r="J34">
        <v>18178.2</v>
      </c>
      <c r="K34">
        <v>82811.8</v>
      </c>
    </row>
    <row r="35" spans="1:11" x14ac:dyDescent="0.3">
      <c r="A35" t="s">
        <v>41</v>
      </c>
      <c r="B35">
        <v>2.5</v>
      </c>
      <c r="C35">
        <v>94990</v>
      </c>
      <c r="D35">
        <v>4</v>
      </c>
      <c r="E35" t="s">
        <v>59</v>
      </c>
      <c r="F35" t="s">
        <v>75</v>
      </c>
      <c r="G35" t="s">
        <v>84</v>
      </c>
      <c r="H35" t="s">
        <v>120</v>
      </c>
      <c r="I35" t="s">
        <v>127</v>
      </c>
      <c r="J35">
        <v>17098.2</v>
      </c>
      <c r="K35">
        <v>77891.8</v>
      </c>
    </row>
    <row r="36" spans="1:11" x14ac:dyDescent="0.3">
      <c r="A36" t="s">
        <v>42</v>
      </c>
      <c r="B36">
        <v>2.5</v>
      </c>
      <c r="C36">
        <v>164990</v>
      </c>
      <c r="D36">
        <v>4</v>
      </c>
      <c r="E36" t="s">
        <v>69</v>
      </c>
      <c r="F36" t="s">
        <v>78</v>
      </c>
      <c r="G36" t="s">
        <v>96</v>
      </c>
      <c r="H36" t="s">
        <v>121</v>
      </c>
      <c r="I36" t="s">
        <v>104</v>
      </c>
      <c r="J36">
        <v>37947.699999999997</v>
      </c>
      <c r="K36">
        <v>127042.3</v>
      </c>
    </row>
    <row r="37" spans="1:11" x14ac:dyDescent="0.3">
      <c r="A37" t="s">
        <v>43</v>
      </c>
      <c r="B37">
        <v>2.5</v>
      </c>
      <c r="C37">
        <v>234990</v>
      </c>
      <c r="D37">
        <v>4</v>
      </c>
      <c r="E37" t="s">
        <v>59</v>
      </c>
      <c r="F37" t="s">
        <v>73</v>
      </c>
      <c r="G37" t="s">
        <v>97</v>
      </c>
      <c r="H37" t="s">
        <v>119</v>
      </c>
      <c r="I37" t="s">
        <v>127</v>
      </c>
      <c r="J37">
        <v>63447.3</v>
      </c>
      <c r="K37">
        <v>171542.7</v>
      </c>
    </row>
    <row r="38" spans="1:11" x14ac:dyDescent="0.3">
      <c r="A38" t="s">
        <v>44</v>
      </c>
      <c r="B38">
        <v>2.5</v>
      </c>
      <c r="C38">
        <v>129990</v>
      </c>
      <c r="D38">
        <v>4</v>
      </c>
      <c r="E38" t="s">
        <v>59</v>
      </c>
      <c r="F38" t="s">
        <v>76</v>
      </c>
      <c r="G38" t="s">
        <v>93</v>
      </c>
      <c r="H38" t="s">
        <v>122</v>
      </c>
      <c r="I38" t="s">
        <v>104</v>
      </c>
      <c r="J38">
        <v>42896.7</v>
      </c>
      <c r="K38">
        <v>87093.3</v>
      </c>
    </row>
    <row r="39" spans="1:11" x14ac:dyDescent="0.3">
      <c r="A39" t="s">
        <v>45</v>
      </c>
      <c r="B39">
        <v>2.5</v>
      </c>
      <c r="C39">
        <v>94990</v>
      </c>
      <c r="D39">
        <v>4</v>
      </c>
      <c r="E39" t="s">
        <v>59</v>
      </c>
      <c r="F39" t="s">
        <v>76</v>
      </c>
      <c r="G39" t="s">
        <v>98</v>
      </c>
      <c r="H39" t="s">
        <v>123</v>
      </c>
      <c r="I39" t="s">
        <v>104</v>
      </c>
      <c r="J39">
        <v>20897.8</v>
      </c>
      <c r="K39">
        <v>74092.2</v>
      </c>
    </row>
    <row r="40" spans="1:11" x14ac:dyDescent="0.3">
      <c r="A40" t="s">
        <v>46</v>
      </c>
      <c r="B40">
        <v>2</v>
      </c>
      <c r="C40">
        <v>146490</v>
      </c>
      <c r="D40">
        <v>3</v>
      </c>
      <c r="E40" t="s">
        <v>59</v>
      </c>
      <c r="F40" t="s">
        <v>73</v>
      </c>
      <c r="G40" t="s">
        <v>99</v>
      </c>
      <c r="H40" t="s">
        <v>124</v>
      </c>
      <c r="I40" t="s">
        <v>127</v>
      </c>
      <c r="J40">
        <v>0</v>
      </c>
      <c r="K40">
        <v>146490</v>
      </c>
    </row>
    <row r="41" spans="1:11" x14ac:dyDescent="0.3">
      <c r="A41" t="s">
        <v>47</v>
      </c>
      <c r="B41">
        <v>2.5</v>
      </c>
      <c r="C41">
        <v>113490</v>
      </c>
      <c r="D41">
        <v>4</v>
      </c>
      <c r="E41" t="s">
        <v>70</v>
      </c>
      <c r="F41" t="s">
        <v>72</v>
      </c>
      <c r="G41" t="s">
        <v>84</v>
      </c>
      <c r="H41" t="s">
        <v>100</v>
      </c>
      <c r="I41" t="s">
        <v>127</v>
      </c>
      <c r="J41">
        <v>12483.9</v>
      </c>
      <c r="K41">
        <v>101006.1</v>
      </c>
    </row>
    <row r="42" spans="1:11" x14ac:dyDescent="0.3">
      <c r="A42" t="s">
        <v>23</v>
      </c>
      <c r="B42">
        <v>165</v>
      </c>
      <c r="C42">
        <v>99990</v>
      </c>
      <c r="D42">
        <v>4.4000000000000004</v>
      </c>
      <c r="E42" t="s">
        <v>63</v>
      </c>
      <c r="F42" t="s">
        <v>73</v>
      </c>
      <c r="G42" t="s">
        <v>89</v>
      </c>
      <c r="H42" t="s">
        <v>110</v>
      </c>
      <c r="I42" t="s">
        <v>104</v>
      </c>
      <c r="J42">
        <v>3999.6</v>
      </c>
      <c r="K42">
        <v>95990.399999999994</v>
      </c>
    </row>
    <row r="43" spans="1:11" x14ac:dyDescent="0.3">
      <c r="A43" t="s">
        <v>19</v>
      </c>
      <c r="B43">
        <v>112</v>
      </c>
      <c r="C43">
        <v>92990</v>
      </c>
      <c r="D43">
        <v>4.5</v>
      </c>
      <c r="E43" t="s">
        <v>62</v>
      </c>
      <c r="F43" t="s">
        <v>74</v>
      </c>
      <c r="G43" t="s">
        <v>84</v>
      </c>
      <c r="H43" t="s">
        <v>106</v>
      </c>
      <c r="I43" t="s">
        <v>127</v>
      </c>
      <c r="J43">
        <v>17668.099999999999</v>
      </c>
      <c r="K43">
        <v>75321.899999999994</v>
      </c>
    </row>
    <row r="44" spans="1:11" x14ac:dyDescent="0.3">
      <c r="A44" t="s">
        <v>11</v>
      </c>
      <c r="B44">
        <v>1942</v>
      </c>
      <c r="C44">
        <v>64990</v>
      </c>
      <c r="D44">
        <v>4.4000000000000004</v>
      </c>
      <c r="E44" t="s">
        <v>53</v>
      </c>
      <c r="F44" t="s">
        <v>72</v>
      </c>
      <c r="G44" t="s">
        <v>82</v>
      </c>
      <c r="H44" t="s">
        <v>100</v>
      </c>
      <c r="I44" t="s">
        <v>104</v>
      </c>
      <c r="J44">
        <v>17547.3</v>
      </c>
      <c r="K44">
        <v>47442.7</v>
      </c>
    </row>
    <row r="45" spans="1:11" x14ac:dyDescent="0.3">
      <c r="A45" t="s">
        <v>12</v>
      </c>
      <c r="B45">
        <v>74</v>
      </c>
      <c r="C45">
        <v>76990</v>
      </c>
      <c r="D45">
        <v>4.4000000000000004</v>
      </c>
      <c r="E45" t="s">
        <v>54</v>
      </c>
      <c r="F45" t="s">
        <v>73</v>
      </c>
      <c r="G45" t="s">
        <v>83</v>
      </c>
      <c r="H45" t="s">
        <v>101</v>
      </c>
      <c r="I45" t="s">
        <v>127</v>
      </c>
      <c r="J45">
        <v>11548.5</v>
      </c>
      <c r="K45">
        <v>65441.5</v>
      </c>
    </row>
    <row r="46" spans="1:11" x14ac:dyDescent="0.3">
      <c r="A46" t="s">
        <v>13</v>
      </c>
      <c r="B46">
        <v>380</v>
      </c>
      <c r="C46">
        <v>68990</v>
      </c>
      <c r="D46">
        <v>4.5</v>
      </c>
      <c r="E46" t="s">
        <v>55</v>
      </c>
      <c r="F46" t="s">
        <v>73</v>
      </c>
      <c r="G46" t="s">
        <v>82</v>
      </c>
      <c r="H46" t="s">
        <v>102</v>
      </c>
      <c r="I46" t="s">
        <v>127</v>
      </c>
      <c r="J46">
        <v>15867.7</v>
      </c>
      <c r="K46">
        <v>53122.3</v>
      </c>
    </row>
    <row r="47" spans="1:11" x14ac:dyDescent="0.3">
      <c r="A47" t="s">
        <v>15</v>
      </c>
      <c r="B47">
        <v>27</v>
      </c>
      <c r="C47">
        <v>89990</v>
      </c>
      <c r="D47">
        <v>4.5999999999999996</v>
      </c>
      <c r="E47" t="s">
        <v>57</v>
      </c>
      <c r="F47" t="s">
        <v>73</v>
      </c>
      <c r="G47" t="s">
        <v>84</v>
      </c>
      <c r="H47" t="s">
        <v>102</v>
      </c>
      <c r="I47" t="s">
        <v>127</v>
      </c>
      <c r="J47">
        <v>20697.7</v>
      </c>
      <c r="K47">
        <v>69292.3</v>
      </c>
    </row>
    <row r="48" spans="1:11" x14ac:dyDescent="0.3">
      <c r="A48" t="s">
        <v>17</v>
      </c>
      <c r="B48">
        <v>3</v>
      </c>
      <c r="C48">
        <v>60980</v>
      </c>
      <c r="D48">
        <v>4.7</v>
      </c>
      <c r="E48" t="s">
        <v>59</v>
      </c>
      <c r="F48" t="s">
        <v>73</v>
      </c>
      <c r="G48" t="s">
        <v>85</v>
      </c>
      <c r="H48" t="s">
        <v>104</v>
      </c>
      <c r="I48" t="s">
        <v>127</v>
      </c>
      <c r="J48">
        <v>13415.6</v>
      </c>
      <c r="K48">
        <v>47564.4</v>
      </c>
    </row>
    <row r="49" spans="1:11" x14ac:dyDescent="0.3">
      <c r="A49" t="s">
        <v>14</v>
      </c>
      <c r="B49">
        <v>121</v>
      </c>
      <c r="C49">
        <v>105990</v>
      </c>
      <c r="D49">
        <v>4.5999999999999996</v>
      </c>
      <c r="E49" t="s">
        <v>56</v>
      </c>
      <c r="F49" t="s">
        <v>73</v>
      </c>
      <c r="G49" t="s">
        <v>84</v>
      </c>
      <c r="H49" t="s">
        <v>102</v>
      </c>
      <c r="I49" t="s">
        <v>127</v>
      </c>
      <c r="J49">
        <v>23317.8</v>
      </c>
      <c r="K49">
        <v>82672.2</v>
      </c>
    </row>
    <row r="50" spans="1:11" x14ac:dyDescent="0.3">
      <c r="A50" t="s">
        <v>11</v>
      </c>
      <c r="B50">
        <v>2559</v>
      </c>
      <c r="C50">
        <v>60990</v>
      </c>
      <c r="D50">
        <v>4.5</v>
      </c>
      <c r="E50" t="s">
        <v>61</v>
      </c>
      <c r="F50" t="s">
        <v>73</v>
      </c>
      <c r="G50" t="s">
        <v>82</v>
      </c>
      <c r="H50" t="s">
        <v>100</v>
      </c>
      <c r="I50" t="s">
        <v>127</v>
      </c>
      <c r="J50">
        <v>15247.5</v>
      </c>
      <c r="K50">
        <v>45742.5</v>
      </c>
    </row>
    <row r="51" spans="1:11" x14ac:dyDescent="0.3">
      <c r="A51" t="s">
        <v>20</v>
      </c>
      <c r="B51">
        <v>69</v>
      </c>
      <c r="C51">
        <v>143990</v>
      </c>
      <c r="D51">
        <v>4.2</v>
      </c>
      <c r="E51" t="s">
        <v>59</v>
      </c>
      <c r="F51" t="s">
        <v>73</v>
      </c>
      <c r="G51" t="s">
        <v>87</v>
      </c>
      <c r="H51" t="s">
        <v>107</v>
      </c>
      <c r="I51" t="s">
        <v>104</v>
      </c>
      <c r="J51">
        <v>33117.699999999997</v>
      </c>
      <c r="K51">
        <v>110872.3</v>
      </c>
    </row>
    <row r="52" spans="1:11" x14ac:dyDescent="0.3">
      <c r="A52" t="s">
        <v>22</v>
      </c>
      <c r="B52">
        <v>2.5</v>
      </c>
      <c r="C52">
        <v>89990</v>
      </c>
      <c r="D52">
        <v>4</v>
      </c>
      <c r="E52" t="s">
        <v>59</v>
      </c>
      <c r="F52" t="s">
        <v>73</v>
      </c>
      <c r="G52" t="s">
        <v>89</v>
      </c>
      <c r="H52" t="s">
        <v>109</v>
      </c>
      <c r="I52" t="s">
        <v>127</v>
      </c>
      <c r="J52">
        <v>18897.900000000001</v>
      </c>
      <c r="K52">
        <v>71092.100000000006</v>
      </c>
    </row>
    <row r="53" spans="1:11" x14ac:dyDescent="0.3">
      <c r="A53" t="s">
        <v>26</v>
      </c>
      <c r="B53">
        <v>2.5</v>
      </c>
      <c r="C53">
        <v>124990</v>
      </c>
      <c r="D53">
        <v>4</v>
      </c>
      <c r="E53" t="s">
        <v>59</v>
      </c>
      <c r="F53" t="s">
        <v>75</v>
      </c>
      <c r="G53" t="s">
        <v>90</v>
      </c>
      <c r="H53" t="s">
        <v>112</v>
      </c>
      <c r="I53" t="s">
        <v>127</v>
      </c>
      <c r="J53">
        <v>23748.1</v>
      </c>
      <c r="K53">
        <v>101241.9</v>
      </c>
    </row>
    <row r="54" spans="1:11" x14ac:dyDescent="0.3">
      <c r="A54" t="s">
        <v>27</v>
      </c>
      <c r="B54">
        <v>6</v>
      </c>
      <c r="C54">
        <v>225990</v>
      </c>
      <c r="D54">
        <v>4.5</v>
      </c>
      <c r="E54" t="s">
        <v>59</v>
      </c>
      <c r="F54" t="s">
        <v>73</v>
      </c>
      <c r="G54" t="s">
        <v>91</v>
      </c>
      <c r="H54" t="s">
        <v>113</v>
      </c>
      <c r="I54" t="s">
        <v>127</v>
      </c>
      <c r="J54">
        <v>38418.300000000003</v>
      </c>
      <c r="K54">
        <v>187571.7</v>
      </c>
    </row>
    <row r="55" spans="1:11" x14ac:dyDescent="0.3">
      <c r="A55" t="s">
        <v>28</v>
      </c>
      <c r="B55">
        <v>95</v>
      </c>
      <c r="C55">
        <v>87990</v>
      </c>
      <c r="D55">
        <v>4.5</v>
      </c>
      <c r="E55" t="s">
        <v>65</v>
      </c>
      <c r="F55" t="s">
        <v>72</v>
      </c>
      <c r="G55" t="s">
        <v>87</v>
      </c>
      <c r="H55" t="s">
        <v>114</v>
      </c>
      <c r="I55" t="s">
        <v>127</v>
      </c>
      <c r="J55">
        <v>20237.7</v>
      </c>
      <c r="K55">
        <v>67752.3</v>
      </c>
    </row>
    <row r="56" spans="1:11" x14ac:dyDescent="0.3">
      <c r="A56" t="s">
        <v>29</v>
      </c>
      <c r="B56">
        <v>2.5</v>
      </c>
      <c r="C56">
        <v>92990</v>
      </c>
      <c r="D56">
        <v>4</v>
      </c>
      <c r="E56" t="s">
        <v>59</v>
      </c>
      <c r="F56" t="s">
        <v>73</v>
      </c>
      <c r="G56" t="s">
        <v>92</v>
      </c>
      <c r="H56" t="s">
        <v>103</v>
      </c>
      <c r="I56" t="s">
        <v>127</v>
      </c>
      <c r="J56">
        <v>21387.7</v>
      </c>
      <c r="K56">
        <v>71602.3</v>
      </c>
    </row>
    <row r="57" spans="1:11" x14ac:dyDescent="0.3">
      <c r="A57" t="s">
        <v>21</v>
      </c>
      <c r="B57">
        <v>2.5</v>
      </c>
      <c r="C57">
        <v>86990</v>
      </c>
      <c r="D57">
        <v>4</v>
      </c>
      <c r="E57" t="s">
        <v>59</v>
      </c>
      <c r="F57" t="s">
        <v>73</v>
      </c>
      <c r="G57" t="s">
        <v>89</v>
      </c>
      <c r="H57" t="s">
        <v>108</v>
      </c>
      <c r="I57" t="s">
        <v>127</v>
      </c>
      <c r="J57">
        <v>16528.099999999999</v>
      </c>
      <c r="K57">
        <v>70461.899999999994</v>
      </c>
    </row>
    <row r="58" spans="1:11" x14ac:dyDescent="0.3">
      <c r="A58" t="s">
        <v>30</v>
      </c>
      <c r="B58">
        <v>102</v>
      </c>
      <c r="C58">
        <v>106990</v>
      </c>
      <c r="D58">
        <v>4.5999999999999996</v>
      </c>
      <c r="E58" t="s">
        <v>66</v>
      </c>
      <c r="F58" t="s">
        <v>76</v>
      </c>
      <c r="G58" t="s">
        <v>93</v>
      </c>
      <c r="H58" t="s">
        <v>115</v>
      </c>
      <c r="I58" t="s">
        <v>104</v>
      </c>
      <c r="J58">
        <v>20328.099999999999</v>
      </c>
      <c r="K58">
        <v>86661.9</v>
      </c>
    </row>
    <row r="59" spans="1:11" x14ac:dyDescent="0.3">
      <c r="A59" t="s">
        <v>31</v>
      </c>
      <c r="B59">
        <v>2.5</v>
      </c>
      <c r="C59">
        <v>85990</v>
      </c>
      <c r="D59">
        <v>4</v>
      </c>
      <c r="E59" t="s">
        <v>59</v>
      </c>
      <c r="F59" t="s">
        <v>75</v>
      </c>
      <c r="G59" t="s">
        <v>87</v>
      </c>
      <c r="H59" t="s">
        <v>106</v>
      </c>
      <c r="I59" t="s">
        <v>127</v>
      </c>
      <c r="J59">
        <v>22357.4</v>
      </c>
      <c r="K59">
        <v>63632.6</v>
      </c>
    </row>
    <row r="60" spans="1:11" x14ac:dyDescent="0.3">
      <c r="A60" t="s">
        <v>32</v>
      </c>
      <c r="B60">
        <v>2.5</v>
      </c>
      <c r="C60">
        <v>86990</v>
      </c>
      <c r="D60">
        <v>4</v>
      </c>
      <c r="E60" t="s">
        <v>59</v>
      </c>
      <c r="F60" t="s">
        <v>72</v>
      </c>
      <c r="G60" t="s">
        <v>84</v>
      </c>
      <c r="H60" t="s">
        <v>100</v>
      </c>
      <c r="I60" t="s">
        <v>127</v>
      </c>
      <c r="J60">
        <v>21747.5</v>
      </c>
      <c r="K60">
        <v>65242.5</v>
      </c>
    </row>
    <row r="61" spans="1:11" x14ac:dyDescent="0.3">
      <c r="A61" t="s">
        <v>33</v>
      </c>
      <c r="B61">
        <v>2.5</v>
      </c>
      <c r="C61">
        <v>73990</v>
      </c>
      <c r="D61">
        <v>4</v>
      </c>
      <c r="E61" t="s">
        <v>59</v>
      </c>
      <c r="F61" t="s">
        <v>73</v>
      </c>
      <c r="G61" t="s">
        <v>94</v>
      </c>
      <c r="H61" t="s">
        <v>116</v>
      </c>
      <c r="I61" t="s">
        <v>127</v>
      </c>
      <c r="J61">
        <v>9618.7000000000007</v>
      </c>
      <c r="K61">
        <v>64371.3</v>
      </c>
    </row>
    <row r="62" spans="1:11" x14ac:dyDescent="0.3">
      <c r="A62" t="s">
        <v>35</v>
      </c>
      <c r="B62">
        <v>60</v>
      </c>
      <c r="C62">
        <v>94990</v>
      </c>
      <c r="D62">
        <v>4.5999999999999996</v>
      </c>
      <c r="E62" t="s">
        <v>67</v>
      </c>
      <c r="F62" t="s">
        <v>72</v>
      </c>
      <c r="G62" t="s">
        <v>84</v>
      </c>
      <c r="H62" t="s">
        <v>100</v>
      </c>
      <c r="I62" t="s">
        <v>127</v>
      </c>
      <c r="J62">
        <v>24697.4</v>
      </c>
      <c r="K62">
        <v>70292.600000000006</v>
      </c>
    </row>
    <row r="63" spans="1:11" x14ac:dyDescent="0.3">
      <c r="A63" t="s">
        <v>34</v>
      </c>
      <c r="B63">
        <v>27</v>
      </c>
      <c r="C63">
        <v>92990</v>
      </c>
      <c r="D63">
        <v>4.5</v>
      </c>
      <c r="E63" t="s">
        <v>59</v>
      </c>
      <c r="F63" t="s">
        <v>77</v>
      </c>
      <c r="G63" t="s">
        <v>84</v>
      </c>
      <c r="H63" t="s">
        <v>117</v>
      </c>
      <c r="I63" t="s">
        <v>127</v>
      </c>
      <c r="J63">
        <v>11158.8</v>
      </c>
      <c r="K63">
        <v>81831.199999999997</v>
      </c>
    </row>
    <row r="64" spans="1:11" x14ac:dyDescent="0.3">
      <c r="A64" t="s">
        <v>36</v>
      </c>
      <c r="B64">
        <v>2.5</v>
      </c>
      <c r="C64">
        <v>441990</v>
      </c>
      <c r="D64">
        <v>4</v>
      </c>
      <c r="E64" t="s">
        <v>59</v>
      </c>
      <c r="F64" t="s">
        <v>75</v>
      </c>
      <c r="G64" t="s">
        <v>95</v>
      </c>
      <c r="H64" t="s">
        <v>117</v>
      </c>
      <c r="I64" t="s">
        <v>104</v>
      </c>
      <c r="J64">
        <v>0</v>
      </c>
      <c r="K64">
        <v>441990</v>
      </c>
    </row>
    <row r="65" spans="1:11" x14ac:dyDescent="0.3">
      <c r="A65" t="s">
        <v>20</v>
      </c>
      <c r="B65">
        <v>28</v>
      </c>
      <c r="C65">
        <v>145990</v>
      </c>
      <c r="D65">
        <v>4</v>
      </c>
      <c r="E65" t="s">
        <v>68</v>
      </c>
      <c r="F65" t="s">
        <v>79</v>
      </c>
      <c r="G65" t="s">
        <v>89</v>
      </c>
      <c r="H65" t="s">
        <v>119</v>
      </c>
      <c r="I65" t="s">
        <v>104</v>
      </c>
      <c r="J65">
        <v>33577.699999999997</v>
      </c>
      <c r="K65">
        <v>112412.3</v>
      </c>
    </row>
    <row r="66" spans="1:11" x14ac:dyDescent="0.3">
      <c r="A66" t="s">
        <v>37</v>
      </c>
      <c r="B66">
        <v>54</v>
      </c>
      <c r="C66">
        <v>124990</v>
      </c>
      <c r="D66">
        <v>4.5</v>
      </c>
      <c r="E66" t="s">
        <v>64</v>
      </c>
      <c r="F66" t="s">
        <v>78</v>
      </c>
      <c r="G66" t="s">
        <v>95</v>
      </c>
      <c r="H66" t="s">
        <v>118</v>
      </c>
      <c r="I66" t="s">
        <v>104</v>
      </c>
      <c r="J66">
        <v>28747.7</v>
      </c>
      <c r="K66">
        <v>96242.3</v>
      </c>
    </row>
    <row r="67" spans="1:11" x14ac:dyDescent="0.3">
      <c r="A67" t="s">
        <v>39</v>
      </c>
      <c r="B67">
        <v>3</v>
      </c>
      <c r="C67">
        <v>249990</v>
      </c>
      <c r="D67">
        <v>5</v>
      </c>
      <c r="E67" t="s">
        <v>59</v>
      </c>
      <c r="F67" t="s">
        <v>73</v>
      </c>
      <c r="G67" t="s">
        <v>91</v>
      </c>
      <c r="H67" t="s">
        <v>113</v>
      </c>
      <c r="I67" t="s">
        <v>127</v>
      </c>
      <c r="J67">
        <v>57497.7</v>
      </c>
      <c r="K67">
        <v>192492.3</v>
      </c>
    </row>
    <row r="68" spans="1:11" x14ac:dyDescent="0.3">
      <c r="A68" t="s">
        <v>40</v>
      </c>
      <c r="B68">
        <v>2.5</v>
      </c>
      <c r="C68">
        <v>100990</v>
      </c>
      <c r="D68">
        <v>4</v>
      </c>
      <c r="E68" t="s">
        <v>59</v>
      </c>
      <c r="F68" t="s">
        <v>73</v>
      </c>
      <c r="G68" t="s">
        <v>88</v>
      </c>
      <c r="H68" t="s">
        <v>108</v>
      </c>
      <c r="I68" t="s">
        <v>104</v>
      </c>
      <c r="J68">
        <v>18178.2</v>
      </c>
      <c r="K68">
        <v>82811.8</v>
      </c>
    </row>
    <row r="69" spans="1:11" x14ac:dyDescent="0.3">
      <c r="A69" t="s">
        <v>41</v>
      </c>
      <c r="B69">
        <v>2.5</v>
      </c>
      <c r="C69">
        <v>94990</v>
      </c>
      <c r="D69">
        <v>4</v>
      </c>
      <c r="E69" t="s">
        <v>59</v>
      </c>
      <c r="F69" t="s">
        <v>75</v>
      </c>
      <c r="G69" t="s">
        <v>84</v>
      </c>
      <c r="H69" t="s">
        <v>120</v>
      </c>
      <c r="I69" t="s">
        <v>127</v>
      </c>
      <c r="J69">
        <v>17098.2</v>
      </c>
      <c r="K69">
        <v>77891.8</v>
      </c>
    </row>
    <row r="70" spans="1:11" x14ac:dyDescent="0.3">
      <c r="A70" t="s">
        <v>42</v>
      </c>
      <c r="B70">
        <v>2.5</v>
      </c>
      <c r="C70">
        <v>164990</v>
      </c>
      <c r="D70">
        <v>4</v>
      </c>
      <c r="E70" t="s">
        <v>69</v>
      </c>
      <c r="F70" t="s">
        <v>78</v>
      </c>
      <c r="G70" t="s">
        <v>96</v>
      </c>
      <c r="H70" t="s">
        <v>121</v>
      </c>
      <c r="I70" t="s">
        <v>104</v>
      </c>
      <c r="J70">
        <v>37947.699999999997</v>
      </c>
      <c r="K70">
        <v>127042.3</v>
      </c>
    </row>
    <row r="71" spans="1:11" x14ac:dyDescent="0.3">
      <c r="A71" t="s">
        <v>43</v>
      </c>
      <c r="B71">
        <v>2.5</v>
      </c>
      <c r="C71">
        <v>234990</v>
      </c>
      <c r="D71">
        <v>4</v>
      </c>
      <c r="E71" t="s">
        <v>59</v>
      </c>
      <c r="F71" t="s">
        <v>73</v>
      </c>
      <c r="G71" t="s">
        <v>97</v>
      </c>
      <c r="H71" t="s">
        <v>119</v>
      </c>
      <c r="I71" t="s">
        <v>127</v>
      </c>
      <c r="J71">
        <v>63447.3</v>
      </c>
      <c r="K71">
        <v>171542.7</v>
      </c>
    </row>
    <row r="72" spans="1:11" x14ac:dyDescent="0.3">
      <c r="A72" t="s">
        <v>44</v>
      </c>
      <c r="B72">
        <v>2.5</v>
      </c>
      <c r="C72">
        <v>129990</v>
      </c>
      <c r="D72">
        <v>4</v>
      </c>
      <c r="E72" t="s">
        <v>59</v>
      </c>
      <c r="F72" t="s">
        <v>76</v>
      </c>
      <c r="G72" t="s">
        <v>93</v>
      </c>
      <c r="H72" t="s">
        <v>122</v>
      </c>
      <c r="I72" t="s">
        <v>104</v>
      </c>
      <c r="J72">
        <v>42896.7</v>
      </c>
      <c r="K72">
        <v>87093.3</v>
      </c>
    </row>
    <row r="73" spans="1:11" x14ac:dyDescent="0.3">
      <c r="A73" t="s">
        <v>45</v>
      </c>
      <c r="B73">
        <v>2.5</v>
      </c>
      <c r="C73">
        <v>94990</v>
      </c>
      <c r="D73">
        <v>4</v>
      </c>
      <c r="E73" t="s">
        <v>59</v>
      </c>
      <c r="F73" t="s">
        <v>76</v>
      </c>
      <c r="G73" t="s">
        <v>98</v>
      </c>
      <c r="H73" t="s">
        <v>123</v>
      </c>
      <c r="I73" t="s">
        <v>104</v>
      </c>
      <c r="J73">
        <v>20897.8</v>
      </c>
      <c r="K73">
        <v>74092.2</v>
      </c>
    </row>
    <row r="74" spans="1:11" x14ac:dyDescent="0.3">
      <c r="A74" t="s">
        <v>46</v>
      </c>
      <c r="B74">
        <v>2</v>
      </c>
      <c r="C74">
        <v>146490</v>
      </c>
      <c r="D74">
        <v>3</v>
      </c>
      <c r="E74" t="s">
        <v>59</v>
      </c>
      <c r="F74" t="s">
        <v>73</v>
      </c>
      <c r="G74" t="s">
        <v>99</v>
      </c>
      <c r="H74" t="s">
        <v>124</v>
      </c>
      <c r="I74" t="s">
        <v>127</v>
      </c>
      <c r="J74">
        <v>0</v>
      </c>
      <c r="K74">
        <v>146490</v>
      </c>
    </row>
    <row r="75" spans="1:11" x14ac:dyDescent="0.3">
      <c r="A75" t="s">
        <v>47</v>
      </c>
      <c r="B75">
        <v>2.5</v>
      </c>
      <c r="C75">
        <v>113490</v>
      </c>
      <c r="D75">
        <v>4</v>
      </c>
      <c r="E75" t="s">
        <v>70</v>
      </c>
      <c r="F75" t="s">
        <v>72</v>
      </c>
      <c r="G75" t="s">
        <v>84</v>
      </c>
      <c r="H75" t="s">
        <v>100</v>
      </c>
      <c r="I75" t="s">
        <v>127</v>
      </c>
      <c r="J75">
        <v>12483.9</v>
      </c>
      <c r="K75">
        <v>101006.1</v>
      </c>
    </row>
    <row r="76" spans="1:11" x14ac:dyDescent="0.3">
      <c r="A76" t="s">
        <v>48</v>
      </c>
      <c r="B76">
        <v>20</v>
      </c>
      <c r="C76">
        <v>174989</v>
      </c>
      <c r="D76">
        <v>4.2</v>
      </c>
      <c r="E76" t="s">
        <v>59</v>
      </c>
      <c r="F76" t="s">
        <v>80</v>
      </c>
      <c r="G76" t="s">
        <v>95</v>
      </c>
      <c r="H76" t="s">
        <v>125</v>
      </c>
      <c r="I76" t="s">
        <v>104</v>
      </c>
      <c r="J76">
        <v>0</v>
      </c>
      <c r="K76">
        <v>174989</v>
      </c>
    </row>
    <row r="77" spans="1:11" x14ac:dyDescent="0.3">
      <c r="A77" t="s">
        <v>49</v>
      </c>
      <c r="B77">
        <v>2.5</v>
      </c>
      <c r="C77">
        <v>78897</v>
      </c>
      <c r="D77">
        <v>4</v>
      </c>
      <c r="E77" t="s">
        <v>59</v>
      </c>
      <c r="F77" t="s">
        <v>73</v>
      </c>
      <c r="G77" t="s">
        <v>90</v>
      </c>
      <c r="H77" t="s">
        <v>103</v>
      </c>
      <c r="I77" t="s">
        <v>104</v>
      </c>
      <c r="J77">
        <v>12623.52</v>
      </c>
      <c r="K77">
        <v>66273.48</v>
      </c>
    </row>
    <row r="78" spans="1:11" x14ac:dyDescent="0.3">
      <c r="A78" t="s">
        <v>50</v>
      </c>
      <c r="B78">
        <v>2.5</v>
      </c>
      <c r="C78">
        <v>139990</v>
      </c>
      <c r="D78">
        <v>4</v>
      </c>
      <c r="E78" t="s">
        <v>71</v>
      </c>
      <c r="F78" t="s">
        <v>78</v>
      </c>
      <c r="G78" t="s">
        <v>96</v>
      </c>
      <c r="H78" t="s">
        <v>121</v>
      </c>
      <c r="I78" t="s">
        <v>104</v>
      </c>
      <c r="J78">
        <v>27998</v>
      </c>
      <c r="K78">
        <v>111992</v>
      </c>
    </row>
    <row r="79" spans="1:11" x14ac:dyDescent="0.3">
      <c r="A79" t="s">
        <v>51</v>
      </c>
      <c r="B79">
        <v>2.5</v>
      </c>
      <c r="C79">
        <v>182988</v>
      </c>
      <c r="D79">
        <v>4</v>
      </c>
      <c r="E79" t="s">
        <v>59</v>
      </c>
      <c r="F79" t="s">
        <v>81</v>
      </c>
      <c r="G79" t="s">
        <v>95</v>
      </c>
      <c r="H79" t="s">
        <v>119</v>
      </c>
      <c r="I79" t="s">
        <v>104</v>
      </c>
      <c r="J79">
        <v>31107.96</v>
      </c>
      <c r="K79">
        <v>151880.04</v>
      </c>
    </row>
    <row r="80" spans="1:11" x14ac:dyDescent="0.3">
      <c r="A80" t="s">
        <v>52</v>
      </c>
      <c r="B80">
        <v>2</v>
      </c>
      <c r="C80">
        <v>139990</v>
      </c>
      <c r="D80">
        <v>5</v>
      </c>
      <c r="E80" t="s">
        <v>59</v>
      </c>
      <c r="F80" t="s">
        <v>73</v>
      </c>
      <c r="G80" t="s">
        <v>90</v>
      </c>
      <c r="H80" t="s">
        <v>126</v>
      </c>
      <c r="I80" t="s">
        <v>127</v>
      </c>
      <c r="J80">
        <v>0</v>
      </c>
      <c r="K80">
        <v>139990</v>
      </c>
    </row>
    <row r="81" spans="1:11" x14ac:dyDescent="0.3">
      <c r="A81" t="s">
        <v>48</v>
      </c>
      <c r="B81">
        <v>2.5</v>
      </c>
      <c r="C81">
        <v>143500</v>
      </c>
      <c r="D81">
        <v>4</v>
      </c>
      <c r="E81" t="s">
        <v>59</v>
      </c>
      <c r="F81" t="s">
        <v>78</v>
      </c>
      <c r="G81" t="s">
        <v>90</v>
      </c>
      <c r="H81" t="s">
        <v>118</v>
      </c>
      <c r="I81" t="s">
        <v>104</v>
      </c>
      <c r="J81">
        <v>37310</v>
      </c>
      <c r="K81">
        <v>106190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BDAA7-25BF-4E3C-9345-6E12B4C6E623}">
  <dimension ref="A1:K81"/>
  <sheetViews>
    <sheetView workbookViewId="0">
      <selection activeCell="M5" sqref="M5"/>
    </sheetView>
  </sheetViews>
  <sheetFormatPr defaultRowHeight="14.4" x14ac:dyDescent="0.3"/>
  <cols>
    <col min="1" max="1" width="53.77734375" bestFit="1" customWidth="1"/>
    <col min="2" max="2" width="11" bestFit="1" customWidth="1"/>
    <col min="3" max="3" width="9.5546875" bestFit="1" customWidth="1"/>
    <col min="4" max="4" width="7.77734375" customWidth="1"/>
    <col min="5" max="5" width="19.44140625" bestFit="1" customWidth="1"/>
    <col min="6" max="6" width="13.88671875" bestFit="1" customWidth="1"/>
    <col min="7" max="7" width="16.109375" bestFit="1" customWidth="1"/>
    <col min="8" max="9" width="13.88671875" bestFit="1" customWidth="1"/>
    <col min="10" max="10" width="19.44140625" bestFit="1" customWidth="1"/>
    <col min="11" max="11" width="13.88671875" bestFit="1" customWidth="1"/>
  </cols>
  <sheetData>
    <row r="1" spans="1:11" x14ac:dyDescent="0.3">
      <c r="A1" s="2" t="s">
        <v>0</v>
      </c>
      <c r="B1" s="2" t="s">
        <v>1</v>
      </c>
      <c r="C1" s="2" t="s">
        <v>2</v>
      </c>
      <c r="D1" s="2" t="s">
        <v>3</v>
      </c>
      <c r="E1" s="2" t="s">
        <v>9</v>
      </c>
      <c r="F1" s="2" t="s">
        <v>10</v>
      </c>
      <c r="G1" s="2" t="s">
        <v>4</v>
      </c>
      <c r="H1" s="2" t="s">
        <v>5</v>
      </c>
      <c r="I1" s="2" t="s">
        <v>6</v>
      </c>
      <c r="J1" s="2" t="s">
        <v>7</v>
      </c>
      <c r="K1" s="2" t="s">
        <v>8</v>
      </c>
    </row>
    <row r="2" spans="1:11" x14ac:dyDescent="0.3">
      <c r="A2" t="s">
        <v>11</v>
      </c>
      <c r="B2">
        <v>1942</v>
      </c>
      <c r="C2">
        <v>64990</v>
      </c>
      <c r="D2">
        <v>4.4000000000000004</v>
      </c>
      <c r="E2">
        <v>17547.3</v>
      </c>
      <c r="F2">
        <v>47442.7</v>
      </c>
      <c r="G2" t="s">
        <v>53</v>
      </c>
      <c r="H2" t="s">
        <v>72</v>
      </c>
      <c r="I2" t="s">
        <v>82</v>
      </c>
      <c r="J2" t="s">
        <v>100</v>
      </c>
      <c r="K2" t="s">
        <v>104</v>
      </c>
    </row>
    <row r="3" spans="1:11" x14ac:dyDescent="0.3">
      <c r="A3" t="s">
        <v>12</v>
      </c>
      <c r="B3">
        <v>74</v>
      </c>
      <c r="C3">
        <v>76990</v>
      </c>
      <c r="D3">
        <v>4.4000000000000004</v>
      </c>
      <c r="E3">
        <v>11548.5</v>
      </c>
      <c r="F3">
        <v>65441.5</v>
      </c>
      <c r="G3" t="s">
        <v>54</v>
      </c>
      <c r="H3" t="s">
        <v>73</v>
      </c>
      <c r="I3" t="s">
        <v>83</v>
      </c>
      <c r="J3" t="s">
        <v>101</v>
      </c>
      <c r="K3" t="s">
        <v>127</v>
      </c>
    </row>
    <row r="4" spans="1:11" x14ac:dyDescent="0.3">
      <c r="A4" t="s">
        <v>13</v>
      </c>
      <c r="B4">
        <v>380</v>
      </c>
      <c r="C4">
        <v>68990</v>
      </c>
      <c r="D4">
        <v>4.5</v>
      </c>
      <c r="E4">
        <v>15867.7</v>
      </c>
      <c r="F4">
        <v>53122.3</v>
      </c>
      <c r="G4" t="s">
        <v>55</v>
      </c>
      <c r="H4" t="s">
        <v>73</v>
      </c>
      <c r="I4" t="s">
        <v>82</v>
      </c>
      <c r="J4" t="s">
        <v>102</v>
      </c>
      <c r="K4" t="s">
        <v>127</v>
      </c>
    </row>
    <row r="5" spans="1:11" x14ac:dyDescent="0.3">
      <c r="A5" t="s">
        <v>14</v>
      </c>
      <c r="B5">
        <v>121</v>
      </c>
      <c r="C5">
        <v>105990</v>
      </c>
      <c r="D5">
        <v>4.5999999999999996</v>
      </c>
      <c r="E5">
        <v>23317.8</v>
      </c>
      <c r="F5">
        <v>82672.2</v>
      </c>
      <c r="G5" t="s">
        <v>56</v>
      </c>
      <c r="H5" t="s">
        <v>73</v>
      </c>
      <c r="I5" t="s">
        <v>84</v>
      </c>
      <c r="J5" t="s">
        <v>102</v>
      </c>
      <c r="K5" t="s">
        <v>127</v>
      </c>
    </row>
    <row r="6" spans="1:11" x14ac:dyDescent="0.3">
      <c r="A6" t="s">
        <v>15</v>
      </c>
      <c r="B6">
        <v>27</v>
      </c>
      <c r="C6">
        <v>89990</v>
      </c>
      <c r="D6">
        <v>4.5999999999999996</v>
      </c>
      <c r="E6">
        <v>20697.7</v>
      </c>
      <c r="F6">
        <v>69292.3</v>
      </c>
      <c r="G6" t="s">
        <v>57</v>
      </c>
      <c r="H6" t="s">
        <v>73</v>
      </c>
      <c r="I6" t="s">
        <v>84</v>
      </c>
      <c r="J6" t="s">
        <v>102</v>
      </c>
      <c r="K6" t="s">
        <v>127</v>
      </c>
    </row>
    <row r="7" spans="1:11" x14ac:dyDescent="0.3">
      <c r="A7" t="s">
        <v>16</v>
      </c>
      <c r="B7">
        <v>90</v>
      </c>
      <c r="C7">
        <v>79990</v>
      </c>
      <c r="D7">
        <v>4.4000000000000004</v>
      </c>
      <c r="E7">
        <v>1599.8</v>
      </c>
      <c r="F7">
        <v>78390.2</v>
      </c>
      <c r="G7" t="s">
        <v>58</v>
      </c>
      <c r="H7" t="s">
        <v>73</v>
      </c>
      <c r="I7" t="s">
        <v>82</v>
      </c>
      <c r="J7" t="s">
        <v>103</v>
      </c>
      <c r="K7" t="s">
        <v>127</v>
      </c>
    </row>
    <row r="8" spans="1:11" x14ac:dyDescent="0.3">
      <c r="A8" t="s">
        <v>17</v>
      </c>
      <c r="B8">
        <v>3</v>
      </c>
      <c r="C8">
        <v>60980</v>
      </c>
      <c r="D8">
        <v>4.7</v>
      </c>
      <c r="E8">
        <v>13415.6</v>
      </c>
      <c r="F8">
        <v>47564.4</v>
      </c>
      <c r="G8" t="s">
        <v>59</v>
      </c>
      <c r="H8" t="s">
        <v>73</v>
      </c>
      <c r="I8" t="s">
        <v>85</v>
      </c>
      <c r="J8" t="s">
        <v>104</v>
      </c>
      <c r="K8" t="s">
        <v>127</v>
      </c>
    </row>
    <row r="9" spans="1:11" x14ac:dyDescent="0.3">
      <c r="A9" t="s">
        <v>18</v>
      </c>
      <c r="B9">
        <v>1310</v>
      </c>
      <c r="C9">
        <v>54990</v>
      </c>
      <c r="D9">
        <v>4.4000000000000004</v>
      </c>
      <c r="E9">
        <v>15397.2</v>
      </c>
      <c r="F9">
        <v>39592.800000000003</v>
      </c>
      <c r="G9" t="s">
        <v>60</v>
      </c>
      <c r="H9" t="s">
        <v>73</v>
      </c>
      <c r="I9" t="s">
        <v>86</v>
      </c>
      <c r="J9" t="s">
        <v>105</v>
      </c>
      <c r="K9" t="s">
        <v>104</v>
      </c>
    </row>
    <row r="10" spans="1:11" x14ac:dyDescent="0.3">
      <c r="A10" t="s">
        <v>11</v>
      </c>
      <c r="B10">
        <v>2559</v>
      </c>
      <c r="C10">
        <v>60990</v>
      </c>
      <c r="D10">
        <v>4.5</v>
      </c>
      <c r="E10">
        <v>15247.5</v>
      </c>
      <c r="F10">
        <v>45742.5</v>
      </c>
      <c r="G10" t="s">
        <v>61</v>
      </c>
      <c r="H10" t="s">
        <v>73</v>
      </c>
      <c r="I10" t="s">
        <v>82</v>
      </c>
      <c r="J10" t="s">
        <v>100</v>
      </c>
      <c r="K10" t="s">
        <v>127</v>
      </c>
    </row>
    <row r="11" spans="1:11" x14ac:dyDescent="0.3">
      <c r="A11" t="s">
        <v>19</v>
      </c>
      <c r="B11">
        <v>112</v>
      </c>
      <c r="C11">
        <v>92990</v>
      </c>
      <c r="D11">
        <v>4.5</v>
      </c>
      <c r="E11">
        <v>17668.099999999999</v>
      </c>
      <c r="F11">
        <v>75321.899999999994</v>
      </c>
      <c r="G11" t="s">
        <v>62</v>
      </c>
      <c r="H11" t="s">
        <v>74</v>
      </c>
      <c r="I11" t="s">
        <v>84</v>
      </c>
      <c r="J11" t="s">
        <v>106</v>
      </c>
      <c r="K11" t="s">
        <v>127</v>
      </c>
    </row>
    <row r="12" spans="1:11" x14ac:dyDescent="0.3">
      <c r="A12" t="s">
        <v>20</v>
      </c>
      <c r="B12">
        <v>69</v>
      </c>
      <c r="C12">
        <v>143990</v>
      </c>
      <c r="D12">
        <v>4.2</v>
      </c>
      <c r="E12">
        <v>33117.699999999997</v>
      </c>
      <c r="F12">
        <v>110872.3</v>
      </c>
      <c r="G12" t="s">
        <v>59</v>
      </c>
      <c r="H12" t="s">
        <v>73</v>
      </c>
      <c r="I12" t="s">
        <v>87</v>
      </c>
      <c r="J12" t="s">
        <v>107</v>
      </c>
      <c r="K12" t="s">
        <v>104</v>
      </c>
    </row>
    <row r="13" spans="1:11" x14ac:dyDescent="0.3">
      <c r="A13" t="s">
        <v>21</v>
      </c>
      <c r="B13">
        <v>2.5</v>
      </c>
      <c r="C13">
        <v>89990</v>
      </c>
      <c r="D13">
        <v>4</v>
      </c>
      <c r="E13">
        <v>18897.900000000001</v>
      </c>
      <c r="F13">
        <v>71092.100000000006</v>
      </c>
      <c r="G13" t="s">
        <v>59</v>
      </c>
      <c r="H13" t="s">
        <v>73</v>
      </c>
      <c r="I13" t="s">
        <v>88</v>
      </c>
      <c r="J13" t="s">
        <v>108</v>
      </c>
      <c r="K13" t="s">
        <v>127</v>
      </c>
    </row>
    <row r="14" spans="1:11" x14ac:dyDescent="0.3">
      <c r="A14" t="s">
        <v>22</v>
      </c>
      <c r="B14">
        <v>2.5</v>
      </c>
      <c r="C14">
        <v>89990</v>
      </c>
      <c r="D14">
        <v>4</v>
      </c>
      <c r="E14">
        <v>18897.900000000001</v>
      </c>
      <c r="F14">
        <v>71092.100000000006</v>
      </c>
      <c r="G14" t="s">
        <v>59</v>
      </c>
      <c r="H14" t="s">
        <v>73</v>
      </c>
      <c r="I14" t="s">
        <v>89</v>
      </c>
      <c r="J14" t="s">
        <v>109</v>
      </c>
      <c r="K14" t="s">
        <v>127</v>
      </c>
    </row>
    <row r="15" spans="1:11" x14ac:dyDescent="0.3">
      <c r="A15" t="s">
        <v>23</v>
      </c>
      <c r="B15">
        <v>165</v>
      </c>
      <c r="C15">
        <v>99990</v>
      </c>
      <c r="D15">
        <v>4.4000000000000004</v>
      </c>
      <c r="E15">
        <v>3999.6</v>
      </c>
      <c r="F15">
        <v>95990.399999999994</v>
      </c>
      <c r="G15" t="s">
        <v>63</v>
      </c>
      <c r="H15" t="s">
        <v>73</v>
      </c>
      <c r="I15" t="s">
        <v>89</v>
      </c>
      <c r="J15" t="s">
        <v>110</v>
      </c>
      <c r="K15" t="s">
        <v>104</v>
      </c>
    </row>
    <row r="16" spans="1:11" x14ac:dyDescent="0.3">
      <c r="A16" t="s">
        <v>24</v>
      </c>
      <c r="B16">
        <v>23</v>
      </c>
      <c r="C16">
        <v>64990</v>
      </c>
      <c r="D16">
        <v>4.3</v>
      </c>
      <c r="E16">
        <v>13647.9</v>
      </c>
      <c r="F16">
        <v>51342.1</v>
      </c>
      <c r="G16" t="s">
        <v>59</v>
      </c>
      <c r="H16" t="s">
        <v>73</v>
      </c>
      <c r="I16" t="s">
        <v>82</v>
      </c>
      <c r="J16" t="s">
        <v>103</v>
      </c>
      <c r="K16" t="s">
        <v>127</v>
      </c>
    </row>
    <row r="17" spans="1:11" x14ac:dyDescent="0.3">
      <c r="A17" t="s">
        <v>25</v>
      </c>
      <c r="B17">
        <v>2.5</v>
      </c>
      <c r="C17">
        <v>124990</v>
      </c>
      <c r="D17">
        <v>4</v>
      </c>
      <c r="E17">
        <v>28747.7</v>
      </c>
      <c r="F17">
        <v>96242.3</v>
      </c>
      <c r="G17" t="s">
        <v>64</v>
      </c>
      <c r="H17" t="s">
        <v>73</v>
      </c>
      <c r="I17" t="s">
        <v>87</v>
      </c>
      <c r="J17" t="s">
        <v>111</v>
      </c>
      <c r="K17" t="s">
        <v>127</v>
      </c>
    </row>
    <row r="18" spans="1:11" x14ac:dyDescent="0.3">
      <c r="A18" t="s">
        <v>26</v>
      </c>
      <c r="B18">
        <v>2.5</v>
      </c>
      <c r="C18">
        <v>124990</v>
      </c>
      <c r="D18">
        <v>4</v>
      </c>
      <c r="E18">
        <v>23748.1</v>
      </c>
      <c r="F18">
        <v>101241.9</v>
      </c>
      <c r="G18" t="s">
        <v>59</v>
      </c>
      <c r="H18" t="s">
        <v>75</v>
      </c>
      <c r="I18" t="s">
        <v>90</v>
      </c>
      <c r="J18" t="s">
        <v>112</v>
      </c>
      <c r="K18" t="s">
        <v>127</v>
      </c>
    </row>
    <row r="19" spans="1:11" x14ac:dyDescent="0.3">
      <c r="A19" t="s">
        <v>27</v>
      </c>
      <c r="B19">
        <v>6</v>
      </c>
      <c r="C19">
        <v>225990</v>
      </c>
      <c r="D19">
        <v>4.5</v>
      </c>
      <c r="E19">
        <v>38418.300000000003</v>
      </c>
      <c r="F19">
        <v>187571.7</v>
      </c>
      <c r="G19" t="s">
        <v>59</v>
      </c>
      <c r="H19" t="s">
        <v>73</v>
      </c>
      <c r="I19" t="s">
        <v>91</v>
      </c>
      <c r="J19" t="s">
        <v>113</v>
      </c>
      <c r="K19" t="s">
        <v>127</v>
      </c>
    </row>
    <row r="20" spans="1:11" x14ac:dyDescent="0.3">
      <c r="A20" t="s">
        <v>28</v>
      </c>
      <c r="B20">
        <v>95</v>
      </c>
      <c r="C20">
        <v>87990</v>
      </c>
      <c r="D20">
        <v>4.5</v>
      </c>
      <c r="E20">
        <v>20237.7</v>
      </c>
      <c r="F20">
        <v>67752.3</v>
      </c>
      <c r="G20" t="s">
        <v>65</v>
      </c>
      <c r="H20" t="s">
        <v>72</v>
      </c>
      <c r="I20" t="s">
        <v>87</v>
      </c>
      <c r="J20" t="s">
        <v>114</v>
      </c>
      <c r="K20" t="s">
        <v>127</v>
      </c>
    </row>
    <row r="21" spans="1:11" x14ac:dyDescent="0.3">
      <c r="A21" t="s">
        <v>29</v>
      </c>
      <c r="B21">
        <v>2.5</v>
      </c>
      <c r="C21">
        <v>92990</v>
      </c>
      <c r="D21">
        <v>4</v>
      </c>
      <c r="E21">
        <v>21387.7</v>
      </c>
      <c r="F21">
        <v>71602.3</v>
      </c>
      <c r="G21" t="s">
        <v>59</v>
      </c>
      <c r="H21" t="s">
        <v>73</v>
      </c>
      <c r="I21" t="s">
        <v>92</v>
      </c>
      <c r="J21" t="s">
        <v>103</v>
      </c>
      <c r="K21" t="s">
        <v>127</v>
      </c>
    </row>
    <row r="22" spans="1:11" x14ac:dyDescent="0.3">
      <c r="A22" t="s">
        <v>21</v>
      </c>
      <c r="B22">
        <v>2.5</v>
      </c>
      <c r="C22">
        <v>86990</v>
      </c>
      <c r="D22">
        <v>4</v>
      </c>
      <c r="E22">
        <v>16528.099999999999</v>
      </c>
      <c r="F22">
        <v>70461.899999999994</v>
      </c>
      <c r="G22" t="s">
        <v>59</v>
      </c>
      <c r="H22" t="s">
        <v>73</v>
      </c>
      <c r="I22" t="s">
        <v>89</v>
      </c>
      <c r="J22" t="s">
        <v>108</v>
      </c>
      <c r="K22" t="s">
        <v>127</v>
      </c>
    </row>
    <row r="23" spans="1:11" x14ac:dyDescent="0.3">
      <c r="A23" t="s">
        <v>30</v>
      </c>
      <c r="B23">
        <v>102</v>
      </c>
      <c r="C23">
        <v>106990</v>
      </c>
      <c r="D23">
        <v>4.5999999999999996</v>
      </c>
      <c r="E23">
        <v>20328.099999999999</v>
      </c>
      <c r="F23">
        <v>86661.9</v>
      </c>
      <c r="G23" t="s">
        <v>66</v>
      </c>
      <c r="H23" t="s">
        <v>76</v>
      </c>
      <c r="I23" t="s">
        <v>93</v>
      </c>
      <c r="J23" t="s">
        <v>115</v>
      </c>
      <c r="K23" t="s">
        <v>104</v>
      </c>
    </row>
    <row r="24" spans="1:11" x14ac:dyDescent="0.3">
      <c r="A24" t="s">
        <v>31</v>
      </c>
      <c r="B24">
        <v>2.5</v>
      </c>
      <c r="C24">
        <v>85990</v>
      </c>
      <c r="D24">
        <v>4</v>
      </c>
      <c r="E24">
        <v>22357.4</v>
      </c>
      <c r="F24">
        <v>63632.6</v>
      </c>
      <c r="G24" t="s">
        <v>59</v>
      </c>
      <c r="H24" t="s">
        <v>75</v>
      </c>
      <c r="I24" t="s">
        <v>87</v>
      </c>
      <c r="J24" t="s">
        <v>106</v>
      </c>
      <c r="K24" t="s">
        <v>127</v>
      </c>
    </row>
    <row r="25" spans="1:11" x14ac:dyDescent="0.3">
      <c r="A25" t="s">
        <v>32</v>
      </c>
      <c r="B25">
        <v>2.5</v>
      </c>
      <c r="C25">
        <v>86990</v>
      </c>
      <c r="D25">
        <v>4</v>
      </c>
      <c r="E25">
        <v>21747.5</v>
      </c>
      <c r="F25">
        <v>65242.5</v>
      </c>
      <c r="G25" t="s">
        <v>59</v>
      </c>
      <c r="H25" t="s">
        <v>72</v>
      </c>
      <c r="I25" t="s">
        <v>84</v>
      </c>
      <c r="J25" t="s">
        <v>100</v>
      </c>
      <c r="K25" t="s">
        <v>127</v>
      </c>
    </row>
    <row r="26" spans="1:11" x14ac:dyDescent="0.3">
      <c r="A26" t="s">
        <v>33</v>
      </c>
      <c r="B26">
        <v>2.5</v>
      </c>
      <c r="C26">
        <v>73990</v>
      </c>
      <c r="D26">
        <v>4</v>
      </c>
      <c r="E26">
        <v>9618.7000000000007</v>
      </c>
      <c r="F26">
        <v>64371.3</v>
      </c>
      <c r="G26" t="s">
        <v>59</v>
      </c>
      <c r="H26" t="s">
        <v>73</v>
      </c>
      <c r="I26" t="s">
        <v>94</v>
      </c>
      <c r="J26" t="s">
        <v>116</v>
      </c>
      <c r="K26" t="s">
        <v>127</v>
      </c>
    </row>
    <row r="27" spans="1:11" x14ac:dyDescent="0.3">
      <c r="A27" t="s">
        <v>34</v>
      </c>
      <c r="B27">
        <v>27</v>
      </c>
      <c r="C27">
        <v>92990</v>
      </c>
      <c r="D27">
        <v>4.5</v>
      </c>
      <c r="E27">
        <v>11158.8</v>
      </c>
      <c r="F27">
        <v>81831.199999999997</v>
      </c>
      <c r="G27" t="s">
        <v>59</v>
      </c>
      <c r="H27" t="s">
        <v>77</v>
      </c>
      <c r="I27" t="s">
        <v>84</v>
      </c>
      <c r="J27" t="s">
        <v>117</v>
      </c>
      <c r="K27" t="s">
        <v>127</v>
      </c>
    </row>
    <row r="28" spans="1:11" x14ac:dyDescent="0.3">
      <c r="A28" t="s">
        <v>35</v>
      </c>
      <c r="B28">
        <v>60</v>
      </c>
      <c r="C28">
        <v>94990</v>
      </c>
      <c r="D28">
        <v>4.5999999999999996</v>
      </c>
      <c r="E28">
        <v>24697.4</v>
      </c>
      <c r="F28">
        <v>70292.600000000006</v>
      </c>
      <c r="G28" t="s">
        <v>67</v>
      </c>
      <c r="H28" t="s">
        <v>72</v>
      </c>
      <c r="I28" t="s">
        <v>84</v>
      </c>
      <c r="J28" t="s">
        <v>100</v>
      </c>
      <c r="K28" t="s">
        <v>127</v>
      </c>
    </row>
    <row r="29" spans="1:11" x14ac:dyDescent="0.3">
      <c r="A29" t="s">
        <v>36</v>
      </c>
      <c r="B29">
        <v>2.5</v>
      </c>
      <c r="C29">
        <v>441990</v>
      </c>
      <c r="D29">
        <v>4</v>
      </c>
      <c r="E29">
        <v>0</v>
      </c>
      <c r="F29">
        <v>441990</v>
      </c>
      <c r="G29" t="s">
        <v>59</v>
      </c>
      <c r="H29" t="s">
        <v>75</v>
      </c>
      <c r="I29" t="s">
        <v>95</v>
      </c>
      <c r="J29" t="s">
        <v>117</v>
      </c>
      <c r="K29" t="s">
        <v>104</v>
      </c>
    </row>
    <row r="30" spans="1:11" x14ac:dyDescent="0.3">
      <c r="A30" t="s">
        <v>37</v>
      </c>
      <c r="B30">
        <v>54</v>
      </c>
      <c r="C30">
        <v>124990</v>
      </c>
      <c r="D30">
        <v>4.5</v>
      </c>
      <c r="E30">
        <v>28747.7</v>
      </c>
      <c r="F30">
        <v>96242.3</v>
      </c>
      <c r="G30" t="s">
        <v>64</v>
      </c>
      <c r="H30" t="s">
        <v>78</v>
      </c>
      <c r="I30" t="s">
        <v>95</v>
      </c>
      <c r="J30" t="s">
        <v>118</v>
      </c>
      <c r="K30" t="s">
        <v>104</v>
      </c>
    </row>
    <row r="31" spans="1:11" x14ac:dyDescent="0.3">
      <c r="A31" t="s">
        <v>20</v>
      </c>
      <c r="B31">
        <v>28</v>
      </c>
      <c r="C31">
        <v>145990</v>
      </c>
      <c r="D31">
        <v>4</v>
      </c>
      <c r="E31">
        <v>33577.699999999997</v>
      </c>
      <c r="F31">
        <v>112412.3</v>
      </c>
      <c r="G31" t="s">
        <v>68</v>
      </c>
      <c r="H31" t="s">
        <v>79</v>
      </c>
      <c r="I31" t="s">
        <v>89</v>
      </c>
      <c r="J31" t="s">
        <v>119</v>
      </c>
      <c r="K31" t="s">
        <v>104</v>
      </c>
    </row>
    <row r="32" spans="1:11" x14ac:dyDescent="0.3">
      <c r="A32" t="s">
        <v>38</v>
      </c>
      <c r="B32">
        <v>2.5</v>
      </c>
      <c r="C32">
        <v>105590</v>
      </c>
      <c r="D32">
        <v>4</v>
      </c>
      <c r="E32">
        <v>19006.2</v>
      </c>
      <c r="F32">
        <v>86583.8</v>
      </c>
      <c r="G32" t="s">
        <v>59</v>
      </c>
      <c r="H32" t="s">
        <v>73</v>
      </c>
      <c r="I32" t="s">
        <v>88</v>
      </c>
      <c r="J32" t="s">
        <v>108</v>
      </c>
      <c r="K32" t="s">
        <v>104</v>
      </c>
    </row>
    <row r="33" spans="1:11" x14ac:dyDescent="0.3">
      <c r="A33" t="s">
        <v>39</v>
      </c>
      <c r="B33">
        <v>3</v>
      </c>
      <c r="C33">
        <v>249990</v>
      </c>
      <c r="D33">
        <v>5</v>
      </c>
      <c r="E33">
        <v>57497.7</v>
      </c>
      <c r="F33">
        <v>192492.3</v>
      </c>
      <c r="G33" t="s">
        <v>59</v>
      </c>
      <c r="H33" t="s">
        <v>73</v>
      </c>
      <c r="I33" t="s">
        <v>91</v>
      </c>
      <c r="J33" t="s">
        <v>113</v>
      </c>
      <c r="K33" t="s">
        <v>127</v>
      </c>
    </row>
    <row r="34" spans="1:11" x14ac:dyDescent="0.3">
      <c r="A34" t="s">
        <v>40</v>
      </c>
      <c r="B34">
        <v>2.5</v>
      </c>
      <c r="C34">
        <v>100990</v>
      </c>
      <c r="D34">
        <v>4</v>
      </c>
      <c r="E34">
        <v>18178.2</v>
      </c>
      <c r="F34">
        <v>82811.8</v>
      </c>
      <c r="G34" t="s">
        <v>59</v>
      </c>
      <c r="H34" t="s">
        <v>73</v>
      </c>
      <c r="I34" t="s">
        <v>88</v>
      </c>
      <c r="J34" t="s">
        <v>108</v>
      </c>
      <c r="K34" t="s">
        <v>104</v>
      </c>
    </row>
    <row r="35" spans="1:11" x14ac:dyDescent="0.3">
      <c r="A35" t="s">
        <v>41</v>
      </c>
      <c r="B35">
        <v>2.5</v>
      </c>
      <c r="C35">
        <v>94990</v>
      </c>
      <c r="D35">
        <v>4</v>
      </c>
      <c r="E35">
        <v>17098.2</v>
      </c>
      <c r="F35">
        <v>77891.8</v>
      </c>
      <c r="G35" t="s">
        <v>59</v>
      </c>
      <c r="H35" t="s">
        <v>75</v>
      </c>
      <c r="I35" t="s">
        <v>84</v>
      </c>
      <c r="J35" t="s">
        <v>120</v>
      </c>
      <c r="K35" t="s">
        <v>127</v>
      </c>
    </row>
    <row r="36" spans="1:11" x14ac:dyDescent="0.3">
      <c r="A36" t="s">
        <v>42</v>
      </c>
      <c r="B36">
        <v>2.5</v>
      </c>
      <c r="C36">
        <v>164990</v>
      </c>
      <c r="D36">
        <v>4</v>
      </c>
      <c r="E36">
        <v>37947.699999999997</v>
      </c>
      <c r="F36">
        <v>127042.3</v>
      </c>
      <c r="G36" t="s">
        <v>69</v>
      </c>
      <c r="H36" t="s">
        <v>78</v>
      </c>
      <c r="I36" t="s">
        <v>96</v>
      </c>
      <c r="J36" t="s">
        <v>121</v>
      </c>
      <c r="K36" t="s">
        <v>104</v>
      </c>
    </row>
    <row r="37" spans="1:11" x14ac:dyDescent="0.3">
      <c r="A37" t="s">
        <v>43</v>
      </c>
      <c r="B37">
        <v>2.5</v>
      </c>
      <c r="C37">
        <v>234990</v>
      </c>
      <c r="D37">
        <v>4</v>
      </c>
      <c r="E37">
        <v>63447.3</v>
      </c>
      <c r="F37">
        <v>171542.7</v>
      </c>
      <c r="G37" t="s">
        <v>59</v>
      </c>
      <c r="H37" t="s">
        <v>73</v>
      </c>
      <c r="I37" t="s">
        <v>97</v>
      </c>
      <c r="J37" t="s">
        <v>119</v>
      </c>
      <c r="K37" t="s">
        <v>127</v>
      </c>
    </row>
    <row r="38" spans="1:11" x14ac:dyDescent="0.3">
      <c r="A38" t="s">
        <v>44</v>
      </c>
      <c r="B38">
        <v>2.5</v>
      </c>
      <c r="C38">
        <v>129990</v>
      </c>
      <c r="D38">
        <v>4</v>
      </c>
      <c r="E38">
        <v>42896.7</v>
      </c>
      <c r="F38">
        <v>87093.3</v>
      </c>
      <c r="G38" t="s">
        <v>59</v>
      </c>
      <c r="H38" t="s">
        <v>76</v>
      </c>
      <c r="I38" t="s">
        <v>93</v>
      </c>
      <c r="J38" t="s">
        <v>122</v>
      </c>
      <c r="K38" t="s">
        <v>104</v>
      </c>
    </row>
    <row r="39" spans="1:11" x14ac:dyDescent="0.3">
      <c r="A39" t="s">
        <v>45</v>
      </c>
      <c r="B39">
        <v>2.5</v>
      </c>
      <c r="C39">
        <v>94990</v>
      </c>
      <c r="D39">
        <v>4</v>
      </c>
      <c r="E39">
        <v>20897.8</v>
      </c>
      <c r="F39">
        <v>74092.2</v>
      </c>
      <c r="G39" t="s">
        <v>59</v>
      </c>
      <c r="H39" t="s">
        <v>76</v>
      </c>
      <c r="I39" t="s">
        <v>98</v>
      </c>
      <c r="J39" t="s">
        <v>123</v>
      </c>
      <c r="K39" t="s">
        <v>104</v>
      </c>
    </row>
    <row r="40" spans="1:11" x14ac:dyDescent="0.3">
      <c r="A40" t="s">
        <v>46</v>
      </c>
      <c r="B40">
        <v>2</v>
      </c>
      <c r="C40">
        <v>146490</v>
      </c>
      <c r="D40">
        <v>3</v>
      </c>
      <c r="E40">
        <v>0</v>
      </c>
      <c r="F40">
        <v>146490</v>
      </c>
      <c r="G40" t="s">
        <v>59</v>
      </c>
      <c r="H40" t="s">
        <v>73</v>
      </c>
      <c r="I40" t="s">
        <v>99</v>
      </c>
      <c r="J40" t="s">
        <v>124</v>
      </c>
      <c r="K40" t="s">
        <v>127</v>
      </c>
    </row>
    <row r="41" spans="1:11" x14ac:dyDescent="0.3">
      <c r="A41" t="s">
        <v>47</v>
      </c>
      <c r="B41">
        <v>2.5</v>
      </c>
      <c r="C41">
        <v>113490</v>
      </c>
      <c r="D41">
        <v>4</v>
      </c>
      <c r="E41">
        <v>12483.9</v>
      </c>
      <c r="F41">
        <v>101006.1</v>
      </c>
      <c r="G41" t="s">
        <v>70</v>
      </c>
      <c r="H41" t="s">
        <v>72</v>
      </c>
      <c r="I41" t="s">
        <v>84</v>
      </c>
      <c r="J41" t="s">
        <v>100</v>
      </c>
      <c r="K41" t="s">
        <v>127</v>
      </c>
    </row>
    <row r="42" spans="1:11" x14ac:dyDescent="0.3">
      <c r="A42" t="s">
        <v>23</v>
      </c>
      <c r="B42">
        <v>165</v>
      </c>
      <c r="C42">
        <v>99990</v>
      </c>
      <c r="D42">
        <v>4.4000000000000004</v>
      </c>
      <c r="E42">
        <v>3999.6</v>
      </c>
      <c r="F42">
        <v>95990.399999999994</v>
      </c>
      <c r="G42" t="s">
        <v>63</v>
      </c>
      <c r="H42" t="s">
        <v>73</v>
      </c>
      <c r="I42" t="s">
        <v>89</v>
      </c>
      <c r="J42" t="s">
        <v>110</v>
      </c>
      <c r="K42" t="s">
        <v>104</v>
      </c>
    </row>
    <row r="43" spans="1:11" x14ac:dyDescent="0.3">
      <c r="A43" t="s">
        <v>19</v>
      </c>
      <c r="B43">
        <v>112</v>
      </c>
      <c r="C43">
        <v>92990</v>
      </c>
      <c r="D43">
        <v>4.5</v>
      </c>
      <c r="E43">
        <v>17668.099999999999</v>
      </c>
      <c r="F43">
        <v>75321.899999999994</v>
      </c>
      <c r="G43" t="s">
        <v>62</v>
      </c>
      <c r="H43" t="s">
        <v>74</v>
      </c>
      <c r="I43" t="s">
        <v>84</v>
      </c>
      <c r="J43" t="s">
        <v>106</v>
      </c>
      <c r="K43" t="s">
        <v>127</v>
      </c>
    </row>
    <row r="44" spans="1:11" x14ac:dyDescent="0.3">
      <c r="A44" t="s">
        <v>11</v>
      </c>
      <c r="B44">
        <v>1942</v>
      </c>
      <c r="C44">
        <v>64990</v>
      </c>
      <c r="D44">
        <v>4.4000000000000004</v>
      </c>
      <c r="E44">
        <v>17547.3</v>
      </c>
      <c r="F44">
        <v>47442.7</v>
      </c>
      <c r="G44" t="s">
        <v>53</v>
      </c>
      <c r="H44" t="s">
        <v>72</v>
      </c>
      <c r="I44" t="s">
        <v>82</v>
      </c>
      <c r="J44" t="s">
        <v>100</v>
      </c>
      <c r="K44" t="s">
        <v>104</v>
      </c>
    </row>
    <row r="45" spans="1:11" x14ac:dyDescent="0.3">
      <c r="A45" t="s">
        <v>12</v>
      </c>
      <c r="B45">
        <v>74</v>
      </c>
      <c r="C45">
        <v>76990</v>
      </c>
      <c r="D45">
        <v>4.4000000000000004</v>
      </c>
      <c r="E45">
        <v>11548.5</v>
      </c>
      <c r="F45">
        <v>65441.5</v>
      </c>
      <c r="G45" t="s">
        <v>54</v>
      </c>
      <c r="H45" t="s">
        <v>73</v>
      </c>
      <c r="I45" t="s">
        <v>83</v>
      </c>
      <c r="J45" t="s">
        <v>101</v>
      </c>
      <c r="K45" t="s">
        <v>127</v>
      </c>
    </row>
    <row r="46" spans="1:11" x14ac:dyDescent="0.3">
      <c r="A46" t="s">
        <v>13</v>
      </c>
      <c r="B46">
        <v>380</v>
      </c>
      <c r="C46">
        <v>68990</v>
      </c>
      <c r="D46">
        <v>4.5</v>
      </c>
      <c r="E46">
        <v>15867.7</v>
      </c>
      <c r="F46">
        <v>53122.3</v>
      </c>
      <c r="G46" t="s">
        <v>55</v>
      </c>
      <c r="H46" t="s">
        <v>73</v>
      </c>
      <c r="I46" t="s">
        <v>82</v>
      </c>
      <c r="J46" t="s">
        <v>102</v>
      </c>
      <c r="K46" t="s">
        <v>127</v>
      </c>
    </row>
    <row r="47" spans="1:11" x14ac:dyDescent="0.3">
      <c r="A47" t="s">
        <v>15</v>
      </c>
      <c r="B47">
        <v>27</v>
      </c>
      <c r="C47">
        <v>89990</v>
      </c>
      <c r="D47">
        <v>4.5999999999999996</v>
      </c>
      <c r="E47">
        <v>20697.7</v>
      </c>
      <c r="F47">
        <v>69292.3</v>
      </c>
      <c r="G47" t="s">
        <v>57</v>
      </c>
      <c r="H47" t="s">
        <v>73</v>
      </c>
      <c r="I47" t="s">
        <v>84</v>
      </c>
      <c r="J47" t="s">
        <v>102</v>
      </c>
      <c r="K47" t="s">
        <v>127</v>
      </c>
    </row>
    <row r="48" spans="1:11" x14ac:dyDescent="0.3">
      <c r="A48" t="s">
        <v>17</v>
      </c>
      <c r="B48">
        <v>3</v>
      </c>
      <c r="C48">
        <v>60980</v>
      </c>
      <c r="D48">
        <v>4.7</v>
      </c>
      <c r="E48">
        <v>13415.6</v>
      </c>
      <c r="F48">
        <v>47564.4</v>
      </c>
      <c r="G48" t="s">
        <v>59</v>
      </c>
      <c r="H48" t="s">
        <v>73</v>
      </c>
      <c r="I48" t="s">
        <v>85</v>
      </c>
      <c r="J48" t="s">
        <v>104</v>
      </c>
      <c r="K48" t="s">
        <v>127</v>
      </c>
    </row>
    <row r="49" spans="1:11" x14ac:dyDescent="0.3">
      <c r="A49" t="s">
        <v>14</v>
      </c>
      <c r="B49">
        <v>121</v>
      </c>
      <c r="C49">
        <v>105990</v>
      </c>
      <c r="D49">
        <v>4.5999999999999996</v>
      </c>
      <c r="E49">
        <v>23317.8</v>
      </c>
      <c r="F49">
        <v>82672.2</v>
      </c>
      <c r="G49" t="s">
        <v>56</v>
      </c>
      <c r="H49" t="s">
        <v>73</v>
      </c>
      <c r="I49" t="s">
        <v>84</v>
      </c>
      <c r="J49" t="s">
        <v>102</v>
      </c>
      <c r="K49" t="s">
        <v>127</v>
      </c>
    </row>
    <row r="50" spans="1:11" x14ac:dyDescent="0.3">
      <c r="A50" t="s">
        <v>11</v>
      </c>
      <c r="B50">
        <v>2559</v>
      </c>
      <c r="C50">
        <v>60990</v>
      </c>
      <c r="D50">
        <v>4.5</v>
      </c>
      <c r="E50">
        <v>15247.5</v>
      </c>
      <c r="F50">
        <v>45742.5</v>
      </c>
      <c r="G50" t="s">
        <v>61</v>
      </c>
      <c r="H50" t="s">
        <v>73</v>
      </c>
      <c r="I50" t="s">
        <v>82</v>
      </c>
      <c r="J50" t="s">
        <v>100</v>
      </c>
      <c r="K50" t="s">
        <v>127</v>
      </c>
    </row>
    <row r="51" spans="1:11" x14ac:dyDescent="0.3">
      <c r="A51" t="s">
        <v>20</v>
      </c>
      <c r="B51">
        <v>69</v>
      </c>
      <c r="C51">
        <v>143990</v>
      </c>
      <c r="D51">
        <v>4.2</v>
      </c>
      <c r="E51">
        <v>33117.699999999997</v>
      </c>
      <c r="F51">
        <v>110872.3</v>
      </c>
      <c r="G51" t="s">
        <v>59</v>
      </c>
      <c r="H51" t="s">
        <v>73</v>
      </c>
      <c r="I51" t="s">
        <v>87</v>
      </c>
      <c r="J51" t="s">
        <v>107</v>
      </c>
      <c r="K51" t="s">
        <v>104</v>
      </c>
    </row>
    <row r="52" spans="1:11" x14ac:dyDescent="0.3">
      <c r="A52" t="s">
        <v>22</v>
      </c>
      <c r="B52">
        <v>2.5</v>
      </c>
      <c r="C52">
        <v>89990</v>
      </c>
      <c r="D52">
        <v>4</v>
      </c>
      <c r="E52">
        <v>18897.900000000001</v>
      </c>
      <c r="F52">
        <v>71092.100000000006</v>
      </c>
      <c r="G52" t="s">
        <v>59</v>
      </c>
      <c r="H52" t="s">
        <v>73</v>
      </c>
      <c r="I52" t="s">
        <v>89</v>
      </c>
      <c r="J52" t="s">
        <v>109</v>
      </c>
      <c r="K52" t="s">
        <v>127</v>
      </c>
    </row>
    <row r="53" spans="1:11" x14ac:dyDescent="0.3">
      <c r="A53" t="s">
        <v>26</v>
      </c>
      <c r="B53">
        <v>2.5</v>
      </c>
      <c r="C53">
        <v>124990</v>
      </c>
      <c r="D53">
        <v>4</v>
      </c>
      <c r="E53">
        <v>23748.1</v>
      </c>
      <c r="F53">
        <v>101241.9</v>
      </c>
      <c r="G53" t="s">
        <v>59</v>
      </c>
      <c r="H53" t="s">
        <v>75</v>
      </c>
      <c r="I53" t="s">
        <v>90</v>
      </c>
      <c r="J53" t="s">
        <v>112</v>
      </c>
      <c r="K53" t="s">
        <v>127</v>
      </c>
    </row>
    <row r="54" spans="1:11" x14ac:dyDescent="0.3">
      <c r="A54" t="s">
        <v>27</v>
      </c>
      <c r="B54">
        <v>6</v>
      </c>
      <c r="C54">
        <v>225990</v>
      </c>
      <c r="D54">
        <v>4.5</v>
      </c>
      <c r="E54">
        <v>38418.300000000003</v>
      </c>
      <c r="F54">
        <v>187571.7</v>
      </c>
      <c r="G54" t="s">
        <v>59</v>
      </c>
      <c r="H54" t="s">
        <v>73</v>
      </c>
      <c r="I54" t="s">
        <v>91</v>
      </c>
      <c r="J54" t="s">
        <v>113</v>
      </c>
      <c r="K54" t="s">
        <v>127</v>
      </c>
    </row>
    <row r="55" spans="1:11" x14ac:dyDescent="0.3">
      <c r="A55" t="s">
        <v>28</v>
      </c>
      <c r="B55">
        <v>95</v>
      </c>
      <c r="C55">
        <v>87990</v>
      </c>
      <c r="D55">
        <v>4.5</v>
      </c>
      <c r="E55">
        <v>20237.7</v>
      </c>
      <c r="F55">
        <v>67752.3</v>
      </c>
      <c r="G55" t="s">
        <v>65</v>
      </c>
      <c r="H55" t="s">
        <v>72</v>
      </c>
      <c r="I55" t="s">
        <v>87</v>
      </c>
      <c r="J55" t="s">
        <v>114</v>
      </c>
      <c r="K55" t="s">
        <v>127</v>
      </c>
    </row>
    <row r="56" spans="1:11" x14ac:dyDescent="0.3">
      <c r="A56" t="s">
        <v>29</v>
      </c>
      <c r="B56">
        <v>2.5</v>
      </c>
      <c r="C56">
        <v>92990</v>
      </c>
      <c r="D56">
        <v>4</v>
      </c>
      <c r="E56">
        <v>21387.7</v>
      </c>
      <c r="F56">
        <v>71602.3</v>
      </c>
      <c r="G56" t="s">
        <v>59</v>
      </c>
      <c r="H56" t="s">
        <v>73</v>
      </c>
      <c r="I56" t="s">
        <v>92</v>
      </c>
      <c r="J56" t="s">
        <v>103</v>
      </c>
      <c r="K56" t="s">
        <v>127</v>
      </c>
    </row>
    <row r="57" spans="1:11" x14ac:dyDescent="0.3">
      <c r="A57" t="s">
        <v>21</v>
      </c>
      <c r="B57">
        <v>2.5</v>
      </c>
      <c r="C57">
        <v>86990</v>
      </c>
      <c r="D57">
        <v>4</v>
      </c>
      <c r="E57">
        <v>16528.099999999999</v>
      </c>
      <c r="F57">
        <v>70461.899999999994</v>
      </c>
      <c r="G57" t="s">
        <v>59</v>
      </c>
      <c r="H57" t="s">
        <v>73</v>
      </c>
      <c r="I57" t="s">
        <v>89</v>
      </c>
      <c r="J57" t="s">
        <v>108</v>
      </c>
      <c r="K57" t="s">
        <v>127</v>
      </c>
    </row>
    <row r="58" spans="1:11" x14ac:dyDescent="0.3">
      <c r="A58" t="s">
        <v>30</v>
      </c>
      <c r="B58">
        <v>102</v>
      </c>
      <c r="C58">
        <v>106990</v>
      </c>
      <c r="D58">
        <v>4.5999999999999996</v>
      </c>
      <c r="E58">
        <v>20328.099999999999</v>
      </c>
      <c r="F58">
        <v>86661.9</v>
      </c>
      <c r="G58" t="s">
        <v>66</v>
      </c>
      <c r="H58" t="s">
        <v>76</v>
      </c>
      <c r="I58" t="s">
        <v>93</v>
      </c>
      <c r="J58" t="s">
        <v>115</v>
      </c>
      <c r="K58" t="s">
        <v>104</v>
      </c>
    </row>
    <row r="59" spans="1:11" x14ac:dyDescent="0.3">
      <c r="A59" t="s">
        <v>31</v>
      </c>
      <c r="B59">
        <v>2.5</v>
      </c>
      <c r="C59">
        <v>85990</v>
      </c>
      <c r="D59">
        <v>4</v>
      </c>
      <c r="E59">
        <v>22357.4</v>
      </c>
      <c r="F59">
        <v>63632.6</v>
      </c>
      <c r="G59" t="s">
        <v>59</v>
      </c>
      <c r="H59" t="s">
        <v>75</v>
      </c>
      <c r="I59" t="s">
        <v>87</v>
      </c>
      <c r="J59" t="s">
        <v>106</v>
      </c>
      <c r="K59" t="s">
        <v>127</v>
      </c>
    </row>
    <row r="60" spans="1:11" x14ac:dyDescent="0.3">
      <c r="A60" t="s">
        <v>32</v>
      </c>
      <c r="B60">
        <v>2.5</v>
      </c>
      <c r="C60">
        <v>86990</v>
      </c>
      <c r="D60">
        <v>4</v>
      </c>
      <c r="E60">
        <v>21747.5</v>
      </c>
      <c r="F60">
        <v>65242.5</v>
      </c>
      <c r="G60" t="s">
        <v>59</v>
      </c>
      <c r="H60" t="s">
        <v>72</v>
      </c>
      <c r="I60" t="s">
        <v>84</v>
      </c>
      <c r="J60" t="s">
        <v>100</v>
      </c>
      <c r="K60" t="s">
        <v>127</v>
      </c>
    </row>
    <row r="61" spans="1:11" x14ac:dyDescent="0.3">
      <c r="A61" t="s">
        <v>33</v>
      </c>
      <c r="B61">
        <v>2.5</v>
      </c>
      <c r="C61">
        <v>73990</v>
      </c>
      <c r="D61">
        <v>4</v>
      </c>
      <c r="E61">
        <v>9618.7000000000007</v>
      </c>
      <c r="F61">
        <v>64371.3</v>
      </c>
      <c r="G61" t="s">
        <v>59</v>
      </c>
      <c r="H61" t="s">
        <v>73</v>
      </c>
      <c r="I61" t="s">
        <v>94</v>
      </c>
      <c r="J61" t="s">
        <v>116</v>
      </c>
      <c r="K61" t="s">
        <v>127</v>
      </c>
    </row>
    <row r="62" spans="1:11" x14ac:dyDescent="0.3">
      <c r="A62" t="s">
        <v>35</v>
      </c>
      <c r="B62">
        <v>60</v>
      </c>
      <c r="C62">
        <v>94990</v>
      </c>
      <c r="D62">
        <v>4.5999999999999996</v>
      </c>
      <c r="E62">
        <v>24697.4</v>
      </c>
      <c r="F62">
        <v>70292.600000000006</v>
      </c>
      <c r="G62" t="s">
        <v>67</v>
      </c>
      <c r="H62" t="s">
        <v>72</v>
      </c>
      <c r="I62" t="s">
        <v>84</v>
      </c>
      <c r="J62" t="s">
        <v>100</v>
      </c>
      <c r="K62" t="s">
        <v>127</v>
      </c>
    </row>
    <row r="63" spans="1:11" x14ac:dyDescent="0.3">
      <c r="A63" t="s">
        <v>34</v>
      </c>
      <c r="B63">
        <v>27</v>
      </c>
      <c r="C63">
        <v>92990</v>
      </c>
      <c r="D63">
        <v>4.5</v>
      </c>
      <c r="E63">
        <v>11158.8</v>
      </c>
      <c r="F63">
        <v>81831.199999999997</v>
      </c>
      <c r="G63" t="s">
        <v>59</v>
      </c>
      <c r="H63" t="s">
        <v>77</v>
      </c>
      <c r="I63" t="s">
        <v>84</v>
      </c>
      <c r="J63" t="s">
        <v>117</v>
      </c>
      <c r="K63" t="s">
        <v>127</v>
      </c>
    </row>
    <row r="64" spans="1:11" x14ac:dyDescent="0.3">
      <c r="A64" t="s">
        <v>36</v>
      </c>
      <c r="B64">
        <v>2.5</v>
      </c>
      <c r="C64">
        <v>441990</v>
      </c>
      <c r="D64">
        <v>4</v>
      </c>
      <c r="E64">
        <v>0</v>
      </c>
      <c r="F64">
        <v>441990</v>
      </c>
      <c r="G64" t="s">
        <v>59</v>
      </c>
      <c r="H64" t="s">
        <v>75</v>
      </c>
      <c r="I64" t="s">
        <v>95</v>
      </c>
      <c r="J64" t="s">
        <v>117</v>
      </c>
      <c r="K64" t="s">
        <v>104</v>
      </c>
    </row>
    <row r="65" spans="1:11" x14ac:dyDescent="0.3">
      <c r="A65" t="s">
        <v>20</v>
      </c>
      <c r="B65">
        <v>28</v>
      </c>
      <c r="C65">
        <v>145990</v>
      </c>
      <c r="D65">
        <v>4</v>
      </c>
      <c r="E65">
        <v>33577.699999999997</v>
      </c>
      <c r="F65">
        <v>112412.3</v>
      </c>
      <c r="G65" t="s">
        <v>68</v>
      </c>
      <c r="H65" t="s">
        <v>79</v>
      </c>
      <c r="I65" t="s">
        <v>89</v>
      </c>
      <c r="J65" t="s">
        <v>119</v>
      </c>
      <c r="K65" t="s">
        <v>104</v>
      </c>
    </row>
    <row r="66" spans="1:11" x14ac:dyDescent="0.3">
      <c r="A66" t="s">
        <v>37</v>
      </c>
      <c r="B66">
        <v>54</v>
      </c>
      <c r="C66">
        <v>124990</v>
      </c>
      <c r="D66">
        <v>4.5</v>
      </c>
      <c r="E66">
        <v>28747.7</v>
      </c>
      <c r="F66">
        <v>96242.3</v>
      </c>
      <c r="G66" t="s">
        <v>64</v>
      </c>
      <c r="H66" t="s">
        <v>78</v>
      </c>
      <c r="I66" t="s">
        <v>95</v>
      </c>
      <c r="J66" t="s">
        <v>118</v>
      </c>
      <c r="K66" t="s">
        <v>104</v>
      </c>
    </row>
    <row r="67" spans="1:11" x14ac:dyDescent="0.3">
      <c r="A67" t="s">
        <v>39</v>
      </c>
      <c r="B67">
        <v>3</v>
      </c>
      <c r="C67">
        <v>249990</v>
      </c>
      <c r="D67">
        <v>5</v>
      </c>
      <c r="E67">
        <v>57497.7</v>
      </c>
      <c r="F67">
        <v>192492.3</v>
      </c>
      <c r="G67" t="s">
        <v>59</v>
      </c>
      <c r="H67" t="s">
        <v>73</v>
      </c>
      <c r="I67" t="s">
        <v>91</v>
      </c>
      <c r="J67" t="s">
        <v>113</v>
      </c>
      <c r="K67" t="s">
        <v>127</v>
      </c>
    </row>
    <row r="68" spans="1:11" x14ac:dyDescent="0.3">
      <c r="A68" t="s">
        <v>40</v>
      </c>
      <c r="B68">
        <v>2.5</v>
      </c>
      <c r="C68">
        <v>100990</v>
      </c>
      <c r="D68">
        <v>4</v>
      </c>
      <c r="E68">
        <v>18178.2</v>
      </c>
      <c r="F68">
        <v>82811.8</v>
      </c>
      <c r="G68" t="s">
        <v>59</v>
      </c>
      <c r="H68" t="s">
        <v>73</v>
      </c>
      <c r="I68" t="s">
        <v>88</v>
      </c>
      <c r="J68" t="s">
        <v>108</v>
      </c>
      <c r="K68" t="s">
        <v>104</v>
      </c>
    </row>
    <row r="69" spans="1:11" x14ac:dyDescent="0.3">
      <c r="A69" t="s">
        <v>41</v>
      </c>
      <c r="B69">
        <v>2.5</v>
      </c>
      <c r="C69">
        <v>94990</v>
      </c>
      <c r="D69">
        <v>4</v>
      </c>
      <c r="E69">
        <v>17098.2</v>
      </c>
      <c r="F69">
        <v>77891.8</v>
      </c>
      <c r="G69" t="s">
        <v>59</v>
      </c>
      <c r="H69" t="s">
        <v>75</v>
      </c>
      <c r="I69" t="s">
        <v>84</v>
      </c>
      <c r="J69" t="s">
        <v>120</v>
      </c>
      <c r="K69" t="s">
        <v>127</v>
      </c>
    </row>
    <row r="70" spans="1:11" x14ac:dyDescent="0.3">
      <c r="A70" t="s">
        <v>42</v>
      </c>
      <c r="B70">
        <v>2.5</v>
      </c>
      <c r="C70">
        <v>164990</v>
      </c>
      <c r="D70">
        <v>4</v>
      </c>
      <c r="E70">
        <v>37947.699999999997</v>
      </c>
      <c r="F70">
        <v>127042.3</v>
      </c>
      <c r="G70" t="s">
        <v>69</v>
      </c>
      <c r="H70" t="s">
        <v>78</v>
      </c>
      <c r="I70" t="s">
        <v>96</v>
      </c>
      <c r="J70" t="s">
        <v>121</v>
      </c>
      <c r="K70" t="s">
        <v>104</v>
      </c>
    </row>
    <row r="71" spans="1:11" x14ac:dyDescent="0.3">
      <c r="A71" t="s">
        <v>43</v>
      </c>
      <c r="B71">
        <v>2.5</v>
      </c>
      <c r="C71">
        <v>234990</v>
      </c>
      <c r="D71">
        <v>4</v>
      </c>
      <c r="E71">
        <v>63447.3</v>
      </c>
      <c r="F71">
        <v>171542.7</v>
      </c>
      <c r="G71" t="s">
        <v>59</v>
      </c>
      <c r="H71" t="s">
        <v>73</v>
      </c>
      <c r="I71" t="s">
        <v>97</v>
      </c>
      <c r="J71" t="s">
        <v>119</v>
      </c>
      <c r="K71" t="s">
        <v>127</v>
      </c>
    </row>
    <row r="72" spans="1:11" x14ac:dyDescent="0.3">
      <c r="A72" t="s">
        <v>44</v>
      </c>
      <c r="B72">
        <v>2.5</v>
      </c>
      <c r="C72">
        <v>129990</v>
      </c>
      <c r="D72">
        <v>4</v>
      </c>
      <c r="E72">
        <v>42896.7</v>
      </c>
      <c r="F72">
        <v>87093.3</v>
      </c>
      <c r="G72" t="s">
        <v>59</v>
      </c>
      <c r="H72" t="s">
        <v>76</v>
      </c>
      <c r="I72" t="s">
        <v>93</v>
      </c>
      <c r="J72" t="s">
        <v>122</v>
      </c>
      <c r="K72" t="s">
        <v>104</v>
      </c>
    </row>
    <row r="73" spans="1:11" x14ac:dyDescent="0.3">
      <c r="A73" t="s">
        <v>45</v>
      </c>
      <c r="B73">
        <v>2.5</v>
      </c>
      <c r="C73">
        <v>94990</v>
      </c>
      <c r="D73">
        <v>4</v>
      </c>
      <c r="E73">
        <v>20897.8</v>
      </c>
      <c r="F73">
        <v>74092.2</v>
      </c>
      <c r="G73" t="s">
        <v>59</v>
      </c>
      <c r="H73" t="s">
        <v>76</v>
      </c>
      <c r="I73" t="s">
        <v>98</v>
      </c>
      <c r="J73" t="s">
        <v>123</v>
      </c>
      <c r="K73" t="s">
        <v>104</v>
      </c>
    </row>
    <row r="74" spans="1:11" x14ac:dyDescent="0.3">
      <c r="A74" t="s">
        <v>46</v>
      </c>
      <c r="B74">
        <v>2</v>
      </c>
      <c r="C74">
        <v>146490</v>
      </c>
      <c r="D74">
        <v>3</v>
      </c>
      <c r="E74">
        <v>0</v>
      </c>
      <c r="F74">
        <v>146490</v>
      </c>
      <c r="G74" t="s">
        <v>59</v>
      </c>
      <c r="H74" t="s">
        <v>73</v>
      </c>
      <c r="I74" t="s">
        <v>99</v>
      </c>
      <c r="J74" t="s">
        <v>124</v>
      </c>
      <c r="K74" t="s">
        <v>127</v>
      </c>
    </row>
    <row r="75" spans="1:11" x14ac:dyDescent="0.3">
      <c r="A75" t="s">
        <v>47</v>
      </c>
      <c r="B75">
        <v>2.5</v>
      </c>
      <c r="C75">
        <v>113490</v>
      </c>
      <c r="D75">
        <v>4</v>
      </c>
      <c r="E75">
        <v>12483.9</v>
      </c>
      <c r="F75">
        <v>101006.1</v>
      </c>
      <c r="G75" t="s">
        <v>70</v>
      </c>
      <c r="H75" t="s">
        <v>72</v>
      </c>
      <c r="I75" t="s">
        <v>84</v>
      </c>
      <c r="J75" t="s">
        <v>100</v>
      </c>
      <c r="K75" t="s">
        <v>127</v>
      </c>
    </row>
    <row r="76" spans="1:11" x14ac:dyDescent="0.3">
      <c r="A76" t="s">
        <v>48</v>
      </c>
      <c r="B76">
        <v>20</v>
      </c>
      <c r="C76">
        <v>174989</v>
      </c>
      <c r="D76">
        <v>4.2</v>
      </c>
      <c r="E76">
        <v>0</v>
      </c>
      <c r="F76">
        <v>174989</v>
      </c>
      <c r="G76" t="s">
        <v>59</v>
      </c>
      <c r="H76" t="s">
        <v>80</v>
      </c>
      <c r="I76" t="s">
        <v>95</v>
      </c>
      <c r="J76" t="s">
        <v>125</v>
      </c>
      <c r="K76" t="s">
        <v>104</v>
      </c>
    </row>
    <row r="77" spans="1:11" x14ac:dyDescent="0.3">
      <c r="A77" t="s">
        <v>49</v>
      </c>
      <c r="B77">
        <v>2.5</v>
      </c>
      <c r="C77">
        <v>78897</v>
      </c>
      <c r="D77">
        <v>4</v>
      </c>
      <c r="E77">
        <v>12623.52</v>
      </c>
      <c r="F77">
        <v>66273.48</v>
      </c>
      <c r="G77" t="s">
        <v>59</v>
      </c>
      <c r="H77" t="s">
        <v>73</v>
      </c>
      <c r="I77" t="s">
        <v>90</v>
      </c>
      <c r="J77" t="s">
        <v>103</v>
      </c>
      <c r="K77" t="s">
        <v>104</v>
      </c>
    </row>
    <row r="78" spans="1:11" x14ac:dyDescent="0.3">
      <c r="A78" t="s">
        <v>50</v>
      </c>
      <c r="B78">
        <v>2.5</v>
      </c>
      <c r="C78">
        <v>139990</v>
      </c>
      <c r="D78">
        <v>4</v>
      </c>
      <c r="E78">
        <v>27998</v>
      </c>
      <c r="F78">
        <v>111992</v>
      </c>
      <c r="G78" t="s">
        <v>71</v>
      </c>
      <c r="H78" t="s">
        <v>78</v>
      </c>
      <c r="I78" t="s">
        <v>96</v>
      </c>
      <c r="J78" t="s">
        <v>121</v>
      </c>
      <c r="K78" t="s">
        <v>104</v>
      </c>
    </row>
    <row r="79" spans="1:11" x14ac:dyDescent="0.3">
      <c r="A79" t="s">
        <v>51</v>
      </c>
      <c r="B79">
        <v>2.5</v>
      </c>
      <c r="C79">
        <v>182988</v>
      </c>
      <c r="D79">
        <v>4</v>
      </c>
      <c r="E79">
        <v>31107.96</v>
      </c>
      <c r="F79">
        <v>151880.04</v>
      </c>
      <c r="G79" t="s">
        <v>59</v>
      </c>
      <c r="H79" t="s">
        <v>81</v>
      </c>
      <c r="I79" t="s">
        <v>95</v>
      </c>
      <c r="J79" t="s">
        <v>119</v>
      </c>
      <c r="K79" t="s">
        <v>104</v>
      </c>
    </row>
    <row r="80" spans="1:11" x14ac:dyDescent="0.3">
      <c r="A80" t="s">
        <v>52</v>
      </c>
      <c r="B80">
        <v>2</v>
      </c>
      <c r="C80">
        <v>139990</v>
      </c>
      <c r="D80">
        <v>5</v>
      </c>
      <c r="E80">
        <v>0</v>
      </c>
      <c r="F80">
        <v>139990</v>
      </c>
      <c r="G80" t="s">
        <v>59</v>
      </c>
      <c r="H80" t="s">
        <v>73</v>
      </c>
      <c r="I80" t="s">
        <v>90</v>
      </c>
      <c r="J80" t="s">
        <v>126</v>
      </c>
      <c r="K80" t="s">
        <v>127</v>
      </c>
    </row>
    <row r="81" spans="1:11" x14ac:dyDescent="0.3">
      <c r="A81" t="s">
        <v>48</v>
      </c>
      <c r="B81">
        <v>2.5</v>
      </c>
      <c r="C81">
        <v>143500</v>
      </c>
      <c r="D81">
        <v>4</v>
      </c>
      <c r="E81">
        <v>37310</v>
      </c>
      <c r="F81">
        <v>106190</v>
      </c>
      <c r="G81" t="s">
        <v>59</v>
      </c>
      <c r="H81" t="s">
        <v>78</v>
      </c>
      <c r="I81" t="s">
        <v>90</v>
      </c>
      <c r="J81" t="s">
        <v>118</v>
      </c>
      <c r="K81" t="s">
        <v>104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D13D9-2DC6-4179-A88D-7CD0505E354C}">
  <dimension ref="A1:N41"/>
  <sheetViews>
    <sheetView workbookViewId="0">
      <selection activeCell="E45" sqref="E45"/>
    </sheetView>
  </sheetViews>
  <sheetFormatPr defaultRowHeight="14.4" x14ac:dyDescent="0.3"/>
  <cols>
    <col min="1" max="1" width="20.88671875" bestFit="1" customWidth="1"/>
    <col min="2" max="2" width="9" bestFit="1" customWidth="1"/>
    <col min="3" max="3" width="12.5546875" bestFit="1" customWidth="1"/>
    <col min="4" max="4" width="21.33203125" bestFit="1" customWidth="1"/>
    <col min="5" max="5" width="15.21875" bestFit="1" customWidth="1"/>
    <col min="6" max="6" width="12.5546875" bestFit="1" customWidth="1"/>
    <col min="7" max="7" width="21.33203125" bestFit="1" customWidth="1"/>
    <col min="8" max="8" width="14.44140625" bestFit="1" customWidth="1"/>
    <col min="9" max="9" width="12.6640625" bestFit="1" customWidth="1"/>
    <col min="10" max="10" width="21.33203125" bestFit="1" customWidth="1"/>
    <col min="11" max="11" width="12.6640625" bestFit="1" customWidth="1"/>
    <col min="12" max="12" width="14.77734375" bestFit="1" customWidth="1"/>
    <col min="13" max="13" width="21.33203125" bestFit="1" customWidth="1"/>
  </cols>
  <sheetData>
    <row r="1" spans="1:13" ht="23.4" x14ac:dyDescent="0.45">
      <c r="A1" s="4" t="s">
        <v>151</v>
      </c>
      <c r="B1" s="4"/>
      <c r="C1" s="4"/>
      <c r="D1" s="4"/>
      <c r="E1" s="4"/>
      <c r="F1" s="4"/>
      <c r="H1" s="4" t="s">
        <v>152</v>
      </c>
      <c r="I1" s="4"/>
      <c r="J1" s="4"/>
      <c r="K1" s="4"/>
      <c r="L1" s="4"/>
      <c r="M1" s="4"/>
    </row>
    <row r="2" spans="1:13" ht="15" thickBot="1" x14ac:dyDescent="0.35"/>
    <row r="3" spans="1:13" x14ac:dyDescent="0.3">
      <c r="A3" s="6" t="s">
        <v>128</v>
      </c>
      <c r="B3" s="7" t="s">
        <v>150</v>
      </c>
      <c r="C3" s="7" t="s">
        <v>146</v>
      </c>
      <c r="D3" s="7" t="s">
        <v>149</v>
      </c>
      <c r="E3" s="7" t="s">
        <v>148</v>
      </c>
      <c r="F3" s="7" t="s">
        <v>147</v>
      </c>
      <c r="H3" s="9" t="s">
        <v>128</v>
      </c>
      <c r="I3" s="9" t="s">
        <v>1</v>
      </c>
      <c r="J3" s="9" t="s">
        <v>2</v>
      </c>
      <c r="K3" s="9" t="s">
        <v>3</v>
      </c>
      <c r="L3" s="9" t="s">
        <v>9</v>
      </c>
      <c r="M3" s="9" t="s">
        <v>10</v>
      </c>
    </row>
    <row r="4" spans="1:13" x14ac:dyDescent="0.3">
      <c r="A4" s="6" t="s">
        <v>129</v>
      </c>
      <c r="B4" s="8">
        <f>COUNT(data[review])</f>
        <v>80</v>
      </c>
      <c r="C4" s="8">
        <f>COUNT(data[price])</f>
        <v>80</v>
      </c>
      <c r="D4" s="8">
        <f>COUNT(data[rating])</f>
        <v>80</v>
      </c>
      <c r="E4" s="8">
        <f>COUNT(data[discounted price])</f>
        <v>80</v>
      </c>
      <c r="F4" s="8">
        <f>COUNT(data[total price])</f>
        <v>80</v>
      </c>
      <c r="H4" s="10" t="s">
        <v>1</v>
      </c>
      <c r="I4" s="12">
        <v>1</v>
      </c>
      <c r="J4" s="12"/>
      <c r="K4" s="12"/>
      <c r="L4" s="12"/>
      <c r="M4" s="12"/>
    </row>
    <row r="5" spans="1:13" x14ac:dyDescent="0.3">
      <c r="A5" s="6" t="s">
        <v>130</v>
      </c>
      <c r="B5" s="8">
        <f>SUM(data[review])</f>
        <v>13195.5</v>
      </c>
      <c r="C5" s="8">
        <f>SUM(data[price])</f>
        <v>9702194</v>
      </c>
      <c r="D5" s="8">
        <f>SUM(data[rating])</f>
        <v>338.29999999999995</v>
      </c>
      <c r="E5" s="8">
        <f>SUM(data[discounted price])</f>
        <v>1714988.3799999994</v>
      </c>
      <c r="F5" s="8">
        <f>SUM(data[total price])</f>
        <v>7987205.6199999982</v>
      </c>
      <c r="H5" s="10" t="s">
        <v>2</v>
      </c>
      <c r="I5" s="12">
        <v>-0.24786130858405217</v>
      </c>
      <c r="J5" s="12">
        <v>1</v>
      </c>
      <c r="K5" s="12"/>
      <c r="L5" s="12"/>
      <c r="M5" s="12"/>
    </row>
    <row r="6" spans="1:13" x14ac:dyDescent="0.3">
      <c r="A6" s="6" t="s">
        <v>131</v>
      </c>
      <c r="B6" s="8">
        <f>MAX(data[review])</f>
        <v>2559</v>
      </c>
      <c r="C6" s="8">
        <f>MAX(data[price])</f>
        <v>441990</v>
      </c>
      <c r="D6" s="8">
        <f>MAX(data[rating])</f>
        <v>5</v>
      </c>
      <c r="E6" s="8">
        <f>MAX(data[discounted price])</f>
        <v>63447.3</v>
      </c>
      <c r="F6" s="8">
        <f>MAX(data[total price])</f>
        <v>441990</v>
      </c>
      <c r="H6" s="10" t="s">
        <v>3</v>
      </c>
      <c r="I6" s="12">
        <v>0.20791340997710056</v>
      </c>
      <c r="J6" s="12">
        <v>-0.10248824376878037</v>
      </c>
      <c r="K6" s="12">
        <v>1</v>
      </c>
      <c r="L6" s="12"/>
      <c r="M6" s="12"/>
    </row>
    <row r="7" spans="1:13" x14ac:dyDescent="0.3">
      <c r="A7" s="6" t="s">
        <v>132</v>
      </c>
      <c r="B7" s="8">
        <f>MIN(data[review])</f>
        <v>2</v>
      </c>
      <c r="C7" s="8">
        <f>MIN(data[price])</f>
        <v>54990</v>
      </c>
      <c r="D7" s="8">
        <f>MIN(data[rating])</f>
        <v>3</v>
      </c>
      <c r="E7" s="8">
        <f>MIN(data[discounted price])</f>
        <v>0</v>
      </c>
      <c r="F7" s="8">
        <f>MIN(data[total price])</f>
        <v>39592.800000000003</v>
      </c>
      <c r="H7" s="10" t="s">
        <v>9</v>
      </c>
      <c r="I7" s="12">
        <v>-0.1203973188833016</v>
      </c>
      <c r="J7" s="12">
        <v>0.26285834513559531</v>
      </c>
      <c r="K7" s="12">
        <v>0.12332186896750123</v>
      </c>
      <c r="L7" s="12">
        <v>1</v>
      </c>
      <c r="M7" s="12"/>
    </row>
    <row r="8" spans="1:13" ht="15" thickBot="1" x14ac:dyDescent="0.35">
      <c r="A8" s="6" t="s">
        <v>133</v>
      </c>
      <c r="B8" s="8">
        <f>B6-B7</f>
        <v>2557</v>
      </c>
      <c r="C8" s="8">
        <f t="shared" ref="C8:F8" si="0">C6-C7</f>
        <v>387000</v>
      </c>
      <c r="D8" s="8">
        <f t="shared" si="0"/>
        <v>2</v>
      </c>
      <c r="E8" s="8">
        <f t="shared" si="0"/>
        <v>63447.3</v>
      </c>
      <c r="F8" s="8">
        <f t="shared" si="0"/>
        <v>402397.2</v>
      </c>
      <c r="H8" s="11" t="s">
        <v>10</v>
      </c>
      <c r="I8" s="13">
        <v>-0.2317310545884142</v>
      </c>
      <c r="J8" s="13">
        <v>0.98041638808413967</v>
      </c>
      <c r="K8" s="13">
        <v>-0.13115161633236638</v>
      </c>
      <c r="L8" s="13">
        <v>6.7700195836613006E-2</v>
      </c>
      <c r="M8" s="13">
        <v>1</v>
      </c>
    </row>
    <row r="9" spans="1:13" x14ac:dyDescent="0.3">
      <c r="A9" s="6" t="s">
        <v>134</v>
      </c>
      <c r="B9" s="8">
        <f>AVERAGE(data[review])</f>
        <v>164.94374999999999</v>
      </c>
      <c r="C9" s="8">
        <f>AVERAGE(data[price])</f>
        <v>121277.425</v>
      </c>
      <c r="D9" s="8">
        <f>AVERAGE(data[rating])</f>
        <v>4.2287499999999998</v>
      </c>
      <c r="E9" s="8">
        <f>AVERAGE(data[discounted price])</f>
        <v>21437.354749999991</v>
      </c>
      <c r="F9" s="8">
        <f>AVERAGE(data[total price])</f>
        <v>99840.070249999975</v>
      </c>
    </row>
    <row r="10" spans="1:13" x14ac:dyDescent="0.3">
      <c r="A10" s="6" t="s">
        <v>135</v>
      </c>
      <c r="B10" s="8">
        <f>MEDIAN(data[review])</f>
        <v>2.75</v>
      </c>
      <c r="C10" s="8">
        <f>MEDIAN(data[price])</f>
        <v>94990</v>
      </c>
      <c r="D10" s="8">
        <f>MEDIAN(data[rating])</f>
        <v>4</v>
      </c>
      <c r="E10" s="8">
        <f>MEDIAN(data[discounted price])</f>
        <v>19621.95</v>
      </c>
      <c r="F10" s="8">
        <f>MEDIAN(data[total price])</f>
        <v>81831.199999999997</v>
      </c>
    </row>
    <row r="11" spans="1:13" ht="20.399999999999999" customHeight="1" x14ac:dyDescent="0.45">
      <c r="A11" s="6" t="s">
        <v>136</v>
      </c>
      <c r="B11" s="8">
        <f>_xlfn.MODE.SNGL(data[review])</f>
        <v>2.5</v>
      </c>
      <c r="C11" s="8">
        <f>_xlfn.MODE.SNGL(data[price])</f>
        <v>92990</v>
      </c>
      <c r="D11" s="8">
        <f>_xlfn.MODE.SNGL(data[rating])</f>
        <v>4</v>
      </c>
      <c r="E11" s="8">
        <f>_xlfn.MODE.SNGL(data[discounted price])</f>
        <v>0</v>
      </c>
      <c r="F11" s="8">
        <f>_xlfn.MODE.SNGL(data[total price])</f>
        <v>71092.100000000006</v>
      </c>
      <c r="H11" s="4" t="s">
        <v>153</v>
      </c>
      <c r="I11" s="4"/>
      <c r="J11" s="4"/>
      <c r="K11" s="4"/>
      <c r="L11" s="4"/>
      <c r="M11" s="4"/>
    </row>
    <row r="12" spans="1:13" ht="15" thickBot="1" x14ac:dyDescent="0.35">
      <c r="A12" s="6" t="s">
        <v>137</v>
      </c>
      <c r="B12" s="8">
        <f>_xlfn.STDEV.P(data[review])</f>
        <v>508.2214452981471</v>
      </c>
      <c r="C12" s="8">
        <f>_xlfn.STDEV.P(data[price])</f>
        <v>68384.767666450221</v>
      </c>
      <c r="D12" s="8">
        <f>_xlfn.STDEV.P(data[rating])</f>
        <v>0.34756069613809915</v>
      </c>
      <c r="E12" s="8">
        <f>_xlfn.STDEV.P(data[discounted price])</f>
        <v>13498.377541863234</v>
      </c>
      <c r="F12" s="8">
        <f>_xlfn.STDEV.P(data[total price])</f>
        <v>66131.704112453473</v>
      </c>
    </row>
    <row r="13" spans="1:13" x14ac:dyDescent="0.3">
      <c r="A13" s="6" t="s">
        <v>138</v>
      </c>
      <c r="B13" s="8">
        <f>_xlfn.CONFIDENCE.T(0.05,B12,data[review])</f>
        <v>4566.1885213693404</v>
      </c>
      <c r="C13" s="8">
        <f>_xlfn.CONFIDENCE.T(0.05,C12,data[price])</f>
        <v>446.80310470472836</v>
      </c>
      <c r="D13" s="8">
        <f>_xlfn.CONFIDENCE.T(0.05,D12,data[rating])</f>
        <v>0.55304662664326376</v>
      </c>
      <c r="E13" s="8">
        <f>_xlfn.CONFIDENCE.T(0.05,E12,data[discounted price])</f>
        <v>192.46911509905672</v>
      </c>
      <c r="F13" s="8">
        <f>_xlfn.CONFIDENCE.T(0.05,F12,data[total price])</f>
        <v>486.13269765424627</v>
      </c>
      <c r="H13" s="9" t="s">
        <v>128</v>
      </c>
      <c r="I13" s="9" t="s">
        <v>1</v>
      </c>
      <c r="J13" s="9" t="s">
        <v>2</v>
      </c>
      <c r="K13" s="9" t="s">
        <v>3</v>
      </c>
      <c r="L13" s="9" t="s">
        <v>9</v>
      </c>
      <c r="M13" s="9" t="s">
        <v>10</v>
      </c>
    </row>
    <row r="14" spans="1:13" x14ac:dyDescent="0.3">
      <c r="A14" s="6" t="s">
        <v>139</v>
      </c>
      <c r="B14" s="8">
        <f>_xlfn.QUARTILE.EXC(data[review],1)</f>
        <v>2.5</v>
      </c>
      <c r="C14" s="8">
        <f>_xlfn.QUARTILE.EXC(data[price],1)</f>
        <v>86990</v>
      </c>
      <c r="D14" s="8">
        <f>_xlfn.QUARTILE.EXC(data[rating],1)</f>
        <v>4</v>
      </c>
      <c r="E14" s="8">
        <f>_xlfn.QUARTILE.EXC(data[discounted price],1)</f>
        <v>13473.674999999999</v>
      </c>
      <c r="F14" s="8">
        <f>_xlfn.QUARTILE.EXC(data[total price],1)</f>
        <v>67752.3</v>
      </c>
      <c r="H14" s="10" t="s">
        <v>1</v>
      </c>
      <c r="I14" s="12">
        <f>VARP(Filtered_data!$B$2:$B$81)</f>
        <v>258289.03746093751</v>
      </c>
      <c r="J14" s="12"/>
      <c r="K14" s="12"/>
      <c r="L14" s="12"/>
      <c r="M14" s="12"/>
    </row>
    <row r="15" spans="1:13" x14ac:dyDescent="0.3">
      <c r="A15" s="6" t="s">
        <v>140</v>
      </c>
      <c r="B15" s="8">
        <f>_xlfn.QUARTILE.EXC(data[review],2)</f>
        <v>2.75</v>
      </c>
      <c r="C15" s="8">
        <f>_xlfn.QUARTILE.EXC(data[price],2)</f>
        <v>94990</v>
      </c>
      <c r="D15" s="8">
        <f>_xlfn.QUARTILE.EXC(data[rating],2)</f>
        <v>4</v>
      </c>
      <c r="E15" s="8">
        <f>_xlfn.QUARTILE.EXC(data[discounted price],2)</f>
        <v>19621.95</v>
      </c>
      <c r="F15" s="8">
        <f>_xlfn.QUARTILE.EXC(data[total price],2)</f>
        <v>81831.199999999997</v>
      </c>
      <c r="H15" s="10" t="s">
        <v>2</v>
      </c>
      <c r="I15" s="12">
        <v>-8614321.9885937609</v>
      </c>
      <c r="J15" s="12">
        <f>VARP(Filtered_data!$C$2:$C$81)</f>
        <v>4676476448.7943754</v>
      </c>
      <c r="K15" s="12"/>
      <c r="L15" s="12"/>
      <c r="M15" s="12"/>
    </row>
    <row r="16" spans="1:13" x14ac:dyDescent="0.3">
      <c r="A16" s="6" t="s">
        <v>141</v>
      </c>
      <c r="B16" s="8">
        <f>_xlfn.QUARTILE.EXC(data[review],3)</f>
        <v>72.75</v>
      </c>
      <c r="C16" s="8">
        <f>_xlfn.QUARTILE.EXC(data[price],3)</f>
        <v>139990</v>
      </c>
      <c r="D16" s="8">
        <f>_xlfn.QUARTILE.EXC(data[rating],3)</f>
        <v>4.5</v>
      </c>
      <c r="E16" s="8">
        <f>_xlfn.QUARTILE.EXC(data[discounted price],3)</f>
        <v>27172.85</v>
      </c>
      <c r="F16" s="8">
        <f>_xlfn.QUARTILE.EXC(data[total price],3)</f>
        <v>109701.72500000001</v>
      </c>
      <c r="H16" s="10" t="s">
        <v>3</v>
      </c>
      <c r="I16" s="12">
        <v>36.725367187500048</v>
      </c>
      <c r="J16" s="12">
        <v>-2435.925968750003</v>
      </c>
      <c r="K16" s="12">
        <f>VARP(Filtered_data!$D$2:$D$81)</f>
        <v>0.12079843750000008</v>
      </c>
      <c r="L16" s="12"/>
      <c r="M16" s="12"/>
    </row>
    <row r="17" spans="1:14" x14ac:dyDescent="0.3">
      <c r="A17" s="6" t="s">
        <v>142</v>
      </c>
      <c r="B17" s="8">
        <f>B12/SQRT(B4)</f>
        <v>56.82088496549239</v>
      </c>
      <c r="C17" s="8">
        <f t="shared" ref="C17:F17" si="1">C12/SQRT(C4)</f>
        <v>7645.6494563856177</v>
      </c>
      <c r="D17" s="8">
        <f t="shared" si="1"/>
        <v>3.8858467143596913E-2</v>
      </c>
      <c r="E17" s="8">
        <f t="shared" si="1"/>
        <v>1509.1644884781351</v>
      </c>
      <c r="F17" s="8">
        <f t="shared" si="1"/>
        <v>7393.7492931674178</v>
      </c>
      <c r="H17" s="10" t="s">
        <v>9</v>
      </c>
      <c r="I17" s="12">
        <v>-825945.46629531239</v>
      </c>
      <c r="J17" s="12">
        <v>242640178.1199812</v>
      </c>
      <c r="K17" s="12">
        <v>578.56522593749992</v>
      </c>
      <c r="L17" s="12">
        <f>VARP(Filtered_data!$E$2:$E$81)</f>
        <v>182206196.2626777</v>
      </c>
      <c r="M17" s="12"/>
    </row>
    <row r="18" spans="1:14" ht="15" thickBot="1" x14ac:dyDescent="0.35">
      <c r="A18" s="6" t="s">
        <v>143</v>
      </c>
      <c r="B18" s="8">
        <f>_xlfn.VAR.P(data[review])</f>
        <v>258289.03746093751</v>
      </c>
      <c r="C18" s="8">
        <f>_xlfn.VAR.P(data[price])</f>
        <v>4676476448.7943754</v>
      </c>
      <c r="D18" s="8">
        <f>_xlfn.VAR.P(data[rating])</f>
        <v>0.12079843750000008</v>
      </c>
      <c r="E18" s="8">
        <f>_xlfn.VAR.P(data[discounted price])</f>
        <v>182206196.2626777</v>
      </c>
      <c r="F18" s="8">
        <f>_xlfn.VAR.P(data[total price])</f>
        <v>4373402288.8170958</v>
      </c>
      <c r="H18" s="11" t="s">
        <v>10</v>
      </c>
      <c r="I18" s="13">
        <v>-7788376.5222984375</v>
      </c>
      <c r="J18" s="13">
        <v>4433836270.6743946</v>
      </c>
      <c r="K18" s="13">
        <v>-3014.4911946875004</v>
      </c>
      <c r="L18" s="13">
        <v>60433981.857303873</v>
      </c>
      <c r="M18" s="13">
        <f>VARP(Filtered_data!$F$2:$F$81)</f>
        <v>4373402288.8170958</v>
      </c>
    </row>
    <row r="19" spans="1:14" x14ac:dyDescent="0.3">
      <c r="A19" s="6" t="s">
        <v>144</v>
      </c>
      <c r="B19" s="8">
        <f>KURT(data[review])</f>
        <v>14.331165206428736</v>
      </c>
      <c r="C19" s="8">
        <f>KURT(data[price])</f>
        <v>10.572418638210015</v>
      </c>
      <c r="D19" s="8">
        <f>KURT(data[rating])</f>
        <v>2.4140374938987237</v>
      </c>
      <c r="E19" s="8">
        <f>KURT(data[discounted price])</f>
        <v>1.7932798887963313</v>
      </c>
      <c r="F19" s="8">
        <f>KURT(data[total price])</f>
        <v>16.297255970049509</v>
      </c>
    </row>
    <row r="20" spans="1:14" x14ac:dyDescent="0.3">
      <c r="A20" s="6" t="s">
        <v>145</v>
      </c>
      <c r="B20" s="8">
        <f>SKEW(data[review])</f>
        <v>3.878237200499481</v>
      </c>
      <c r="C20" s="8">
        <f>SKEW(data[price])</f>
        <v>2.9021753072228678</v>
      </c>
      <c r="D20" s="8">
        <f>SKEW(data[rating])</f>
        <v>-0.56514168475697402</v>
      </c>
      <c r="E20" s="8">
        <f>SKEW(data[discounted price])</f>
        <v>1.0540991050835025</v>
      </c>
      <c r="F20" s="8">
        <f>SKEW(data[total price])</f>
        <v>3.6286956378983408</v>
      </c>
    </row>
    <row r="24" spans="1:14" ht="21" x14ac:dyDescent="0.4">
      <c r="A24" s="5" t="s">
        <v>154</v>
      </c>
      <c r="B24" s="5"/>
      <c r="C24" s="5"/>
      <c r="D24" s="5"/>
      <c r="E24" s="5"/>
      <c r="F24" s="5"/>
      <c r="G24" s="5"/>
      <c r="H24" s="5"/>
      <c r="I24" s="5"/>
      <c r="J24" s="5"/>
      <c r="K24" s="5"/>
      <c r="L24" s="5"/>
      <c r="M24" s="5"/>
      <c r="N24" s="5"/>
    </row>
    <row r="25" spans="1:14" ht="15" thickBot="1" x14ac:dyDescent="0.35"/>
    <row r="26" spans="1:14" x14ac:dyDescent="0.3">
      <c r="A26" s="14" t="s">
        <v>1</v>
      </c>
      <c r="B26" s="14"/>
      <c r="C26" s="3"/>
      <c r="D26" s="14" t="s">
        <v>2</v>
      </c>
      <c r="E26" s="14"/>
      <c r="F26" s="3"/>
      <c r="G26" s="14" t="s">
        <v>3</v>
      </c>
      <c r="H26" s="14"/>
      <c r="I26" s="3"/>
      <c r="J26" s="14" t="s">
        <v>9</v>
      </c>
      <c r="K26" s="14"/>
      <c r="L26" s="3"/>
      <c r="M26" s="14" t="s">
        <v>10</v>
      </c>
      <c r="N26" s="14"/>
    </row>
    <row r="27" spans="1:14" x14ac:dyDescent="0.3">
      <c r="A27" s="15"/>
      <c r="B27" s="15"/>
      <c r="D27" s="15"/>
      <c r="E27" s="15"/>
      <c r="G27" s="15"/>
      <c r="H27" s="15"/>
      <c r="J27" s="15"/>
      <c r="K27" s="15"/>
      <c r="M27" s="15"/>
      <c r="N27" s="15"/>
    </row>
    <row r="28" spans="1:14" x14ac:dyDescent="0.3">
      <c r="A28" s="15" t="s">
        <v>155</v>
      </c>
      <c r="B28" s="15">
        <v>164.94374999999999</v>
      </c>
      <c r="D28" s="15" t="s">
        <v>155</v>
      </c>
      <c r="E28" s="15">
        <v>121277.425</v>
      </c>
      <c r="G28" s="15" t="s">
        <v>155</v>
      </c>
      <c r="H28" s="15">
        <v>4.2287499999999998</v>
      </c>
      <c r="J28" s="15" t="s">
        <v>155</v>
      </c>
      <c r="K28" s="15">
        <v>21437.354749999991</v>
      </c>
      <c r="M28" s="15" t="s">
        <v>155</v>
      </c>
      <c r="N28" s="15">
        <v>99840.070249999975</v>
      </c>
    </row>
    <row r="29" spans="1:14" x14ac:dyDescent="0.3">
      <c r="A29" s="15" t="s">
        <v>156</v>
      </c>
      <c r="B29" s="15">
        <v>57.17937990960823</v>
      </c>
      <c r="D29" s="15" t="s">
        <v>156</v>
      </c>
      <c r="E29" s="15">
        <v>7693.88747091603</v>
      </c>
      <c r="G29" s="15" t="s">
        <v>156</v>
      </c>
      <c r="H29" s="15">
        <v>3.9103633406240151E-2</v>
      </c>
      <c r="J29" s="15" t="s">
        <v>156</v>
      </c>
      <c r="K29" s="15">
        <v>1518.6861254481885</v>
      </c>
      <c r="M29" s="15" t="s">
        <v>156</v>
      </c>
      <c r="N29" s="15">
        <v>7440.3980164541181</v>
      </c>
    </row>
    <row r="30" spans="1:14" x14ac:dyDescent="0.3">
      <c r="A30" s="15" t="s">
        <v>157</v>
      </c>
      <c r="B30" s="15">
        <v>2.75</v>
      </c>
      <c r="D30" s="15" t="s">
        <v>157</v>
      </c>
      <c r="E30" s="15">
        <v>94990</v>
      </c>
      <c r="G30" s="15" t="s">
        <v>157</v>
      </c>
      <c r="H30" s="15">
        <v>4</v>
      </c>
      <c r="J30" s="15" t="s">
        <v>157</v>
      </c>
      <c r="K30" s="15">
        <v>19621.95</v>
      </c>
      <c r="M30" s="15" t="s">
        <v>157</v>
      </c>
      <c r="N30" s="15">
        <v>81831.199999999997</v>
      </c>
    </row>
    <row r="31" spans="1:14" x14ac:dyDescent="0.3">
      <c r="A31" s="15" t="s">
        <v>158</v>
      </c>
      <c r="B31" s="15">
        <v>2.5</v>
      </c>
      <c r="D31" s="15" t="s">
        <v>158</v>
      </c>
      <c r="E31" s="15">
        <v>92990</v>
      </c>
      <c r="G31" s="15" t="s">
        <v>158</v>
      </c>
      <c r="H31" s="15">
        <v>4</v>
      </c>
      <c r="J31" s="15" t="s">
        <v>158</v>
      </c>
      <c r="K31" s="15">
        <v>0</v>
      </c>
      <c r="M31" s="15" t="s">
        <v>158</v>
      </c>
      <c r="N31" s="15">
        <v>71092.100000000006</v>
      </c>
    </row>
    <row r="32" spans="1:14" x14ac:dyDescent="0.3">
      <c r="A32" s="15" t="s">
        <v>159</v>
      </c>
      <c r="B32" s="15">
        <v>511.42792155667917</v>
      </c>
      <c r="D32" s="15" t="s">
        <v>159</v>
      </c>
      <c r="E32" s="15">
        <v>68816.221584808722</v>
      </c>
      <c r="G32" s="15" t="s">
        <v>159</v>
      </c>
      <c r="H32" s="15">
        <v>0.34975352985433855</v>
      </c>
      <c r="J32" s="15" t="s">
        <v>159</v>
      </c>
      <c r="K32" s="15">
        <v>13583.541651951691</v>
      </c>
      <c r="M32" s="15" t="s">
        <v>159</v>
      </c>
      <c r="N32" s="15">
        <v>66548.942977784027</v>
      </c>
    </row>
    <row r="33" spans="1:14" x14ac:dyDescent="0.3">
      <c r="A33" s="15" t="s">
        <v>160</v>
      </c>
      <c r="B33" s="15">
        <v>261558.51894778479</v>
      </c>
      <c r="D33" s="15" t="s">
        <v>160</v>
      </c>
      <c r="E33" s="15">
        <v>4735672353.2094946</v>
      </c>
      <c r="G33" s="15" t="s">
        <v>160</v>
      </c>
      <c r="H33" s="15">
        <v>0.1223275316455697</v>
      </c>
      <c r="J33" s="15" t="s">
        <v>160</v>
      </c>
      <c r="K33" s="15">
        <v>184512603.81030649</v>
      </c>
      <c r="M33" s="15" t="s">
        <v>160</v>
      </c>
      <c r="N33" s="15">
        <v>4428761811.46035</v>
      </c>
    </row>
    <row r="34" spans="1:14" x14ac:dyDescent="0.3">
      <c r="A34" s="15" t="s">
        <v>161</v>
      </c>
      <c r="B34" s="15">
        <v>14.331165206428736</v>
      </c>
      <c r="D34" s="15" t="s">
        <v>161</v>
      </c>
      <c r="E34" s="15">
        <v>10.572418638210015</v>
      </c>
      <c r="G34" s="15" t="s">
        <v>161</v>
      </c>
      <c r="H34" s="15">
        <v>2.4140374938987237</v>
      </c>
      <c r="J34" s="15" t="s">
        <v>161</v>
      </c>
      <c r="K34" s="15">
        <v>1.7932798887963313</v>
      </c>
      <c r="M34" s="15" t="s">
        <v>161</v>
      </c>
      <c r="N34" s="15">
        <v>16.297255970049509</v>
      </c>
    </row>
    <row r="35" spans="1:14" x14ac:dyDescent="0.3">
      <c r="A35" s="15" t="s">
        <v>162</v>
      </c>
      <c r="B35" s="15">
        <v>3.878237200499481</v>
      </c>
      <c r="D35" s="15" t="s">
        <v>162</v>
      </c>
      <c r="E35" s="15">
        <v>2.9021753072228678</v>
      </c>
      <c r="G35" s="15" t="s">
        <v>162</v>
      </c>
      <c r="H35" s="15">
        <v>-0.56514168475697402</v>
      </c>
      <c r="J35" s="15" t="s">
        <v>162</v>
      </c>
      <c r="K35" s="15">
        <v>1.0540991050835025</v>
      </c>
      <c r="M35" s="15" t="s">
        <v>162</v>
      </c>
      <c r="N35" s="15">
        <v>3.6286956378983408</v>
      </c>
    </row>
    <row r="36" spans="1:14" x14ac:dyDescent="0.3">
      <c r="A36" s="15" t="s">
        <v>163</v>
      </c>
      <c r="B36" s="15">
        <v>2557</v>
      </c>
      <c r="D36" s="15" t="s">
        <v>163</v>
      </c>
      <c r="E36" s="15">
        <v>387000</v>
      </c>
      <c r="G36" s="15" t="s">
        <v>163</v>
      </c>
      <c r="H36" s="15">
        <v>2</v>
      </c>
      <c r="J36" s="15" t="s">
        <v>163</v>
      </c>
      <c r="K36" s="15">
        <v>63447.3</v>
      </c>
      <c r="M36" s="15" t="s">
        <v>163</v>
      </c>
      <c r="N36" s="15">
        <v>402397.2</v>
      </c>
    </row>
    <row r="37" spans="1:14" x14ac:dyDescent="0.3">
      <c r="A37" s="15" t="s">
        <v>164</v>
      </c>
      <c r="B37" s="15">
        <v>2</v>
      </c>
      <c r="D37" s="15" t="s">
        <v>164</v>
      </c>
      <c r="E37" s="15">
        <v>54990</v>
      </c>
      <c r="G37" s="15" t="s">
        <v>164</v>
      </c>
      <c r="H37" s="15">
        <v>3</v>
      </c>
      <c r="J37" s="15" t="s">
        <v>164</v>
      </c>
      <c r="K37" s="15">
        <v>0</v>
      </c>
      <c r="M37" s="15" t="s">
        <v>164</v>
      </c>
      <c r="N37" s="15">
        <v>39592.800000000003</v>
      </c>
    </row>
    <row r="38" spans="1:14" x14ac:dyDescent="0.3">
      <c r="A38" s="15" t="s">
        <v>165</v>
      </c>
      <c r="B38" s="15">
        <v>2559</v>
      </c>
      <c r="D38" s="15" t="s">
        <v>165</v>
      </c>
      <c r="E38" s="15">
        <v>441990</v>
      </c>
      <c r="G38" s="15" t="s">
        <v>165</v>
      </c>
      <c r="H38" s="15">
        <v>5</v>
      </c>
      <c r="J38" s="15" t="s">
        <v>165</v>
      </c>
      <c r="K38" s="15">
        <v>63447.3</v>
      </c>
      <c r="M38" s="15" t="s">
        <v>165</v>
      </c>
      <c r="N38" s="15">
        <v>441990</v>
      </c>
    </row>
    <row r="39" spans="1:14" x14ac:dyDescent="0.3">
      <c r="A39" s="15" t="s">
        <v>166</v>
      </c>
      <c r="B39" s="15">
        <v>13195.5</v>
      </c>
      <c r="D39" s="15" t="s">
        <v>166</v>
      </c>
      <c r="E39" s="15">
        <v>9702194</v>
      </c>
      <c r="G39" s="15" t="s">
        <v>166</v>
      </c>
      <c r="H39" s="15">
        <v>338.29999999999995</v>
      </c>
      <c r="J39" s="15" t="s">
        <v>166</v>
      </c>
      <c r="K39" s="15">
        <v>1714988.3799999994</v>
      </c>
      <c r="M39" s="15" t="s">
        <v>166</v>
      </c>
      <c r="N39" s="15">
        <v>7987205.6199999982</v>
      </c>
    </row>
    <row r="40" spans="1:14" x14ac:dyDescent="0.3">
      <c r="A40" s="15" t="s">
        <v>167</v>
      </c>
      <c r="B40" s="15">
        <v>80</v>
      </c>
      <c r="D40" s="15" t="s">
        <v>167</v>
      </c>
      <c r="E40" s="15">
        <v>80</v>
      </c>
      <c r="G40" s="15" t="s">
        <v>167</v>
      </c>
      <c r="H40" s="15">
        <v>80</v>
      </c>
      <c r="J40" s="15" t="s">
        <v>167</v>
      </c>
      <c r="K40" s="15">
        <v>80</v>
      </c>
      <c r="M40" s="15" t="s">
        <v>167</v>
      </c>
      <c r="N40" s="15">
        <v>80</v>
      </c>
    </row>
    <row r="41" spans="1:14" ht="15" thickBot="1" x14ac:dyDescent="0.35">
      <c r="A41" s="16" t="s">
        <v>168</v>
      </c>
      <c r="B41" s="16">
        <v>113.8127087619081</v>
      </c>
      <c r="D41" s="16" t="s">
        <v>168</v>
      </c>
      <c r="E41" s="16">
        <v>15314.299933971764</v>
      </c>
      <c r="G41" s="16" t="s">
        <v>168</v>
      </c>
      <c r="H41" s="16">
        <v>7.7833835334212592E-2</v>
      </c>
      <c r="J41" s="16" t="s">
        <v>168</v>
      </c>
      <c r="K41" s="16">
        <v>3022.8691176719262</v>
      </c>
      <c r="M41" s="16" t="s">
        <v>168</v>
      </c>
      <c r="N41" s="16">
        <v>14809.741796046932</v>
      </c>
    </row>
  </sheetData>
  <mergeCells count="9">
    <mergeCell ref="A1:F1"/>
    <mergeCell ref="H1:M1"/>
    <mergeCell ref="H11:M11"/>
    <mergeCell ref="A24:N24"/>
    <mergeCell ref="A26:B26"/>
    <mergeCell ref="D26:E26"/>
    <mergeCell ref="G26:H26"/>
    <mergeCell ref="J26:K26"/>
    <mergeCell ref="M26:N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62C39-1BAD-4D9F-A1D3-92E8D5A3418E}">
  <dimension ref="A1:N43"/>
  <sheetViews>
    <sheetView topLeftCell="A4" workbookViewId="0">
      <selection activeCell="K40" sqref="K40"/>
    </sheetView>
  </sheetViews>
  <sheetFormatPr defaultRowHeight="14.4" x14ac:dyDescent="0.3"/>
  <cols>
    <col min="1" max="1" width="12.5546875" bestFit="1" customWidth="1"/>
    <col min="2" max="2" width="16" bestFit="1" customWidth="1"/>
    <col min="11" max="11" width="27.6640625" bestFit="1" customWidth="1"/>
    <col min="12" max="12" width="16.109375" bestFit="1" customWidth="1"/>
    <col min="13" max="13" width="16" bestFit="1" customWidth="1"/>
    <col min="14" max="14" width="11.6640625" bestFit="1" customWidth="1"/>
  </cols>
  <sheetData>
    <row r="1" spans="1:13" x14ac:dyDescent="0.3">
      <c r="A1" s="17" t="s">
        <v>169</v>
      </c>
      <c r="B1" t="s">
        <v>171</v>
      </c>
      <c r="L1" s="17" t="s">
        <v>169</v>
      </c>
      <c r="M1" t="s">
        <v>172</v>
      </c>
    </row>
    <row r="2" spans="1:13" x14ac:dyDescent="0.3">
      <c r="A2" s="20" t="s">
        <v>104</v>
      </c>
      <c r="B2" s="21">
        <v>120.8</v>
      </c>
      <c r="L2" s="25" t="s">
        <v>86</v>
      </c>
      <c r="M2" s="29">
        <v>39592.800000000003</v>
      </c>
    </row>
    <row r="3" spans="1:13" x14ac:dyDescent="0.3">
      <c r="A3" s="20" t="s">
        <v>127</v>
      </c>
      <c r="B3" s="21">
        <v>217.49999999999997</v>
      </c>
      <c r="L3" s="25" t="s">
        <v>85</v>
      </c>
      <c r="M3" s="29">
        <v>95128.8</v>
      </c>
    </row>
    <row r="4" spans="1:13" x14ac:dyDescent="0.3">
      <c r="A4" s="18" t="s">
        <v>170</v>
      </c>
      <c r="B4" s="19">
        <v>338.29999999999995</v>
      </c>
      <c r="L4" s="25" t="s">
        <v>94</v>
      </c>
      <c r="M4" s="29">
        <v>128742.6</v>
      </c>
    </row>
    <row r="5" spans="1:13" x14ac:dyDescent="0.3">
      <c r="L5" s="25" t="s">
        <v>83</v>
      </c>
      <c r="M5" s="29">
        <v>130883</v>
      </c>
    </row>
    <row r="6" spans="1:13" x14ac:dyDescent="0.3">
      <c r="L6" s="25" t="s">
        <v>92</v>
      </c>
      <c r="M6" s="29">
        <v>143204.6</v>
      </c>
    </row>
    <row r="7" spans="1:13" x14ac:dyDescent="0.3">
      <c r="L7" s="25" t="s">
        <v>98</v>
      </c>
      <c r="M7" s="29">
        <v>148184.4</v>
      </c>
    </row>
    <row r="8" spans="1:13" x14ac:dyDescent="0.3">
      <c r="L8" s="25" t="s">
        <v>99</v>
      </c>
      <c r="M8" s="29">
        <v>292980</v>
      </c>
    </row>
    <row r="9" spans="1:13" x14ac:dyDescent="0.3">
      <c r="L9" s="25" t="s">
        <v>88</v>
      </c>
      <c r="M9" s="29">
        <v>323299.5</v>
      </c>
    </row>
    <row r="10" spans="1:13" x14ac:dyDescent="0.3">
      <c r="L10" s="25" t="s">
        <v>97</v>
      </c>
      <c r="M10" s="29">
        <v>343085.4</v>
      </c>
    </row>
    <row r="11" spans="1:13" x14ac:dyDescent="0.3">
      <c r="L11" s="25" t="s">
        <v>93</v>
      </c>
      <c r="M11" s="29">
        <v>347510.4</v>
      </c>
    </row>
    <row r="12" spans="1:13" x14ac:dyDescent="0.3">
      <c r="L12" s="25" t="s">
        <v>96</v>
      </c>
      <c r="M12" s="29">
        <v>366076.6</v>
      </c>
    </row>
    <row r="13" spans="1:13" x14ac:dyDescent="0.3">
      <c r="A13" s="17" t="s">
        <v>169</v>
      </c>
      <c r="B13" t="s">
        <v>172</v>
      </c>
      <c r="L13" s="25" t="s">
        <v>82</v>
      </c>
      <c r="M13" s="29">
        <v>422347.3</v>
      </c>
    </row>
    <row r="14" spans="1:13" x14ac:dyDescent="0.3">
      <c r="A14" s="22" t="s">
        <v>72</v>
      </c>
      <c r="B14" s="27">
        <v>4591247.18</v>
      </c>
      <c r="L14" s="25" t="s">
        <v>90</v>
      </c>
      <c r="M14" s="29">
        <v>514937.27999999997</v>
      </c>
    </row>
    <row r="15" spans="1:13" x14ac:dyDescent="0.3">
      <c r="A15" s="22" t="s">
        <v>74</v>
      </c>
      <c r="B15" s="27">
        <v>1520156.4000000001</v>
      </c>
      <c r="L15" s="25" t="s">
        <v>87</v>
      </c>
      <c r="M15" s="29">
        <v>580756.69999999995</v>
      </c>
    </row>
    <row r="16" spans="1:13" x14ac:dyDescent="0.3">
      <c r="A16" s="22" t="s">
        <v>78</v>
      </c>
      <c r="B16" s="27">
        <v>839740.2</v>
      </c>
      <c r="L16" s="25" t="s">
        <v>89</v>
      </c>
      <c r="M16" s="29">
        <v>699913.4</v>
      </c>
    </row>
    <row r="17" spans="1:14" x14ac:dyDescent="0.3">
      <c r="A17" s="22" t="s">
        <v>76</v>
      </c>
      <c r="B17" s="27">
        <v>495694.80000000005</v>
      </c>
      <c r="L17" s="25" t="s">
        <v>91</v>
      </c>
      <c r="M17" s="29">
        <v>760128</v>
      </c>
    </row>
    <row r="18" spans="1:14" x14ac:dyDescent="0.3">
      <c r="A18" s="22" t="s">
        <v>79</v>
      </c>
      <c r="B18" s="27">
        <v>224824.6</v>
      </c>
      <c r="L18" s="25" t="s">
        <v>84</v>
      </c>
      <c r="M18" s="29">
        <v>1247101.2000000002</v>
      </c>
    </row>
    <row r="19" spans="1:14" x14ac:dyDescent="0.3">
      <c r="A19" s="22" t="s">
        <v>77</v>
      </c>
      <c r="B19" s="27">
        <v>163662.39999999999</v>
      </c>
      <c r="L19" s="25" t="s">
        <v>95</v>
      </c>
      <c r="M19" s="29">
        <v>1403333.6400000001</v>
      </c>
    </row>
    <row r="20" spans="1:14" x14ac:dyDescent="0.3">
      <c r="A20" s="22" t="s">
        <v>81</v>
      </c>
      <c r="B20" s="27">
        <v>151880.04</v>
      </c>
      <c r="L20" s="18" t="s">
        <v>170</v>
      </c>
      <c r="M20" s="26">
        <v>7987205.620000001</v>
      </c>
    </row>
    <row r="21" spans="1:14" x14ac:dyDescent="0.3">
      <c r="A21" s="18" t="s">
        <v>170</v>
      </c>
      <c r="B21" s="26">
        <v>7987205.6200000001</v>
      </c>
    </row>
    <row r="23" spans="1:14" x14ac:dyDescent="0.3">
      <c r="L23" s="17" t="s">
        <v>169</v>
      </c>
      <c r="M23" t="s">
        <v>172</v>
      </c>
      <c r="N23" t="s">
        <v>173</v>
      </c>
    </row>
    <row r="24" spans="1:14" x14ac:dyDescent="0.3">
      <c r="L24" s="24" t="s">
        <v>59</v>
      </c>
      <c r="M24" s="30">
        <v>5268117.12</v>
      </c>
      <c r="N24" s="30">
        <v>6301534</v>
      </c>
    </row>
    <row r="25" spans="1:14" x14ac:dyDescent="0.3">
      <c r="L25" s="24" t="s">
        <v>64</v>
      </c>
      <c r="M25" s="30">
        <v>288726.90000000002</v>
      </c>
      <c r="N25" s="30">
        <v>374970</v>
      </c>
    </row>
    <row r="26" spans="1:14" x14ac:dyDescent="0.3">
      <c r="A26" s="17" t="s">
        <v>169</v>
      </c>
      <c r="B26" t="s">
        <v>172</v>
      </c>
      <c r="L26" s="24" t="s">
        <v>69</v>
      </c>
      <c r="M26" s="30">
        <v>254084.6</v>
      </c>
      <c r="N26" s="30">
        <v>329980</v>
      </c>
    </row>
    <row r="27" spans="1:14" x14ac:dyDescent="0.3">
      <c r="A27" s="23">
        <v>4</v>
      </c>
      <c r="B27" s="28">
        <v>4257307.92</v>
      </c>
      <c r="L27" s="24" t="s">
        <v>68</v>
      </c>
      <c r="M27" s="30">
        <v>224824.6</v>
      </c>
      <c r="N27" s="30">
        <v>291980</v>
      </c>
    </row>
    <row r="28" spans="1:14" x14ac:dyDescent="0.3">
      <c r="A28" s="23">
        <v>4.5</v>
      </c>
      <c r="B28" s="28">
        <v>1215168.4000000001</v>
      </c>
      <c r="L28" s="24" t="s">
        <v>70</v>
      </c>
      <c r="M28" s="30">
        <v>202012.2</v>
      </c>
      <c r="N28" s="30">
        <v>226980</v>
      </c>
    </row>
    <row r="29" spans="1:14" x14ac:dyDescent="0.3">
      <c r="A29" s="23">
        <v>4.5999999999999996</v>
      </c>
      <c r="B29" s="28">
        <v>617838</v>
      </c>
      <c r="L29" s="24" t="s">
        <v>63</v>
      </c>
      <c r="M29" s="30">
        <v>191980.79999999999</v>
      </c>
      <c r="N29" s="30">
        <v>199980</v>
      </c>
    </row>
    <row r="30" spans="1:14" x14ac:dyDescent="0.3">
      <c r="A30" s="23">
        <v>4.4000000000000004</v>
      </c>
      <c r="B30" s="28">
        <v>535732.19999999995</v>
      </c>
      <c r="L30" s="24" t="s">
        <v>66</v>
      </c>
      <c r="M30" s="30">
        <v>173323.8</v>
      </c>
      <c r="N30" s="30">
        <v>213980</v>
      </c>
    </row>
    <row r="31" spans="1:14" x14ac:dyDescent="0.3">
      <c r="A31" s="23">
        <v>5</v>
      </c>
      <c r="B31" s="28">
        <v>524974.6</v>
      </c>
      <c r="L31" s="24" t="s">
        <v>56</v>
      </c>
      <c r="M31" s="30">
        <v>165344.4</v>
      </c>
      <c r="N31" s="30">
        <v>211980</v>
      </c>
    </row>
    <row r="32" spans="1:14" x14ac:dyDescent="0.3">
      <c r="A32" s="23">
        <v>4.2</v>
      </c>
      <c r="B32" s="28">
        <v>396733.6</v>
      </c>
      <c r="L32" s="24" t="s">
        <v>62</v>
      </c>
      <c r="M32" s="30">
        <v>150643.79999999999</v>
      </c>
      <c r="N32" s="30">
        <v>185980</v>
      </c>
    </row>
    <row r="33" spans="1:14" x14ac:dyDescent="0.3">
      <c r="A33" s="23">
        <v>3</v>
      </c>
      <c r="B33" s="28">
        <v>292980</v>
      </c>
      <c r="L33" s="24" t="s">
        <v>67</v>
      </c>
      <c r="M33" s="30">
        <v>140585.20000000001</v>
      </c>
      <c r="N33" s="30">
        <v>189980</v>
      </c>
    </row>
    <row r="34" spans="1:14" x14ac:dyDescent="0.3">
      <c r="A34" s="23">
        <v>4.7</v>
      </c>
      <c r="B34" s="28">
        <v>95128.8</v>
      </c>
      <c r="L34" s="24" t="s">
        <v>57</v>
      </c>
      <c r="M34" s="30">
        <v>138584.6</v>
      </c>
      <c r="N34" s="30">
        <v>179980</v>
      </c>
    </row>
    <row r="35" spans="1:14" x14ac:dyDescent="0.3">
      <c r="A35" s="23">
        <v>4.3</v>
      </c>
      <c r="B35" s="28">
        <v>51342.1</v>
      </c>
      <c r="L35" s="24" t="s">
        <v>65</v>
      </c>
      <c r="M35" s="30">
        <v>135504.6</v>
      </c>
      <c r="N35" s="30">
        <v>175980</v>
      </c>
    </row>
    <row r="36" spans="1:14" x14ac:dyDescent="0.3">
      <c r="A36" s="18" t="s">
        <v>170</v>
      </c>
      <c r="B36" s="26">
        <v>7987205.6199999992</v>
      </c>
      <c r="L36" s="24" t="s">
        <v>54</v>
      </c>
      <c r="M36" s="30">
        <v>130883</v>
      </c>
      <c r="N36" s="30">
        <v>153980</v>
      </c>
    </row>
    <row r="37" spans="1:14" x14ac:dyDescent="0.3">
      <c r="L37" s="24" t="s">
        <v>71</v>
      </c>
      <c r="M37" s="30">
        <v>111992</v>
      </c>
      <c r="N37" s="30">
        <v>139990</v>
      </c>
    </row>
    <row r="38" spans="1:14" x14ac:dyDescent="0.3">
      <c r="L38" s="24" t="s">
        <v>55</v>
      </c>
      <c r="M38" s="30">
        <v>106244.6</v>
      </c>
      <c r="N38" s="30">
        <v>137980</v>
      </c>
    </row>
    <row r="39" spans="1:14" x14ac:dyDescent="0.3">
      <c r="L39" s="24" t="s">
        <v>53</v>
      </c>
      <c r="M39" s="30">
        <v>94885.4</v>
      </c>
      <c r="N39" s="30">
        <v>129980</v>
      </c>
    </row>
    <row r="40" spans="1:14" x14ac:dyDescent="0.3">
      <c r="L40" s="24" t="s">
        <v>61</v>
      </c>
      <c r="M40" s="30">
        <v>91485</v>
      </c>
      <c r="N40" s="30">
        <v>121980</v>
      </c>
    </row>
    <row r="41" spans="1:14" x14ac:dyDescent="0.3">
      <c r="L41" s="24" t="s">
        <v>58</v>
      </c>
      <c r="M41" s="30">
        <v>78390.2</v>
      </c>
      <c r="N41" s="30">
        <v>79990</v>
      </c>
    </row>
    <row r="42" spans="1:14" x14ac:dyDescent="0.3">
      <c r="L42" s="24" t="s">
        <v>60</v>
      </c>
      <c r="M42" s="30">
        <v>39592.800000000003</v>
      </c>
      <c r="N42" s="30">
        <v>54990</v>
      </c>
    </row>
    <row r="43" spans="1:14" x14ac:dyDescent="0.3">
      <c r="L43" s="18" t="s">
        <v>170</v>
      </c>
      <c r="M43" s="26">
        <v>7987205.6200000001</v>
      </c>
      <c r="N43" s="26">
        <v>9702194</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E482A-23B4-4E27-95B0-A53432CBC6D3}">
  <dimension ref="A1"/>
  <sheetViews>
    <sheetView showGridLines="0" tabSelected="1" zoomScale="80" zoomScaleNormal="80" workbookViewId="0">
      <selection activeCell="K7" sqref="K7"/>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Filtered_data</vt:lpstr>
      <vt:lpstr>EDA &amp; stats</vt:lpstr>
      <vt:lpstr>Analysis &amp; visuals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Swatick M</cp:lastModifiedBy>
  <dcterms:created xsi:type="dcterms:W3CDTF">2021-11-27T12:55:15Z</dcterms:created>
  <dcterms:modified xsi:type="dcterms:W3CDTF">2021-11-27T15:55:00Z</dcterms:modified>
</cp:coreProperties>
</file>