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drawings/drawing5.xml" ContentType="application/vnd.openxmlformats-officedocument.drawing+xml"/>
  <Override PartName="/xl/slicers/slicer5.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hidePivotFieldList="1"/>
  <mc:AlternateContent xmlns:mc="http://schemas.openxmlformats.org/markup-compatibility/2006">
    <mc:Choice Requires="x15">
      <x15ac:absPath xmlns:x15ac="http://schemas.microsoft.com/office/spreadsheetml/2010/11/ac" url="F:\"/>
    </mc:Choice>
  </mc:AlternateContent>
  <xr:revisionPtr revIDLastSave="0" documentId="13_ncr:1_{40180B83-2F3B-4E65-BD70-2CA078F1CA63}" xr6:coauthVersionLast="47" xr6:coauthVersionMax="47" xr10:uidLastSave="{00000000-0000-0000-0000-000000000000}"/>
  <bookViews>
    <workbookView xWindow="-108" yWindow="-108" windowWidth="23256" windowHeight="12720" activeTab="3" xr2:uid="{00000000-000D-0000-FFFF-FFFF00000000}"/>
  </bookViews>
  <sheets>
    <sheet name="Raw_Data" sheetId="1" r:id="rId1"/>
    <sheet name="Filetred Data" sheetId="2" r:id="rId2"/>
    <sheet name="EDA and Stats" sheetId="3" r:id="rId3"/>
    <sheet name="Analysis and visual 1" sheetId="10" r:id="rId4"/>
    <sheet name="Analysis and visual 2" sheetId="7" r:id="rId5"/>
    <sheet name="Analysis and visual 3" sheetId="8" r:id="rId6"/>
    <sheet name="Analysis and visual 4" sheetId="9" r:id="rId7"/>
    <sheet name="Dashboard" sheetId="6" r:id="rId8"/>
  </sheets>
  <definedNames>
    <definedName name="Slicer_Country">#N/A</definedName>
  </definedNames>
  <calcPr calcId="181029"/>
  <pivotCaches>
    <pivotCache cacheId="9"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S119" i="3" l="1"/>
  <c r="AR118" i="3"/>
  <c r="AQ117" i="3"/>
  <c r="AP116" i="3"/>
  <c r="AO115" i="3"/>
  <c r="AN114" i="3"/>
  <c r="AM113" i="3"/>
  <c r="AL112" i="3"/>
  <c r="AK111" i="3"/>
  <c r="AJ110" i="3"/>
  <c r="AI109" i="3"/>
  <c r="AH108" i="3"/>
  <c r="AG107" i="3"/>
  <c r="AF106" i="3"/>
  <c r="AE105" i="3"/>
  <c r="AD104" i="3"/>
  <c r="AC103" i="3"/>
  <c r="AB102" i="3"/>
  <c r="AA101" i="3"/>
  <c r="Z100" i="3"/>
  <c r="Y99" i="3"/>
  <c r="X98" i="3"/>
  <c r="W97" i="3"/>
  <c r="V96" i="3"/>
  <c r="U95" i="3"/>
  <c r="T94" i="3"/>
  <c r="S93" i="3"/>
  <c r="R92" i="3"/>
  <c r="Q91" i="3"/>
  <c r="P90" i="3"/>
  <c r="O89" i="3"/>
  <c r="N88" i="3"/>
  <c r="M87" i="3"/>
  <c r="L86" i="3"/>
  <c r="K85" i="3"/>
  <c r="J84" i="3"/>
  <c r="I83" i="3"/>
  <c r="H82" i="3"/>
  <c r="G81" i="3"/>
  <c r="F80" i="3"/>
  <c r="E79" i="3"/>
  <c r="D78" i="3"/>
  <c r="C77" i="3"/>
  <c r="B76" i="3"/>
  <c r="C19" i="3" l="1"/>
  <c r="D19" i="3"/>
  <c r="E19" i="3"/>
  <c r="F19" i="3"/>
  <c r="G19" i="3"/>
  <c r="H19" i="3"/>
  <c r="I19" i="3"/>
  <c r="J19" i="3"/>
  <c r="K19" i="3"/>
  <c r="L19" i="3"/>
  <c r="M19" i="3"/>
  <c r="N19" i="3"/>
  <c r="O19" i="3"/>
  <c r="P19" i="3"/>
  <c r="Q19" i="3"/>
  <c r="R19" i="3"/>
  <c r="S19" i="3"/>
  <c r="T19" i="3"/>
  <c r="U19" i="3"/>
  <c r="V19" i="3"/>
  <c r="W19" i="3"/>
  <c r="X19" i="3"/>
  <c r="Y19" i="3"/>
  <c r="Z19" i="3"/>
  <c r="AA19" i="3"/>
  <c r="AB19" i="3"/>
  <c r="AC19" i="3"/>
  <c r="AD19" i="3"/>
  <c r="AE19" i="3"/>
  <c r="AF19" i="3"/>
  <c r="AG19" i="3"/>
  <c r="AH19" i="3"/>
  <c r="AI19" i="3"/>
  <c r="AJ19" i="3"/>
  <c r="AK19" i="3"/>
  <c r="AL19" i="3"/>
  <c r="AM19" i="3"/>
  <c r="AN19" i="3"/>
  <c r="AO19" i="3"/>
  <c r="AP19" i="3"/>
  <c r="AQ19" i="3"/>
  <c r="AR19" i="3"/>
  <c r="AS19" i="3"/>
  <c r="C18" i="3"/>
  <c r="D18" i="3"/>
  <c r="E18" i="3"/>
  <c r="F18" i="3"/>
  <c r="G18" i="3"/>
  <c r="H18" i="3"/>
  <c r="I18" i="3"/>
  <c r="J18" i="3"/>
  <c r="K18" i="3"/>
  <c r="L18" i="3"/>
  <c r="M18" i="3"/>
  <c r="N18" i="3"/>
  <c r="O18" i="3"/>
  <c r="P18" i="3"/>
  <c r="Q18" i="3"/>
  <c r="R18" i="3"/>
  <c r="S18" i="3"/>
  <c r="T18" i="3"/>
  <c r="U18" i="3"/>
  <c r="V18" i="3"/>
  <c r="W18" i="3"/>
  <c r="X18" i="3"/>
  <c r="Y18" i="3"/>
  <c r="Z18" i="3"/>
  <c r="AA18" i="3"/>
  <c r="AB18" i="3"/>
  <c r="AC18" i="3"/>
  <c r="AD18" i="3"/>
  <c r="AE18" i="3"/>
  <c r="AF18" i="3"/>
  <c r="AG18" i="3"/>
  <c r="AH18" i="3"/>
  <c r="AI18" i="3"/>
  <c r="AJ18" i="3"/>
  <c r="AK18" i="3"/>
  <c r="AL18" i="3"/>
  <c r="AM18" i="3"/>
  <c r="AN18" i="3"/>
  <c r="AO18" i="3"/>
  <c r="AP18" i="3"/>
  <c r="AQ18" i="3"/>
  <c r="AR18" i="3"/>
  <c r="AS18" i="3"/>
  <c r="C16" i="3"/>
  <c r="D16" i="3"/>
  <c r="E16" i="3"/>
  <c r="F16" i="3"/>
  <c r="G16" i="3"/>
  <c r="H16" i="3"/>
  <c r="I16" i="3"/>
  <c r="J16" i="3"/>
  <c r="K16" i="3"/>
  <c r="L16" i="3"/>
  <c r="M16" i="3"/>
  <c r="N16" i="3"/>
  <c r="O16" i="3"/>
  <c r="P16" i="3"/>
  <c r="Q16" i="3"/>
  <c r="R16" i="3"/>
  <c r="S16" i="3"/>
  <c r="T16" i="3"/>
  <c r="U16" i="3"/>
  <c r="V16" i="3"/>
  <c r="W16" i="3"/>
  <c r="X16" i="3"/>
  <c r="Y16" i="3"/>
  <c r="Z16" i="3"/>
  <c r="AA16" i="3"/>
  <c r="AB16" i="3"/>
  <c r="AC16" i="3"/>
  <c r="AD16" i="3"/>
  <c r="AE16" i="3"/>
  <c r="AF16" i="3"/>
  <c r="AG16" i="3"/>
  <c r="AH16" i="3"/>
  <c r="AI16" i="3"/>
  <c r="AJ16" i="3"/>
  <c r="AK16" i="3"/>
  <c r="AL16" i="3"/>
  <c r="AM16" i="3"/>
  <c r="AN16" i="3"/>
  <c r="AO16" i="3"/>
  <c r="AP16" i="3"/>
  <c r="AQ16" i="3"/>
  <c r="AR16" i="3"/>
  <c r="AS16" i="3"/>
  <c r="C15" i="3"/>
  <c r="C20" i="3" s="1"/>
  <c r="D15" i="3"/>
  <c r="D20" i="3" s="1"/>
  <c r="E15" i="3"/>
  <c r="E20" i="3" s="1"/>
  <c r="F15" i="3"/>
  <c r="F20" i="3" s="1"/>
  <c r="G15" i="3"/>
  <c r="G20" i="3" s="1"/>
  <c r="H15" i="3"/>
  <c r="H20" i="3" s="1"/>
  <c r="I15" i="3"/>
  <c r="I20" i="3" s="1"/>
  <c r="J15" i="3"/>
  <c r="J20" i="3" s="1"/>
  <c r="K15" i="3"/>
  <c r="K20" i="3" s="1"/>
  <c r="L15" i="3"/>
  <c r="L20" i="3" s="1"/>
  <c r="M15" i="3"/>
  <c r="M20" i="3" s="1"/>
  <c r="N15" i="3"/>
  <c r="N20" i="3" s="1"/>
  <c r="O15" i="3"/>
  <c r="O20" i="3" s="1"/>
  <c r="P15" i="3"/>
  <c r="P20" i="3" s="1"/>
  <c r="Q15" i="3"/>
  <c r="Q20" i="3" s="1"/>
  <c r="R15" i="3"/>
  <c r="R20" i="3" s="1"/>
  <c r="S15" i="3"/>
  <c r="S20" i="3" s="1"/>
  <c r="T15" i="3"/>
  <c r="T20" i="3" s="1"/>
  <c r="U15" i="3"/>
  <c r="U20" i="3" s="1"/>
  <c r="V15" i="3"/>
  <c r="V20" i="3" s="1"/>
  <c r="W15" i="3"/>
  <c r="W20" i="3" s="1"/>
  <c r="X15" i="3"/>
  <c r="X20" i="3" s="1"/>
  <c r="Y15" i="3"/>
  <c r="Y20" i="3" s="1"/>
  <c r="Z15" i="3"/>
  <c r="Z20" i="3" s="1"/>
  <c r="AA15" i="3"/>
  <c r="AA20" i="3" s="1"/>
  <c r="AB15" i="3"/>
  <c r="AB20" i="3" s="1"/>
  <c r="AC15" i="3"/>
  <c r="AC20" i="3" s="1"/>
  <c r="AD15" i="3"/>
  <c r="AD20" i="3" s="1"/>
  <c r="AE15" i="3"/>
  <c r="AE20" i="3" s="1"/>
  <c r="AF15" i="3"/>
  <c r="AF20" i="3" s="1"/>
  <c r="AG15" i="3"/>
  <c r="AG20" i="3" s="1"/>
  <c r="AH15" i="3"/>
  <c r="AH20" i="3" s="1"/>
  <c r="AI15" i="3"/>
  <c r="AI20" i="3" s="1"/>
  <c r="AJ15" i="3"/>
  <c r="AJ20" i="3" s="1"/>
  <c r="AK15" i="3"/>
  <c r="AK20" i="3" s="1"/>
  <c r="AL15" i="3"/>
  <c r="AL20" i="3" s="1"/>
  <c r="AM15" i="3"/>
  <c r="AM20" i="3" s="1"/>
  <c r="AN15" i="3"/>
  <c r="AN20" i="3" s="1"/>
  <c r="AO15" i="3"/>
  <c r="AO20" i="3" s="1"/>
  <c r="AP15" i="3"/>
  <c r="AP20" i="3" s="1"/>
  <c r="AQ15" i="3"/>
  <c r="AQ20" i="3" s="1"/>
  <c r="AR15" i="3"/>
  <c r="AR20" i="3" s="1"/>
  <c r="AS15" i="3"/>
  <c r="AS20" i="3" s="1"/>
  <c r="B16" i="3"/>
  <c r="B18" i="3"/>
  <c r="B19" i="3"/>
  <c r="C14" i="3"/>
  <c r="D14" i="3"/>
  <c r="E14" i="3"/>
  <c r="F14" i="3"/>
  <c r="G14" i="3"/>
  <c r="H14" i="3"/>
  <c r="I14" i="3"/>
  <c r="J14" i="3"/>
  <c r="K14" i="3"/>
  <c r="L14" i="3"/>
  <c r="M14" i="3"/>
  <c r="N14" i="3"/>
  <c r="O14" i="3"/>
  <c r="P14" i="3"/>
  <c r="Q14" i="3"/>
  <c r="R14" i="3"/>
  <c r="S14" i="3"/>
  <c r="T14" i="3"/>
  <c r="U14" i="3"/>
  <c r="V14" i="3"/>
  <c r="W14" i="3"/>
  <c r="X14" i="3"/>
  <c r="Y14" i="3"/>
  <c r="Z14" i="3"/>
  <c r="AA14" i="3"/>
  <c r="AB14" i="3"/>
  <c r="AC14" i="3"/>
  <c r="AD14" i="3"/>
  <c r="AE14" i="3"/>
  <c r="AF14" i="3"/>
  <c r="AG14" i="3"/>
  <c r="AH14" i="3"/>
  <c r="AI14" i="3"/>
  <c r="AJ14" i="3"/>
  <c r="AK14" i="3"/>
  <c r="AL14" i="3"/>
  <c r="AM14" i="3"/>
  <c r="AN14" i="3"/>
  <c r="AO14" i="3"/>
  <c r="AP14" i="3"/>
  <c r="AQ14" i="3"/>
  <c r="AR14" i="3"/>
  <c r="AS14" i="3"/>
  <c r="C13" i="3"/>
  <c r="D13" i="3"/>
  <c r="E13" i="3"/>
  <c r="F13" i="3"/>
  <c r="G13" i="3"/>
  <c r="H13" i="3"/>
  <c r="I13" i="3"/>
  <c r="J13" i="3"/>
  <c r="K13" i="3"/>
  <c r="L13" i="3"/>
  <c r="M13" i="3"/>
  <c r="N13" i="3"/>
  <c r="O13" i="3"/>
  <c r="P13" i="3"/>
  <c r="Q13" i="3"/>
  <c r="R13" i="3"/>
  <c r="S13" i="3"/>
  <c r="T13" i="3"/>
  <c r="U13" i="3"/>
  <c r="V13" i="3"/>
  <c r="W13" i="3"/>
  <c r="X13" i="3"/>
  <c r="Y13" i="3"/>
  <c r="Z13" i="3"/>
  <c r="AA13" i="3"/>
  <c r="AB13" i="3"/>
  <c r="AC13" i="3"/>
  <c r="AD13" i="3"/>
  <c r="AE13" i="3"/>
  <c r="AF13" i="3"/>
  <c r="AG13" i="3"/>
  <c r="AH13" i="3"/>
  <c r="AI13" i="3"/>
  <c r="AJ13" i="3"/>
  <c r="AK13" i="3"/>
  <c r="AL13" i="3"/>
  <c r="AM13" i="3"/>
  <c r="AN13" i="3"/>
  <c r="AO13" i="3"/>
  <c r="AP13" i="3"/>
  <c r="AQ13" i="3"/>
  <c r="AR13" i="3"/>
  <c r="AS13" i="3"/>
  <c r="C12" i="3"/>
  <c r="D12" i="3"/>
  <c r="E12" i="3"/>
  <c r="F12" i="3"/>
  <c r="G12" i="3"/>
  <c r="H12" i="3"/>
  <c r="I12" i="3"/>
  <c r="J12" i="3"/>
  <c r="K12" i="3"/>
  <c r="L12" i="3"/>
  <c r="M12" i="3"/>
  <c r="N12" i="3"/>
  <c r="O12" i="3"/>
  <c r="P12" i="3"/>
  <c r="Q12" i="3"/>
  <c r="R12" i="3"/>
  <c r="S12" i="3"/>
  <c r="T12" i="3"/>
  <c r="U12" i="3"/>
  <c r="V12" i="3"/>
  <c r="W12" i="3"/>
  <c r="X12" i="3"/>
  <c r="Y12" i="3"/>
  <c r="Z12" i="3"/>
  <c r="AA12" i="3"/>
  <c r="AB12" i="3"/>
  <c r="AC12" i="3"/>
  <c r="AD12" i="3"/>
  <c r="AE12" i="3"/>
  <c r="AF12" i="3"/>
  <c r="AG12" i="3"/>
  <c r="AH12" i="3"/>
  <c r="AI12" i="3"/>
  <c r="AJ12" i="3"/>
  <c r="AK12" i="3"/>
  <c r="AL12" i="3"/>
  <c r="AM12" i="3"/>
  <c r="AN12" i="3"/>
  <c r="AO12" i="3"/>
  <c r="AP12" i="3"/>
  <c r="AQ12" i="3"/>
  <c r="AR12" i="3"/>
  <c r="AS12" i="3"/>
  <c r="D11" i="3"/>
  <c r="I11" i="3"/>
  <c r="L11" i="3"/>
  <c r="Q11" i="3"/>
  <c r="T11" i="3"/>
  <c r="Y11" i="3"/>
  <c r="AB11" i="3"/>
  <c r="AG11" i="3"/>
  <c r="AJ11" i="3"/>
  <c r="AO11" i="3"/>
  <c r="AR11" i="3"/>
  <c r="B12" i="3"/>
  <c r="B13" i="3"/>
  <c r="B14" i="3"/>
  <c r="B15" i="3"/>
  <c r="B20" i="3" s="1"/>
  <c r="C10" i="3"/>
  <c r="D10" i="3"/>
  <c r="E10" i="3"/>
  <c r="F10" i="3"/>
  <c r="G10" i="3"/>
  <c r="H10" i="3"/>
  <c r="I10" i="3"/>
  <c r="J10" i="3"/>
  <c r="K10" i="3"/>
  <c r="L10" i="3"/>
  <c r="M10" i="3"/>
  <c r="N10" i="3"/>
  <c r="O10" i="3"/>
  <c r="P10" i="3"/>
  <c r="Q10" i="3"/>
  <c r="R10" i="3"/>
  <c r="S10" i="3"/>
  <c r="T10" i="3"/>
  <c r="U10" i="3"/>
  <c r="V10" i="3"/>
  <c r="W10" i="3"/>
  <c r="X10" i="3"/>
  <c r="Y10" i="3"/>
  <c r="Z10" i="3"/>
  <c r="AA10" i="3"/>
  <c r="AB10" i="3"/>
  <c r="AC10" i="3"/>
  <c r="AD10" i="3"/>
  <c r="AE10" i="3"/>
  <c r="AF10" i="3"/>
  <c r="AG10" i="3"/>
  <c r="AH10" i="3"/>
  <c r="AI10" i="3"/>
  <c r="AJ10" i="3"/>
  <c r="AK10" i="3"/>
  <c r="AL10" i="3"/>
  <c r="AM10" i="3"/>
  <c r="AN10" i="3"/>
  <c r="AO10" i="3"/>
  <c r="AP10" i="3"/>
  <c r="AQ10" i="3"/>
  <c r="AR10" i="3"/>
  <c r="AS10" i="3"/>
  <c r="C9" i="3"/>
  <c r="C11" i="3" s="1"/>
  <c r="D9" i="3"/>
  <c r="E9" i="3"/>
  <c r="E11" i="3" s="1"/>
  <c r="F9" i="3"/>
  <c r="F11" i="3" s="1"/>
  <c r="G9" i="3"/>
  <c r="G11" i="3" s="1"/>
  <c r="H9" i="3"/>
  <c r="H11" i="3" s="1"/>
  <c r="I9" i="3"/>
  <c r="J9" i="3"/>
  <c r="J11" i="3" s="1"/>
  <c r="K9" i="3"/>
  <c r="K11" i="3" s="1"/>
  <c r="L9" i="3"/>
  <c r="M9" i="3"/>
  <c r="M11" i="3" s="1"/>
  <c r="N9" i="3"/>
  <c r="N11" i="3" s="1"/>
  <c r="O9" i="3"/>
  <c r="O11" i="3" s="1"/>
  <c r="P9" i="3"/>
  <c r="P11" i="3" s="1"/>
  <c r="Q9" i="3"/>
  <c r="R9" i="3"/>
  <c r="R11" i="3" s="1"/>
  <c r="S9" i="3"/>
  <c r="S11" i="3" s="1"/>
  <c r="T9" i="3"/>
  <c r="U9" i="3"/>
  <c r="U11" i="3" s="1"/>
  <c r="V9" i="3"/>
  <c r="V11" i="3" s="1"/>
  <c r="W9" i="3"/>
  <c r="W11" i="3" s="1"/>
  <c r="X9" i="3"/>
  <c r="X11" i="3" s="1"/>
  <c r="Y9" i="3"/>
  <c r="Z9" i="3"/>
  <c r="Z11" i="3" s="1"/>
  <c r="AA9" i="3"/>
  <c r="AA11" i="3" s="1"/>
  <c r="AB9" i="3"/>
  <c r="AC9" i="3"/>
  <c r="AC11" i="3" s="1"/>
  <c r="AD9" i="3"/>
  <c r="AD11" i="3" s="1"/>
  <c r="AE9" i="3"/>
  <c r="AE11" i="3" s="1"/>
  <c r="AF9" i="3"/>
  <c r="AF11" i="3" s="1"/>
  <c r="AG9" i="3"/>
  <c r="AH9" i="3"/>
  <c r="AH11" i="3" s="1"/>
  <c r="AI9" i="3"/>
  <c r="AI11" i="3" s="1"/>
  <c r="AJ9" i="3"/>
  <c r="AK9" i="3"/>
  <c r="AK11" i="3" s="1"/>
  <c r="AL9" i="3"/>
  <c r="AL11" i="3" s="1"/>
  <c r="AM9" i="3"/>
  <c r="AM11" i="3" s="1"/>
  <c r="AN9" i="3"/>
  <c r="AN11" i="3" s="1"/>
  <c r="AO9" i="3"/>
  <c r="AP9" i="3"/>
  <c r="AP11" i="3" s="1"/>
  <c r="AQ9" i="3"/>
  <c r="AQ11" i="3" s="1"/>
  <c r="AR9" i="3"/>
  <c r="AS9" i="3"/>
  <c r="AS11" i="3" s="1"/>
  <c r="AS8" i="3"/>
  <c r="C8" i="3"/>
  <c r="D8" i="3"/>
  <c r="E8" i="3"/>
  <c r="F8" i="3"/>
  <c r="G8" i="3"/>
  <c r="H8" i="3"/>
  <c r="I8" i="3"/>
  <c r="J8" i="3"/>
  <c r="K8" i="3"/>
  <c r="L8" i="3"/>
  <c r="M8" i="3"/>
  <c r="N8" i="3"/>
  <c r="O8" i="3"/>
  <c r="P8" i="3"/>
  <c r="Q8" i="3"/>
  <c r="R8" i="3"/>
  <c r="S8" i="3"/>
  <c r="T8" i="3"/>
  <c r="U8" i="3"/>
  <c r="V8" i="3"/>
  <c r="W8" i="3"/>
  <c r="X8" i="3"/>
  <c r="Y8" i="3"/>
  <c r="Z8" i="3"/>
  <c r="AA8" i="3"/>
  <c r="AB8" i="3"/>
  <c r="AC8" i="3"/>
  <c r="AD8" i="3"/>
  <c r="AE8" i="3"/>
  <c r="AF8" i="3"/>
  <c r="AG8" i="3"/>
  <c r="AH8" i="3"/>
  <c r="AI8" i="3"/>
  <c r="AJ8" i="3"/>
  <c r="AK8" i="3"/>
  <c r="AL8" i="3"/>
  <c r="AM8" i="3"/>
  <c r="AN8" i="3"/>
  <c r="AO8" i="3"/>
  <c r="AP8" i="3"/>
  <c r="AQ8" i="3"/>
  <c r="AR8"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C6" i="3"/>
  <c r="D6" i="3"/>
  <c r="E6" i="3"/>
  <c r="F6" i="3"/>
  <c r="G6" i="3"/>
  <c r="H6" i="3"/>
  <c r="I6" i="3"/>
  <c r="J6" i="3"/>
  <c r="K6" i="3"/>
  <c r="L6" i="3"/>
  <c r="M6" i="3"/>
  <c r="N6" i="3"/>
  <c r="O6" i="3"/>
  <c r="P6" i="3"/>
  <c r="Q6" i="3"/>
  <c r="R6" i="3"/>
  <c r="S6" i="3"/>
  <c r="T6" i="3"/>
  <c r="U6" i="3"/>
  <c r="V6" i="3"/>
  <c r="W6" i="3"/>
  <c r="X6" i="3"/>
  <c r="Y6" i="3"/>
  <c r="Z6" i="3"/>
  <c r="AA6" i="3"/>
  <c r="AB6" i="3"/>
  <c r="AC6" i="3"/>
  <c r="AD6" i="3"/>
  <c r="AE6" i="3"/>
  <c r="AF6" i="3"/>
  <c r="AG6" i="3"/>
  <c r="AH6" i="3"/>
  <c r="AI6" i="3"/>
  <c r="AJ6" i="3"/>
  <c r="AK6" i="3"/>
  <c r="AL6" i="3"/>
  <c r="AM6" i="3"/>
  <c r="AN6" i="3"/>
  <c r="AO6" i="3"/>
  <c r="AP6" i="3"/>
  <c r="AQ6" i="3"/>
  <c r="AR6" i="3"/>
  <c r="AS6" i="3"/>
  <c r="C5" i="3"/>
  <c r="C17" i="3" s="1"/>
  <c r="D5" i="3"/>
  <c r="E5" i="3"/>
  <c r="E17" i="3" s="1"/>
  <c r="F5" i="3"/>
  <c r="F17" i="3" s="1"/>
  <c r="G5" i="3"/>
  <c r="H5" i="3"/>
  <c r="I5" i="3"/>
  <c r="J5" i="3"/>
  <c r="K5" i="3"/>
  <c r="K17" i="3" s="1"/>
  <c r="L5" i="3"/>
  <c r="M5" i="3"/>
  <c r="M17" i="3" s="1"/>
  <c r="N5" i="3"/>
  <c r="N17" i="3" s="1"/>
  <c r="O5" i="3"/>
  <c r="P5" i="3"/>
  <c r="Q5" i="3"/>
  <c r="R5" i="3"/>
  <c r="S5" i="3"/>
  <c r="S17" i="3" s="1"/>
  <c r="T5" i="3"/>
  <c r="U5" i="3"/>
  <c r="U17" i="3" s="1"/>
  <c r="V5" i="3"/>
  <c r="V17" i="3" s="1"/>
  <c r="W5" i="3"/>
  <c r="X5" i="3"/>
  <c r="Y5" i="3"/>
  <c r="Z5" i="3"/>
  <c r="AA5" i="3"/>
  <c r="AB5" i="3"/>
  <c r="AC5" i="3"/>
  <c r="AC17" i="3" s="1"/>
  <c r="AD5" i="3"/>
  <c r="AD17" i="3" s="1"/>
  <c r="AE5" i="3"/>
  <c r="AF5" i="3"/>
  <c r="AG5" i="3"/>
  <c r="AH5" i="3"/>
  <c r="AI5" i="3"/>
  <c r="AJ5" i="3"/>
  <c r="AK5" i="3"/>
  <c r="AL5" i="3"/>
  <c r="AL17" i="3" s="1"/>
  <c r="AM5" i="3"/>
  <c r="AN5" i="3"/>
  <c r="AO5" i="3"/>
  <c r="AP5" i="3"/>
  <c r="AQ5" i="3"/>
  <c r="AR5" i="3"/>
  <c r="AS5" i="3"/>
  <c r="B5" i="3"/>
  <c r="B6" i="3"/>
  <c r="B7" i="3"/>
  <c r="B8" i="3"/>
  <c r="B9" i="3"/>
  <c r="B10" i="3"/>
  <c r="D4" i="3"/>
  <c r="E4" i="3"/>
  <c r="F4" i="3"/>
  <c r="G4" i="3"/>
  <c r="H4" i="3"/>
  <c r="I4" i="3"/>
  <c r="J4" i="3"/>
  <c r="K4" i="3"/>
  <c r="L4" i="3"/>
  <c r="M4" i="3"/>
  <c r="N4" i="3"/>
  <c r="O4" i="3"/>
  <c r="P4" i="3"/>
  <c r="Q4" i="3"/>
  <c r="R4" i="3"/>
  <c r="S4" i="3"/>
  <c r="T4" i="3"/>
  <c r="U4" i="3"/>
  <c r="V4" i="3"/>
  <c r="W4" i="3"/>
  <c r="X4" i="3"/>
  <c r="Y4" i="3"/>
  <c r="Z4" i="3"/>
  <c r="AA4" i="3"/>
  <c r="AB4" i="3"/>
  <c r="AC4" i="3"/>
  <c r="AD4" i="3"/>
  <c r="AE4" i="3"/>
  <c r="AF4" i="3"/>
  <c r="AG4" i="3"/>
  <c r="AH4" i="3"/>
  <c r="AI4" i="3"/>
  <c r="AJ4" i="3"/>
  <c r="AK4" i="3"/>
  <c r="AL4" i="3"/>
  <c r="AM4" i="3"/>
  <c r="AN4" i="3"/>
  <c r="AO4" i="3"/>
  <c r="AP4" i="3"/>
  <c r="AQ4" i="3"/>
  <c r="AR4" i="3"/>
  <c r="AS4" i="3"/>
  <c r="C4" i="3"/>
  <c r="B4" i="3"/>
  <c r="B11" i="3" l="1"/>
  <c r="B17" i="3"/>
  <c r="AS17" i="3"/>
  <c r="AK17" i="3"/>
  <c r="AR17" i="3"/>
  <c r="AJ17" i="3"/>
  <c r="AB17" i="3"/>
  <c r="T17" i="3"/>
  <c r="L17" i="3"/>
  <c r="D17" i="3"/>
  <c r="AQ17" i="3"/>
  <c r="AI17" i="3"/>
  <c r="AA17" i="3"/>
  <c r="AP17" i="3"/>
  <c r="AH17" i="3"/>
  <c r="Z17" i="3"/>
  <c r="R17" i="3"/>
  <c r="J17" i="3"/>
  <c r="AO17" i="3"/>
  <c r="AG17" i="3"/>
  <c r="Y17" i="3"/>
  <c r="Q17" i="3"/>
  <c r="I17" i="3"/>
  <c r="AN17" i="3"/>
  <c r="AF17" i="3"/>
  <c r="X17" i="3"/>
  <c r="P17" i="3"/>
  <c r="H17" i="3"/>
  <c r="AM17" i="3"/>
  <c r="AE17" i="3"/>
  <c r="W17" i="3"/>
  <c r="O17" i="3"/>
  <c r="G17" i="3"/>
</calcChain>
</file>

<file path=xl/sharedStrings.xml><?xml version="1.0" encoding="utf-8"?>
<sst xmlns="http://schemas.openxmlformats.org/spreadsheetml/2006/main" count="1929" uniqueCount="343">
  <si>
    <t>Country</t>
  </si>
  <si>
    <t>Area(sq km)</t>
  </si>
  <si>
    <t>Birth rate(births/1000 population)</t>
  </si>
  <si>
    <t>Current account balance</t>
  </si>
  <si>
    <t>Death rate(deaths/1000 population)</t>
  </si>
  <si>
    <t>Debt - external</t>
  </si>
  <si>
    <t>Electricity - consumption(kWh)</t>
  </si>
  <si>
    <t>Electricity - production(kWh)</t>
  </si>
  <si>
    <t>Exports</t>
  </si>
  <si>
    <t>GDP</t>
  </si>
  <si>
    <t>GDP - per capita</t>
  </si>
  <si>
    <t>GDP - real growth rate(%)</t>
  </si>
  <si>
    <t>HIV/AIDS - adult prevalence rate(%)</t>
  </si>
  <si>
    <t>HIV/AIDS - deaths</t>
  </si>
  <si>
    <t>HIV/AIDS - people living with HIV/AIDS</t>
  </si>
  <si>
    <t>Highways(km)</t>
  </si>
  <si>
    <t>Imports</t>
  </si>
  <si>
    <t>Industrial production growth rate(%)</t>
  </si>
  <si>
    <t>Infant mortality rate(deaths/1000 live births)</t>
  </si>
  <si>
    <t>Inflation rate (consumer prices)(%)</t>
  </si>
  <si>
    <t>Internet hosts</t>
  </si>
  <si>
    <t>Internet users</t>
  </si>
  <si>
    <t>Investment (gross fixed)(% of GDP)</t>
  </si>
  <si>
    <t>Labor force</t>
  </si>
  <si>
    <t>Life expectancy at birth(years)</t>
  </si>
  <si>
    <t>Military expenditures - dollar figure</t>
  </si>
  <si>
    <t>Military expenditures - percent of GDP(%)</t>
  </si>
  <si>
    <t>Natural gas - consumption(cu m)</t>
  </si>
  <si>
    <t>Natural gas - exports(cu m)</t>
  </si>
  <si>
    <t>Natural gas - imports(cu m)</t>
  </si>
  <si>
    <t>Natural gas - production(cu m)</t>
  </si>
  <si>
    <t>Natural gas - proved reserves(cu m)</t>
  </si>
  <si>
    <t>Oil - consumption(bbl/day)</t>
  </si>
  <si>
    <t>Oil - exports(bbl/day)</t>
  </si>
  <si>
    <t>Oil - imports(bbl/day)</t>
  </si>
  <si>
    <t>Oil - production(bbl/day)</t>
  </si>
  <si>
    <t>Oil - proved reserves(bbl)</t>
  </si>
  <si>
    <t>Population</t>
  </si>
  <si>
    <t>Public debt(% of GDP)</t>
  </si>
  <si>
    <t>Railways(km)</t>
  </si>
  <si>
    <t>Reserves of foreign exchange &amp; gold</t>
  </si>
  <si>
    <t>Telephones - main lines in use</t>
  </si>
  <si>
    <t>Telephones - mobile cellular</t>
  </si>
  <si>
    <t>Total fertility rate(children born/woman)</t>
  </si>
  <si>
    <t>Unemployment rate(%)</t>
  </si>
  <si>
    <t>Afghanistan</t>
  </si>
  <si>
    <t>Akrotiri</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</si>
  <si>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</si>
  <si>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</si>
  <si>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</si>
  <si>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</si>
  <si>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</si>
  <si>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</si>
  <si>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</si>
  <si>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</si>
  <si>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</si>
  <si>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</si>
  <si>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</si>
  <si>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</si>
  <si>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</si>
  <si>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</si>
  <si>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</si>
  <si>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 The</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</si>
  <si>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</si>
  <si>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</si>
  <si>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</si>
  <si>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</si>
  <si>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</si>
  <si>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</si>
  <si>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</si>
  <si>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</si>
  <si>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</si>
  <si>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</si>
  <si>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</si>
  <si>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</si>
  <si>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</si>
  <si>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</si>
  <si>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</si>
  <si>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</si>
  <si>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Indian Ocean Territory</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</si>
  <si>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</si>
  <si>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</si>
  <si>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</si>
  <si>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</si>
  <si>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</si>
  <si>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</si>
  <si>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</si>
  <si>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</si>
  <si>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</si>
  <si>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</si>
  <si>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</si>
  <si>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</si>
  <si>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</si>
  <si>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</si>
  <si>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</si>
  <si>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</si>
  <si>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</si>
  <si>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(Keeling) Islands</t>
  </si>
  <si>
    <t>Colombia</t>
  </si>
  <si>
    <t>Comoros</t>
  </si>
  <si>
    <t>Congo Democratic Republic of the</t>
  </si>
  <si>
    <t>Congo Republic of the</t>
  </si>
  <si>
    <t>Cook Islands</t>
  </si>
  <si>
    <t>Costa Rica</t>
  </si>
  <si>
    <t>Cote d'Ivoire</t>
  </si>
  <si>
    <t>Croatia</t>
  </si>
  <si>
    <t>Cuba</t>
  </si>
  <si>
    <t>Cyprus</t>
  </si>
  <si>
    <t>Czech Republic</t>
  </si>
  <si>
    <t>Denmark</t>
  </si>
  <si>
    <t>Dhekelia</t>
  </si>
  <si>
    <t>Djibouti</t>
  </si>
  <si>
    <t>Dominica</t>
  </si>
  <si>
    <t>Dominican Republic</t>
  </si>
  <si>
    <t>East Timor</t>
  </si>
  <si>
    <t>Ecuador</t>
  </si>
  <si>
    <t>Egypt</t>
  </si>
  <si>
    <t>El Salvador</t>
  </si>
  <si>
    <t>Equatorial Guinea</t>
  </si>
  <si>
    <t>Eritrea</t>
  </si>
  <si>
    <t>Estonia</t>
  </si>
  <si>
    <t>Ethiopia</t>
  </si>
  <si>
    <t>Europa Island</t>
  </si>
  <si>
    <t>#European Union</t>
  </si>
  <si>
    <t>Falkland Islands (Islas Malvinas)</t>
  </si>
  <si>
    <t>Faroe Islands</t>
  </si>
  <si>
    <t>Fiji</t>
  </si>
  <si>
    <t>Finland</t>
  </si>
  <si>
    <t>France</t>
  </si>
  <si>
    <t>French Guiana</t>
  </si>
  <si>
    <t>French Polynesia</t>
  </si>
  <si>
    <t>French Southern and Antarctic Lands</t>
  </si>
  <si>
    <t>Gabon</t>
  </si>
  <si>
    <t>Gambia The</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</si>
  <si>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</si>
  <si>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</si>
  <si>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</si>
  <si>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</si>
  <si>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</si>
  <si>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</si>
  <si>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</si>
  <si>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</si>
  <si>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</si>
  <si>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</si>
  <si>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</si>
  <si>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</si>
  <si>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</si>
  <si>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</si>
  <si>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</si>
  <si>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</si>
  <si>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</si>
  <si>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</si>
  <si>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Holy See (Vatican City)</t>
  </si>
  <si>
    <t>Honduras</t>
  </si>
  <si>
    <t>Hong Kong</t>
  </si>
  <si>
    <t>Howland Island</t>
  </si>
  <si>
    <t>Hungary</t>
  </si>
  <si>
    <t>Iceland</t>
  </si>
  <si>
    <t>India</t>
  </si>
  <si>
    <t>Indonesia</t>
  </si>
  <si>
    <t>Iran</t>
  </si>
  <si>
    <t>Iraq</t>
  </si>
  <si>
    <t>Ireland</t>
  </si>
  <si>
    <t>Israel</t>
  </si>
  <si>
    <t>Italy</t>
  </si>
  <si>
    <t>Jamaica</t>
  </si>
  <si>
    <t>Jan Mayen</t>
  </si>
  <si>
    <t>Japan</t>
  </si>
  <si>
    <t>Jarvis Island</t>
  </si>
  <si>
    <t>Jersey</t>
  </si>
  <si>
    <t>Johnston Atoll</t>
  </si>
  <si>
    <t>Jordan</t>
  </si>
  <si>
    <t>Juan de Nova Island</t>
  </si>
  <si>
    <t>Kazakhstan</t>
  </si>
  <si>
    <t>Kenya</t>
  </si>
  <si>
    <t>Kingman Reef</t>
  </si>
  <si>
    <t>Kiribati</t>
  </si>
  <si>
    <t>Korea North</t>
  </si>
  <si>
    <t>Korea South</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</si>
  <si>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</si>
  <si>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</si>
  <si>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</si>
  <si>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</si>
  <si>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</si>
  <si>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</si>
  <si>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</si>
  <si>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</si>
  <si>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</si>
  <si>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</si>
  <si>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</si>
  <si>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</si>
  <si>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</si>
  <si>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</si>
  <si>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</si>
  <si>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</si>
  <si>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</si>
  <si>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</si>
  <si>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</si>
  <si>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Man Isle of</t>
  </si>
  <si>
    <t>Marshall Islands</t>
  </si>
  <si>
    <t>Martinique</t>
  </si>
  <si>
    <t>Mauritania</t>
  </si>
  <si>
    <t>Mauritius</t>
  </si>
  <si>
    <t>Mayotte</t>
  </si>
  <si>
    <t>Mexico</t>
  </si>
  <si>
    <t>Micronesia Federated States of</t>
  </si>
  <si>
    <t>Midway Islands</t>
  </si>
  <si>
    <t>Moldova</t>
  </si>
  <si>
    <t>Monaco</t>
  </si>
  <si>
    <t>Mongolia</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</si>
  <si>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</si>
  <si>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</si>
  <si>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</si>
  <si>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</si>
  <si>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</si>
  <si>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</si>
  <si>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</si>
  <si>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</si>
  <si>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</si>
  <si>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</si>
  <si>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</si>
  <si>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</si>
  <si>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</si>
  <si>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</si>
  <si>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</si>
  <si>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</si>
  <si>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</si>
  <si>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</si>
  <si>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</si>
  <si>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</si>
  <si>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</si>
  <si>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Palmyra Atoll</t>
  </si>
  <si>
    <t>Panama</t>
  </si>
  <si>
    <t>Papua New Guinea</t>
  </si>
  <si>
    <t>Paraguay</t>
  </si>
  <si>
    <t>Peru</t>
  </si>
  <si>
    <t>Philippines</t>
  </si>
  <si>
    <t>Pitcairn Islands</t>
  </si>
  <si>
    <t>Poland</t>
  </si>
  <si>
    <t>Portugal</t>
  </si>
  <si>
    <t>Puerto Rico</t>
  </si>
  <si>
    <t>Qatar</t>
  </si>
  <si>
    <t>Reunion</t>
  </si>
  <si>
    <t>Romania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</si>
  <si>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</si>
  <si>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</si>
  <si>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</si>
  <si>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</si>
  <si>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</si>
  <si>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</si>
  <si>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</si>
  <si>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</si>
  <si>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</si>
  <si>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</si>
  <si>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</si>
  <si>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</si>
  <si>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 and Montenegro</t>
  </si>
  <si>
    <t>Seychelles</t>
  </si>
  <si>
    <t>Sierra Leone</t>
  </si>
  <si>
    <t>Singapore</t>
  </si>
  <si>
    <t>Slovakia</t>
  </si>
  <si>
    <t>Slovenia</t>
  </si>
  <si>
    <t>Solomon Islands</t>
  </si>
  <si>
    <t>Somalia</t>
  </si>
  <si>
    <t>South Africa</t>
  </si>
  <si>
    <t>South Georgia and the South Sandwich Islands</t>
  </si>
  <si>
    <t>Spain</t>
  </si>
  <si>
    <t>Spratly Islands</t>
  </si>
  <si>
    <t>Sri Lanka</t>
  </si>
  <si>
    <t>Sudan</t>
  </si>
  <si>
    <t>Suriname</t>
  </si>
  <si>
    <t>Svalbard</t>
  </si>
  <si>
    <t>Swaziland</t>
  </si>
  <si>
    <t>Sweden</t>
  </si>
  <si>
    <t>Switzerland</t>
  </si>
  <si>
    <t>Syria</t>
  </si>
  <si>
    <t>Taiwan</t>
  </si>
  <si>
    <t>Tajikistan</t>
  </si>
  <si>
    <t>Tanzania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</si>
  <si>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</si>
  <si>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</si>
  <si>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</si>
  <si>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</si>
  <si>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</si>
  <si>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</si>
  <si>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</si>
  <si>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</si>
  <si>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</si>
  <si>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</si>
  <si>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</si>
  <si>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</si>
  <si>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</si>
  <si>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</si>
  <si>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</si>
  <si>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</si>
  <si>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</si>
  <si>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</si>
  <si>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</si>
  <si>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</si>
  <si>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</si>
  <si>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t>
  </si>
  <si>
    <t>Wake Island</t>
  </si>
  <si>
    <t>Wallis and Futuna</t>
  </si>
  <si>
    <t>West Bank</t>
  </si>
  <si>
    <t>Western Sahara</t>
  </si>
  <si>
    <t>Yemen</t>
  </si>
  <si>
    <t>Zambia</t>
  </si>
  <si>
    <t>Zimbabwe</t>
  </si>
  <si>
    <t>Descriptive Statistics</t>
  </si>
  <si>
    <t>MEAN</t>
  </si>
  <si>
    <t>MEDIAN</t>
  </si>
  <si>
    <t>MODE</t>
  </si>
  <si>
    <t>Q1</t>
  </si>
  <si>
    <t>Q3</t>
  </si>
  <si>
    <t>Q2</t>
  </si>
  <si>
    <t>CI</t>
  </si>
  <si>
    <t>MIN</t>
  </si>
  <si>
    <t>MAX</t>
  </si>
  <si>
    <t>VAR</t>
  </si>
  <si>
    <t>SE</t>
  </si>
  <si>
    <t>KURTOSIS</t>
  </si>
  <si>
    <t>SKEWNESS</t>
  </si>
  <si>
    <t>RANGE</t>
  </si>
  <si>
    <t>Varibales</t>
  </si>
  <si>
    <t xml:space="preserve">SUM </t>
  </si>
  <si>
    <t>COUNT</t>
  </si>
  <si>
    <t>STDEV</t>
  </si>
  <si>
    <t>Correlations</t>
  </si>
  <si>
    <t>Covariance</t>
  </si>
  <si>
    <t>Row Labels</t>
  </si>
  <si>
    <t>Grand Total</t>
  </si>
  <si>
    <t>Sum of Current account balance</t>
  </si>
  <si>
    <t>Sum of Debt - external</t>
  </si>
  <si>
    <t>Sum of GDP</t>
  </si>
  <si>
    <t>Sum of GDP - per capita</t>
  </si>
  <si>
    <t>Sum of GDP - real growth rate(%)</t>
  </si>
  <si>
    <t>Sum of Natural gas - consumption(cu m)</t>
  </si>
  <si>
    <t>Sum of Natural gas - exports(cu m)</t>
  </si>
  <si>
    <t>Sum of Natural gas - imports(cu m)</t>
  </si>
  <si>
    <t>Sum of Natural gas - production(cu m)</t>
  </si>
  <si>
    <t>Sum of Natural gas - proved reserves(cu m)</t>
  </si>
  <si>
    <t>Sum of Internet hosts</t>
  </si>
  <si>
    <t>Sum of Internet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</si>
</sst>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8" x14ac:knownFonts="1">
    <font>
      <sz val="11"/>
      <color rgb="FF000000"/>
      <name val="Calibri"/>
    </font>
    <font>
      <sz val="11"/>
      <color rgb="FF000000"/>
      <name val="Calibri"/>
      <family val="2"/>
    </font>
    <font>
      <i/>
      <sz val="11"/>
      <color rgb="FF000000"/>
      <name val="Calibri"/>
      <family val="2"/>
    </font>
    <font>
      <b/>
      <sz val="11"/>
      <color rgb="FF000000"/>
      <name val="Calibri"/>
      <family val="2"/>
    </font>
    <font>
      <b/>
      <i/>
      <sz val="11"/>
      <color rgb="FF000000"/>
      <name val="Calibri"/>
      <family val="2"/>
    </font>
    <font>
      <b/>
      <sz val="20"/>
      <color rgb="FF000000"/>
      <name val="Calibri"/>
      <family val="2"/>
    </font>
    <font>
      <b/>
      <i/>
      <sz val="12"/>
      <color rgb="FF000000"/>
      <name val="Calibri"/>
      <family val="2"/>
    </font>
    <font>
      <b/>
      <sz val="12"/>
      <color rgb="FF000000"/>
      <name val="Calibri"/>
      <family val="2"/>
    </font>
  </fonts>
  <fills count="9">
    <fill>
      <patternFill patternType="none"/>
    </fill>
    <fill>
      <patternFill patternType="gray125"/>
    </fill>
    <fill>
      <patternFill patternType="solid">
        <fgColor theme="8" tint="0.39997558519241921"/>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9" tint="0.59999389629810485"/>
        <bgColor indexed="64"/>
      </patternFill>
    </fill>
  </fills>
  <borders count="12">
    <border>
      <left/>
      <right/>
      <top/>
      <bottom/>
      <diagonal/>
    </border>
    <border>
      <left/>
      <right/>
      <top/>
      <bottom style="medium">
        <color indexed="64"/>
      </bottom>
      <diagonal/>
    </border>
    <border>
      <left/>
      <right/>
      <top style="medium">
        <color indexed="64"/>
      </top>
      <bottom style="thin">
        <color indexed="64"/>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rgb="FF999999"/>
      </top>
      <bottom style="thin">
        <color rgb="FF999999"/>
      </bottom>
      <diagonal/>
    </border>
    <border>
      <left/>
      <right/>
      <top style="thin">
        <color rgb="FF999999"/>
      </top>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
      <left/>
      <right/>
      <top style="thin">
        <color indexed="65"/>
      </top>
      <bottom/>
      <diagonal/>
    </border>
    <border>
      <left/>
      <right/>
      <top style="thin">
        <color rgb="FF999999"/>
      </top>
      <bottom style="thin">
        <color rgb="FF999999"/>
      </bottom>
      <diagonal/>
    </border>
  </borders>
  <cellStyleXfs count="1">
    <xf numFmtId="0" fontId="0" fillId="0" borderId="0"/>
  </cellStyleXfs>
  <cellXfs count="47">
    <xf numFmtId="0" fontId="0" fillId="0" borderId="0" xfId="0"/>
    <xf numFmtId="0" fontId="1" fillId="0" borderId="0" xfId="0" applyFont="1"/>
    <xf numFmtId="0" fontId="2" fillId="0" borderId="0" xfId="0" applyFont="1" applyFill="1" applyBorder="1" applyAlignment="1">
      <alignment horizontal="centerContinuous"/>
    </xf>
    <xf numFmtId="0" fontId="3" fillId="0" borderId="0" xfId="0" applyFont="1"/>
    <xf numFmtId="0" fontId="3" fillId="2" borderId="0" xfId="0" applyFont="1" applyFill="1"/>
    <xf numFmtId="0" fontId="0" fillId="4" borderId="0" xfId="0" applyFill="1"/>
    <xf numFmtId="0" fontId="5" fillId="0" borderId="0" xfId="0" applyFont="1"/>
    <xf numFmtId="0" fontId="4" fillId="5" borderId="2" xfId="0" applyFont="1" applyFill="1" applyBorder="1" applyAlignment="1">
      <alignment horizontal="center"/>
    </xf>
    <xf numFmtId="0" fontId="0" fillId="6" borderId="0" xfId="0" applyFill="1" applyBorder="1" applyAlignment="1"/>
    <xf numFmtId="0" fontId="0" fillId="6" borderId="1" xfId="0" applyFill="1" applyBorder="1" applyAlignment="1"/>
    <xf numFmtId="0" fontId="7" fillId="0" borderId="0" xfId="0" applyFont="1"/>
    <xf numFmtId="0" fontId="7" fillId="5" borderId="0" xfId="0" applyFont="1" applyFill="1" applyBorder="1" applyAlignment="1"/>
    <xf numFmtId="0" fontId="7" fillId="5" borderId="1" xfId="0" applyFont="1" applyFill="1" applyBorder="1" applyAlignment="1"/>
    <xf numFmtId="0" fontId="7" fillId="3" borderId="0" xfId="0" applyFont="1" applyFill="1"/>
    <xf numFmtId="0" fontId="6" fillId="7" borderId="2" xfId="0" applyFont="1" applyFill="1" applyBorder="1" applyAlignment="1">
      <alignment horizontal="center"/>
    </xf>
    <xf numFmtId="0" fontId="7" fillId="7" borderId="0" xfId="0" applyFont="1" applyFill="1" applyBorder="1" applyAlignment="1"/>
    <xf numFmtId="0" fontId="7" fillId="7" borderId="1" xfId="0" applyFont="1" applyFill="1" applyBorder="1" applyAlignment="1"/>
    <xf numFmtId="0" fontId="0" fillId="8" borderId="0" xfId="0" applyFill="1" applyBorder="1" applyAlignment="1"/>
    <xf numFmtId="0" fontId="0" fillId="8" borderId="1" xfId="0" applyFill="1" applyBorder="1" applyAlignment="1"/>
    <xf numFmtId="0" fontId="0" fillId="0" borderId="3" xfId="0" applyBorder="1"/>
    <xf numFmtId="0" fontId="0" fillId="0" borderId="3" xfId="0" pivotButton="1" applyBorder="1"/>
    <xf numFmtId="0" fontId="0" fillId="0" borderId="3" xfId="0" applyBorder="1" applyAlignment="1">
      <alignment horizontal="left"/>
    </xf>
    <xf numFmtId="0" fontId="0" fillId="0" borderId="4" xfId="0" applyBorder="1" applyAlignment="1">
      <alignment horizontal="left"/>
    </xf>
    <xf numFmtId="0" fontId="0" fillId="0" borderId="5" xfId="0" applyBorder="1" applyAlignment="1">
      <alignment horizontal="left"/>
    </xf>
    <xf numFmtId="0" fontId="0" fillId="0" borderId="6" xfId="0" applyBorder="1"/>
    <xf numFmtId="0" fontId="0" fillId="0" borderId="7" xfId="0" applyBorder="1"/>
    <xf numFmtId="0" fontId="0" fillId="0" borderId="3" xfId="0" applyNumberFormat="1" applyBorder="1"/>
    <xf numFmtId="0" fontId="0" fillId="0" borderId="7" xfId="0" applyNumberFormat="1" applyBorder="1"/>
    <xf numFmtId="0" fontId="0" fillId="0" borderId="4" xfId="0" applyNumberFormat="1" applyBorder="1"/>
    <xf numFmtId="0" fontId="0" fillId="0" borderId="8" xfId="0" applyNumberFormat="1" applyBorder="1"/>
    <xf numFmtId="0" fontId="0" fillId="0" borderId="5" xfId="0" applyNumberFormat="1" applyBorder="1"/>
    <xf numFmtId="0" fontId="0" fillId="0" borderId="9" xfId="0" applyNumberFormat="1" applyBorder="1"/>
    <xf numFmtId="0" fontId="0" fillId="0" borderId="6" xfId="0" applyNumberFormat="1" applyBorder="1"/>
    <xf numFmtId="0" fontId="0" fillId="0" borderId="10" xfId="0" applyNumberFormat="1" applyBorder="1"/>
    <xf numFmtId="0" fontId="0" fillId="0" borderId="11" xfId="0" applyNumberFormat="1" applyBorder="1"/>
    <xf numFmtId="164" fontId="0" fillId="0" borderId="3" xfId="0" applyNumberFormat="1" applyBorder="1"/>
    <xf numFmtId="164" fontId="0" fillId="0" borderId="4" xfId="0" applyNumberFormat="1" applyBorder="1"/>
    <xf numFmtId="164" fontId="0" fillId="0" borderId="5" xfId="0" applyNumberFormat="1" applyBorder="1"/>
    <xf numFmtId="164" fontId="0" fillId="0" borderId="6" xfId="0" applyNumberFormat="1" applyBorder="1"/>
    <xf numFmtId="164" fontId="0" fillId="0" borderId="10" xfId="0" applyNumberFormat="1" applyBorder="1"/>
    <xf numFmtId="164" fontId="0" fillId="0" borderId="11" xfId="0" applyNumberFormat="1" applyBorder="1"/>
    <xf numFmtId="164" fontId="0" fillId="0" borderId="7" xfId="0" applyNumberFormat="1" applyBorder="1"/>
    <xf numFmtId="164" fontId="0" fillId="0" borderId="8" xfId="0" applyNumberFormat="1" applyBorder="1"/>
    <xf numFmtId="164" fontId="0" fillId="0" borderId="9" xfId="0" applyNumberFormat="1" applyBorder="1"/>
    <xf numFmtId="1" fontId="0" fillId="0" borderId="3" xfId="0" applyNumberFormat="1" applyBorder="1"/>
    <xf numFmtId="1" fontId="0" fillId="0" borderId="4" xfId="0" applyNumberFormat="1" applyBorder="1"/>
    <xf numFmtId="1" fontId="0" fillId="0" borderId="5" xfId="0" applyNumberFormat="1" applyBorder="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[factbook.xlsx]Analysis and visual 1!PivotTable1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and visual 1'!$B$1</c:f>
              <c:strCache>
                <c:ptCount val="1"/>
                <c:pt idx="0">
                  <c:v>Sum of Current account balance</c:v>
                </c:pt>
              </c:strCache>
            </c:strRef>
          </c:tx>
          <c:spPr>
            <a:solidFill>
              <a:schemeClr val="accent1"/>
            </a:solidFill>
            <a:ln>
              <a:noFill/>
            </a:ln>
            <a:effectLst/>
          </c:spPr>
          <c:invertIfNegative val="0"/>
          <c:cat>
            <c:strRef>
              <c:f>'Analysis and visual 1'!$A$2:$A$265</c:f>
              <c:strCache>
                <c:ptCount val="263"/>
                <c:pt idx="0">
                  <c:v>#European Union</c:v>
                </c:pt>
                <c:pt idx="1">
                  <c:v>Afghanistan</c:v>
                </c:pt>
                <c:pt idx="2">
                  <c:v>Akrotiri</c:v>
                </c:pt>
                <c:pt idx="3">
                  <c:v>Albania</c:v>
                </c:pt>
                <c:pt idx="4">
                  <c:v>Algeria</c:v>
                </c:pt>
                <c:pt idx="5">
                  <c:v>American Samoa</c:v>
                </c:pt>
                <c:pt idx="6">
                  <c:v>Andorra</c:v>
                </c:pt>
                <c:pt idx="7">
                  <c:v>Angola</c:v>
                </c:pt>
                <c:pt idx="8">
                  <c:v>Anguilla</c:v>
                </c:pt>
                <c:pt idx="9">
                  <c:v>Antarctica</c:v>
                </c:pt>
                <c:pt idx="10">
                  <c:v>Antigua and Barbuda</c:v>
                </c:pt>
                <c:pt idx="11">
                  <c:v>Argentina</c:v>
                </c:pt>
                <c:pt idx="12">
                  <c:v>Armenia</c:v>
                </c:pt>
                <c:pt idx="13">
                  <c:v>Aruba</c:v>
                </c:pt>
                <c:pt idx="14">
                  <c:v>Ashmore and Cartier Islands</c:v>
                </c:pt>
                <c:pt idx="15">
                  <c:v>Australia</c:v>
                </c:pt>
                <c:pt idx="16">
                  <c:v>Austria</c:v>
                </c:pt>
                <c:pt idx="17">
                  <c:v>Azerbaijan</c:v>
                </c:pt>
                <c:pt idx="18">
                  <c:v>Bahamas The</c:v>
                </c:pt>
                <c:pt idx="19">
                  <c:v>Bahrain</c:v>
                </c:pt>
                <c:pt idx="20">
                  <c:v>Baker Island</c:v>
                </c:pt>
                <c:pt idx="21">
                  <c:v>Bangladesh</c:v>
                </c:pt>
                <c:pt idx="22">
                  <c:v>Barbados</c:v>
                </c:pt>
                <c:pt idx="23">
                  <c:v>Bassas da India</c:v>
                </c:pt>
                <c:pt idx="24">
                  <c:v>Belarus</c:v>
                </c:pt>
                <c:pt idx="25">
                  <c:v>Belgium</c:v>
                </c:pt>
                <c:pt idx="26">
                  <c:v>Belize</c:v>
                </c:pt>
                <c:pt idx="27">
                  <c:v>Benin</c:v>
                </c:pt>
                <c:pt idx="28">
                  <c:v>Bermuda</c:v>
                </c:pt>
                <c:pt idx="29">
                  <c:v>Bhutan</c:v>
                </c:pt>
                <c:pt idx="30">
                  <c:v>Bolivia</c:v>
                </c:pt>
                <c:pt idx="31">
                  <c:v>Bosnia and Herzegovina</c:v>
                </c:pt>
                <c:pt idx="32">
                  <c:v>Botswana</c:v>
                </c:pt>
                <c:pt idx="33">
                  <c:v>Bouvet Island</c:v>
                </c:pt>
                <c:pt idx="34">
                  <c:v>Brazil</c:v>
                </c:pt>
                <c:pt idx="35">
                  <c:v>British Indian Ocean Territory</c:v>
                </c:pt>
                <c:pt idx="36">
                  <c:v>British Virgin Islands</c:v>
                </c:pt>
                <c:pt idx="37">
                  <c:v>Brunei</c:v>
                </c:pt>
                <c:pt idx="38">
                  <c:v>Bulgaria</c:v>
                </c:pt>
                <c:pt idx="39">
                  <c:v>Burkina Faso</c:v>
                </c:pt>
                <c:pt idx="40">
                  <c:v>Burma</c:v>
                </c:pt>
                <c:pt idx="41">
                  <c:v>Burundi</c:v>
                </c:pt>
                <c:pt idx="42">
                  <c:v>Cambodia</c:v>
                </c:pt>
                <c:pt idx="43">
                  <c:v>Cameroon</c:v>
                </c:pt>
                <c:pt idx="44">
                  <c:v>Canada</c:v>
                </c:pt>
                <c:pt idx="45">
                  <c:v>Cape Verde</c:v>
                </c:pt>
                <c:pt idx="46">
                  <c:v>Cayman Islands</c:v>
                </c:pt>
                <c:pt idx="47">
                  <c:v>Central African Republic</c:v>
                </c:pt>
                <c:pt idx="48">
                  <c:v>Chad</c:v>
                </c:pt>
                <c:pt idx="49">
                  <c:v>Chile</c:v>
                </c:pt>
                <c:pt idx="50">
                  <c:v>China</c:v>
                </c:pt>
                <c:pt idx="51">
                  <c:v>Christmas Island</c:v>
                </c:pt>
                <c:pt idx="52">
                  <c:v>Clipperton Island</c:v>
                </c:pt>
                <c:pt idx="53">
                  <c:v>Cocos (Keeling) Islands</c:v>
                </c:pt>
                <c:pt idx="54">
                  <c:v>Colombia</c:v>
                </c:pt>
                <c:pt idx="55">
                  <c:v>Comoros</c:v>
                </c:pt>
                <c:pt idx="56">
                  <c:v>Congo Democratic Republic of the</c:v>
                </c:pt>
                <c:pt idx="57">
                  <c:v>Congo Republic of the</c:v>
                </c:pt>
                <c:pt idx="58">
                  <c:v>Cook Islands</c:v>
                </c:pt>
                <c:pt idx="59">
                  <c:v>Costa Rica</c:v>
                </c:pt>
                <c:pt idx="60">
                  <c:v>Cote d'Ivoire</c:v>
                </c:pt>
                <c:pt idx="61">
                  <c:v>Croatia</c:v>
                </c:pt>
                <c:pt idx="62">
                  <c:v>Cuba</c:v>
                </c:pt>
                <c:pt idx="63">
                  <c:v>Cyprus</c:v>
                </c:pt>
                <c:pt idx="64">
                  <c:v>Czech Republic</c:v>
                </c:pt>
                <c:pt idx="65">
                  <c:v>Denmark</c:v>
                </c:pt>
                <c:pt idx="66">
                  <c:v>Dhekelia</c:v>
                </c:pt>
                <c:pt idx="67">
                  <c:v>Djibouti</c:v>
                </c:pt>
                <c:pt idx="68">
                  <c:v>Dominica</c:v>
                </c:pt>
                <c:pt idx="69">
                  <c:v>Dominican Republic</c:v>
                </c:pt>
                <c:pt idx="70">
                  <c:v>East Timor</c:v>
                </c:pt>
                <c:pt idx="71">
                  <c:v>Ecuador</c:v>
                </c:pt>
                <c:pt idx="72">
                  <c:v>Egypt</c:v>
                </c:pt>
                <c:pt idx="73">
                  <c:v>El Salvador</c:v>
                </c:pt>
                <c:pt idx="74">
                  <c:v>Equatorial Guinea</c:v>
                </c:pt>
                <c:pt idx="75">
                  <c:v>Eritrea</c:v>
                </c:pt>
                <c:pt idx="76">
                  <c:v>Estonia</c:v>
                </c:pt>
                <c:pt idx="77">
                  <c:v>Ethiopia</c:v>
                </c:pt>
                <c:pt idx="78">
                  <c:v>Europa Island</c:v>
                </c:pt>
                <c:pt idx="79">
                  <c:v>Falkland Islands (Islas Malvinas)</c:v>
                </c:pt>
                <c:pt idx="80">
                  <c:v>Faroe Islands</c:v>
                </c:pt>
                <c:pt idx="81">
                  <c:v>Fiji</c:v>
                </c:pt>
                <c:pt idx="82">
                  <c:v>Finland</c:v>
                </c:pt>
                <c:pt idx="83">
                  <c:v>France</c:v>
                </c:pt>
                <c:pt idx="84">
                  <c:v>French Guiana</c:v>
                </c:pt>
                <c:pt idx="85">
                  <c:v>French Polynesia</c:v>
                </c:pt>
                <c:pt idx="86">
                  <c:v>French Southern and Antarctic Lands</c:v>
                </c:pt>
                <c:pt idx="87">
                  <c:v>Gabon</c:v>
                </c:pt>
                <c:pt idx="88">
                  <c:v>Gambia The</c:v>
                </c:pt>
                <c:pt idx="89">
                  <c:v>Gaza Strip</c:v>
                </c:pt>
                <c:pt idx="90">
                  <c:v>Georgia</c:v>
                </c:pt>
                <c:pt idx="91">
                  <c:v>Germany</c:v>
                </c:pt>
                <c:pt idx="92">
                  <c:v>Ghana</c:v>
                </c:pt>
                <c:pt idx="93">
                  <c:v>Gibraltar</c:v>
                </c:pt>
                <c:pt idx="94">
                  <c:v>Glorioso Islands</c:v>
                </c:pt>
                <c:pt idx="95">
                  <c:v>Greece</c:v>
                </c:pt>
                <c:pt idx="96">
                  <c:v>Greenland</c:v>
                </c:pt>
                <c:pt idx="97">
                  <c:v>Grenada</c:v>
                </c:pt>
                <c:pt idx="98">
                  <c:v>Guadeloupe</c:v>
                </c:pt>
                <c:pt idx="99">
                  <c:v>Guam</c:v>
                </c:pt>
                <c:pt idx="100">
                  <c:v>Guatemala</c:v>
                </c:pt>
                <c:pt idx="101">
                  <c:v>Guernsey</c:v>
                </c:pt>
                <c:pt idx="102">
                  <c:v>Guinea</c:v>
                </c:pt>
                <c:pt idx="103">
                  <c:v>Guinea-Bissau</c:v>
                </c:pt>
                <c:pt idx="104">
                  <c:v>Guyana</c:v>
                </c:pt>
                <c:pt idx="105">
                  <c:v>Haiti</c:v>
                </c:pt>
                <c:pt idx="106">
                  <c:v>Heard Island and McDonald Islands</c:v>
                </c:pt>
                <c:pt idx="107">
                  <c:v>Holy See (Vatican City)</c:v>
                </c:pt>
                <c:pt idx="108">
                  <c:v>Honduras</c:v>
                </c:pt>
                <c:pt idx="109">
                  <c:v>Hong Kong</c:v>
                </c:pt>
                <c:pt idx="110">
                  <c:v>Howland Island</c:v>
                </c:pt>
                <c:pt idx="111">
                  <c:v>Hungary</c:v>
                </c:pt>
                <c:pt idx="112">
                  <c:v>Iceland</c:v>
                </c:pt>
                <c:pt idx="113">
                  <c:v>India</c:v>
                </c:pt>
                <c:pt idx="114">
                  <c:v>Indonesia</c:v>
                </c:pt>
                <c:pt idx="115">
                  <c:v>Iran</c:v>
                </c:pt>
                <c:pt idx="116">
                  <c:v>Iraq</c:v>
                </c:pt>
                <c:pt idx="117">
                  <c:v>Ireland</c:v>
                </c:pt>
                <c:pt idx="118">
                  <c:v>Israel</c:v>
                </c:pt>
                <c:pt idx="119">
                  <c:v>Italy</c:v>
                </c:pt>
                <c:pt idx="120">
                  <c:v>Jamaica</c:v>
                </c:pt>
                <c:pt idx="121">
                  <c:v>Jan Mayen</c:v>
                </c:pt>
                <c:pt idx="122">
                  <c:v>Japan</c:v>
                </c:pt>
                <c:pt idx="123">
                  <c:v>Jarvis Island</c:v>
                </c:pt>
                <c:pt idx="124">
                  <c:v>Jersey</c:v>
                </c:pt>
                <c:pt idx="125">
                  <c:v>Johnston Atoll</c:v>
                </c:pt>
                <c:pt idx="126">
                  <c:v>Jordan</c:v>
                </c:pt>
                <c:pt idx="127">
                  <c:v>Juan de Nova Island</c:v>
                </c:pt>
                <c:pt idx="128">
                  <c:v>Kazakhstan</c:v>
                </c:pt>
                <c:pt idx="129">
                  <c:v>Kenya</c:v>
                </c:pt>
                <c:pt idx="130">
                  <c:v>Kingman Reef</c:v>
                </c:pt>
                <c:pt idx="131">
                  <c:v>Kiribati</c:v>
                </c:pt>
                <c:pt idx="132">
                  <c:v>Korea North</c:v>
                </c:pt>
                <c:pt idx="133">
                  <c:v>Korea South</c:v>
                </c:pt>
                <c:pt idx="134">
                  <c:v>Kuwait</c:v>
                </c:pt>
                <c:pt idx="135">
                  <c:v>Kyrgyzstan</c:v>
                </c:pt>
                <c:pt idx="136">
                  <c:v>Laos</c:v>
                </c:pt>
                <c:pt idx="137">
                  <c:v>Latvia</c:v>
                </c:pt>
                <c:pt idx="138">
                  <c:v>Lebanon</c:v>
                </c:pt>
                <c:pt idx="139">
                  <c:v>Lesotho</c:v>
                </c:pt>
                <c:pt idx="140">
                  <c:v>Liberia</c:v>
                </c:pt>
                <c:pt idx="141">
                  <c:v>Libya</c:v>
                </c:pt>
                <c:pt idx="142">
                  <c:v>Liechtenstein</c:v>
                </c:pt>
                <c:pt idx="143">
                  <c:v>Lithuania</c:v>
                </c:pt>
                <c:pt idx="144">
                  <c:v>Luxembourg</c:v>
                </c:pt>
                <c:pt idx="145">
                  <c:v>Macau</c:v>
                </c:pt>
                <c:pt idx="146">
                  <c:v>Macedonia</c:v>
                </c:pt>
                <c:pt idx="147">
                  <c:v>Madagascar</c:v>
                </c:pt>
                <c:pt idx="148">
                  <c:v>Malawi</c:v>
                </c:pt>
                <c:pt idx="149">
                  <c:v>Malaysia</c:v>
                </c:pt>
                <c:pt idx="150">
                  <c:v>Maldives</c:v>
                </c:pt>
                <c:pt idx="151">
                  <c:v>Mali</c:v>
                </c:pt>
                <c:pt idx="152">
                  <c:v>Malta</c:v>
                </c:pt>
                <c:pt idx="153">
                  <c:v>Man Isle of</c:v>
                </c:pt>
                <c:pt idx="154">
                  <c:v>Marshall Islands</c:v>
                </c:pt>
                <c:pt idx="155">
                  <c:v>Martinique</c:v>
                </c:pt>
                <c:pt idx="156">
                  <c:v>Mauritania</c:v>
                </c:pt>
                <c:pt idx="157">
                  <c:v>Mauritius</c:v>
                </c:pt>
                <c:pt idx="158">
                  <c:v>Mayotte</c:v>
                </c:pt>
                <c:pt idx="159">
                  <c:v>Mexico</c:v>
                </c:pt>
                <c:pt idx="160">
                  <c:v>Micronesia Federated States of</c:v>
                </c:pt>
                <c:pt idx="161">
                  <c:v>Midway Islands</c:v>
                </c:pt>
                <c:pt idx="162">
                  <c:v>Moldova</c:v>
                </c:pt>
                <c:pt idx="163">
                  <c:v>Monaco</c:v>
                </c:pt>
                <c:pt idx="164">
                  <c:v>Mongolia</c:v>
                </c:pt>
                <c:pt idx="165">
                  <c:v>Montserrat</c:v>
                </c:pt>
                <c:pt idx="166">
                  <c:v>Morocco</c:v>
                </c:pt>
                <c:pt idx="167">
                  <c:v>Mozambique</c:v>
                </c:pt>
                <c:pt idx="168">
                  <c:v>Namibia</c:v>
                </c:pt>
                <c:pt idx="169">
                  <c:v>Nauru</c:v>
                </c:pt>
                <c:pt idx="170">
                  <c:v>Navassa Island</c:v>
                </c:pt>
                <c:pt idx="171">
                  <c:v>Nepal</c:v>
                </c:pt>
                <c:pt idx="172">
                  <c:v>Netherlands</c:v>
                </c:pt>
                <c:pt idx="173">
                  <c:v>Netherlands Antilles</c:v>
                </c:pt>
                <c:pt idx="174">
                  <c:v>New Caledonia</c:v>
                </c:pt>
                <c:pt idx="175">
                  <c:v>New Zealand</c:v>
                </c:pt>
                <c:pt idx="176">
                  <c:v>Nicaragua</c:v>
                </c:pt>
                <c:pt idx="177">
                  <c:v>Niger</c:v>
                </c:pt>
                <c:pt idx="178">
                  <c:v>Nigeria</c:v>
                </c:pt>
                <c:pt idx="179">
                  <c:v>Niue</c:v>
                </c:pt>
                <c:pt idx="180">
                  <c:v>Norfolk Island</c:v>
                </c:pt>
                <c:pt idx="181">
                  <c:v>Northern Mariana Islands</c:v>
                </c:pt>
                <c:pt idx="182">
                  <c:v>Norway</c:v>
                </c:pt>
                <c:pt idx="183">
                  <c:v>Oman</c:v>
                </c:pt>
                <c:pt idx="184">
                  <c:v>Pakistan</c:v>
                </c:pt>
                <c:pt idx="185">
                  <c:v>Palau</c:v>
                </c:pt>
                <c:pt idx="186">
                  <c:v>Palmyra Atoll</c:v>
                </c:pt>
                <c:pt idx="187">
                  <c:v>Panama</c:v>
                </c:pt>
                <c:pt idx="188">
                  <c:v>Papua New Guinea</c:v>
                </c:pt>
                <c:pt idx="189">
                  <c:v>Paraguay</c:v>
                </c:pt>
                <c:pt idx="190">
                  <c:v>Peru</c:v>
                </c:pt>
                <c:pt idx="191">
                  <c:v>Philippines</c:v>
                </c:pt>
                <c:pt idx="192">
                  <c:v>Pitcairn Islands</c:v>
                </c:pt>
                <c:pt idx="193">
                  <c:v>Poland</c:v>
                </c:pt>
                <c:pt idx="194">
                  <c:v>Portugal</c:v>
                </c:pt>
                <c:pt idx="195">
                  <c:v>Puerto Rico</c:v>
                </c:pt>
                <c:pt idx="196">
                  <c:v>Qatar</c:v>
                </c:pt>
                <c:pt idx="197">
                  <c:v>Reunion</c:v>
                </c:pt>
                <c:pt idx="198">
                  <c:v>Romania</c:v>
                </c:pt>
                <c:pt idx="199">
                  <c:v>Russia</c:v>
                </c:pt>
                <c:pt idx="200">
                  <c:v>Rwanda</c:v>
                </c:pt>
                <c:pt idx="201">
                  <c:v>Saint Helena</c:v>
                </c:pt>
                <c:pt idx="202">
                  <c:v>Saint Kitts and Nevis</c:v>
                </c:pt>
                <c:pt idx="203">
                  <c:v>Saint Lucia</c:v>
                </c:pt>
                <c:pt idx="204">
                  <c:v>Saint Pierre and Miquelon</c:v>
                </c:pt>
                <c:pt idx="205">
                  <c:v>Saint Vincent and the Grenadines</c:v>
                </c:pt>
                <c:pt idx="206">
                  <c:v>Samoa</c:v>
                </c:pt>
                <c:pt idx="207">
                  <c:v>San Marino</c:v>
                </c:pt>
                <c:pt idx="208">
                  <c:v>Sao Tome and Principe</c:v>
                </c:pt>
                <c:pt idx="209">
                  <c:v>Saudi Arabia</c:v>
                </c:pt>
                <c:pt idx="210">
                  <c:v>Senegal</c:v>
                </c:pt>
                <c:pt idx="211">
                  <c:v>Serbia and Montenegro</c:v>
                </c:pt>
                <c:pt idx="212">
                  <c:v>Seychelles</c:v>
                </c:pt>
                <c:pt idx="213">
                  <c:v>Sierra Leone</c:v>
                </c:pt>
                <c:pt idx="214">
                  <c:v>Singapore</c:v>
                </c:pt>
                <c:pt idx="215">
                  <c:v>Slovakia</c:v>
                </c:pt>
                <c:pt idx="216">
                  <c:v>Slovenia</c:v>
                </c:pt>
                <c:pt idx="217">
                  <c:v>Solomon Islands</c:v>
                </c:pt>
                <c:pt idx="218">
                  <c:v>Somalia</c:v>
                </c:pt>
                <c:pt idx="219">
                  <c:v>South Africa</c:v>
                </c:pt>
                <c:pt idx="220">
                  <c:v>South Georgia and the South Sandwich Islands</c:v>
                </c:pt>
                <c:pt idx="221">
                  <c:v>Spain</c:v>
                </c:pt>
                <c:pt idx="222">
                  <c:v>Spratly Islands</c:v>
                </c:pt>
                <c:pt idx="223">
                  <c:v>Sri Lanka</c:v>
                </c:pt>
                <c:pt idx="224">
                  <c:v>Sudan</c:v>
                </c:pt>
                <c:pt idx="225">
                  <c:v>Suriname</c:v>
                </c:pt>
                <c:pt idx="226">
                  <c:v>Svalbard</c:v>
                </c:pt>
                <c:pt idx="227">
                  <c:v>Swaziland</c:v>
                </c:pt>
                <c:pt idx="228">
                  <c:v>Sweden</c:v>
                </c:pt>
                <c:pt idx="229">
                  <c:v>Switzerland</c:v>
                </c:pt>
                <c:pt idx="230">
                  <c:v>Syria</c:v>
                </c:pt>
                <c:pt idx="231">
                  <c:v>Taiwan</c:v>
                </c:pt>
                <c:pt idx="232">
                  <c:v>Tajikistan</c:v>
                </c:pt>
                <c:pt idx="233">
                  <c:v>Tanzania</c:v>
                </c:pt>
                <c:pt idx="234">
                  <c:v>Thailand</c:v>
                </c:pt>
                <c:pt idx="235">
                  <c:v>Togo</c:v>
                </c:pt>
                <c:pt idx="236">
                  <c:v>Tokelau</c:v>
                </c:pt>
                <c:pt idx="237">
                  <c:v>Tonga</c:v>
                </c:pt>
                <c:pt idx="238">
                  <c:v>Trinidad and Tobago</c:v>
                </c:pt>
                <c:pt idx="239">
                  <c:v>Tromelin Island</c:v>
                </c:pt>
                <c:pt idx="240">
                  <c:v>Tunisia</c:v>
                </c:pt>
                <c:pt idx="241">
                  <c:v>Turkey</c:v>
                </c:pt>
                <c:pt idx="242">
                  <c:v>Turkmenistan</c:v>
                </c:pt>
                <c:pt idx="243">
                  <c:v>Turks and Caicos Islands</c:v>
                </c:pt>
                <c:pt idx="244">
                  <c:v>Tuvalu</c:v>
                </c:pt>
                <c:pt idx="245">
                  <c:v>Uganda</c:v>
                </c:pt>
                <c:pt idx="246">
                  <c:v>Ukraine</c:v>
                </c:pt>
                <c:pt idx="247">
                  <c:v>United Arab Emirates</c:v>
                </c:pt>
                <c:pt idx="248">
                  <c:v>United Kingdom</c:v>
                </c:pt>
                <c:pt idx="249">
                  <c:v>United States</c:v>
                </c:pt>
                <c:pt idx="250">
                  <c:v>Uruguay</c:v>
                </c:pt>
                <c:pt idx="251">
                  <c:v>Uzbekistan</c:v>
                </c:pt>
                <c:pt idx="252">
                  <c:v>Vanuatu</c:v>
                </c:pt>
                <c:pt idx="253">
                  <c:v>Venezuela</c:v>
                </c:pt>
                <c:pt idx="254">
                  <c:v>Vietnam</c:v>
                </c:pt>
                <c:pt idx="255">
                  <c:v>Virgin Islands</c:v>
                </c:pt>
                <c:pt idx="256">
                  <c:v>Wake Island</c:v>
                </c:pt>
                <c:pt idx="257">
                  <c:v>Wallis and Futuna</c:v>
                </c:pt>
                <c:pt idx="258">
                  <c:v>West Bank</c:v>
                </c:pt>
                <c:pt idx="259">
                  <c:v>Western Sahara</c:v>
                </c:pt>
                <c:pt idx="260">
                  <c:v>Yemen</c:v>
                </c:pt>
                <c:pt idx="261">
                  <c:v>Zambia</c:v>
                </c:pt>
                <c:pt idx="262">
                  <c:v>Zimbabwe</c:v>
                </c:pt>
              </c:strCache>
            </c:strRef>
          </c:cat>
          <c:val>
            <c:numRef>
              <c:f>'Analysis and visual 1'!$B$2:$B$265</c:f>
              <c:numCache>
                <c:formatCode>"$"#,##0</c:formatCode>
                <c:ptCount val="263"/>
                <c:pt idx="3">
                  <c:v>-504000000</c:v>
                </c:pt>
                <c:pt idx="4">
                  <c:v>11900000000</c:v>
                </c:pt>
                <c:pt idx="7">
                  <c:v>-37880000</c:v>
                </c:pt>
                <c:pt idx="11">
                  <c:v>5473000000</c:v>
                </c:pt>
                <c:pt idx="12">
                  <c:v>-240400000</c:v>
                </c:pt>
                <c:pt idx="15">
                  <c:v>-38300000000</c:v>
                </c:pt>
                <c:pt idx="16">
                  <c:v>-3283000000</c:v>
                </c:pt>
                <c:pt idx="17">
                  <c:v>-2899000000</c:v>
                </c:pt>
                <c:pt idx="19">
                  <c:v>586100000</c:v>
                </c:pt>
                <c:pt idx="21">
                  <c:v>216600000</c:v>
                </c:pt>
                <c:pt idx="24">
                  <c:v>-1119000000</c:v>
                </c:pt>
                <c:pt idx="25">
                  <c:v>11400000000</c:v>
                </c:pt>
                <c:pt idx="26">
                  <c:v>-115000000</c:v>
                </c:pt>
                <c:pt idx="27">
                  <c:v>-159900000</c:v>
                </c:pt>
                <c:pt idx="30">
                  <c:v>273000000</c:v>
                </c:pt>
                <c:pt idx="31">
                  <c:v>-2100000000</c:v>
                </c:pt>
                <c:pt idx="32">
                  <c:v>337000000</c:v>
                </c:pt>
                <c:pt idx="34">
                  <c:v>8000000000</c:v>
                </c:pt>
                <c:pt idx="38">
                  <c:v>682900000</c:v>
                </c:pt>
                <c:pt idx="39">
                  <c:v>-471700000</c:v>
                </c:pt>
                <c:pt idx="40">
                  <c:v>-185000000</c:v>
                </c:pt>
                <c:pt idx="41">
                  <c:v>-59500000</c:v>
                </c:pt>
                <c:pt idx="42">
                  <c:v>-316200000</c:v>
                </c:pt>
                <c:pt idx="43">
                  <c:v>-149100000</c:v>
                </c:pt>
                <c:pt idx="44">
                  <c:v>28200000000</c:v>
                </c:pt>
                <c:pt idx="45">
                  <c:v>-93760000</c:v>
                </c:pt>
                <c:pt idx="48">
                  <c:v>330200000</c:v>
                </c:pt>
                <c:pt idx="49">
                  <c:v>2185000000</c:v>
                </c:pt>
                <c:pt idx="50">
                  <c:v>30320000000</c:v>
                </c:pt>
                <c:pt idx="54">
                  <c:v>-1706000000</c:v>
                </c:pt>
                <c:pt idx="57">
                  <c:v>266000000</c:v>
                </c:pt>
                <c:pt idx="59">
                  <c:v>-980300000</c:v>
                </c:pt>
                <c:pt idx="60">
                  <c:v>-421500000</c:v>
                </c:pt>
                <c:pt idx="61">
                  <c:v>-1925000000</c:v>
                </c:pt>
                <c:pt idx="62">
                  <c:v>-185100000</c:v>
                </c:pt>
                <c:pt idx="63">
                  <c:v>-619900000</c:v>
                </c:pt>
                <c:pt idx="64">
                  <c:v>-5730000000</c:v>
                </c:pt>
                <c:pt idx="65">
                  <c:v>6529000000</c:v>
                </c:pt>
                <c:pt idx="69">
                  <c:v>762200000</c:v>
                </c:pt>
                <c:pt idx="71">
                  <c:v>261100000</c:v>
                </c:pt>
                <c:pt idx="72">
                  <c:v>2113000000</c:v>
                </c:pt>
                <c:pt idx="73">
                  <c:v>-880500000</c:v>
                </c:pt>
                <c:pt idx="74">
                  <c:v>-578600000</c:v>
                </c:pt>
                <c:pt idx="75">
                  <c:v>-144900000</c:v>
                </c:pt>
                <c:pt idx="76">
                  <c:v>-1169000000</c:v>
                </c:pt>
                <c:pt idx="77">
                  <c:v>-464400000</c:v>
                </c:pt>
                <c:pt idx="82">
                  <c:v>11390000000</c:v>
                </c:pt>
                <c:pt idx="83">
                  <c:v>-305000000</c:v>
                </c:pt>
                <c:pt idx="87">
                  <c:v>196800000</c:v>
                </c:pt>
                <c:pt idx="88">
                  <c:v>-16400000</c:v>
                </c:pt>
                <c:pt idx="90">
                  <c:v>-632900000</c:v>
                </c:pt>
                <c:pt idx="91">
                  <c:v>73590000000</c:v>
                </c:pt>
                <c:pt idx="92">
                  <c:v>83870000</c:v>
                </c:pt>
                <c:pt idx="95">
                  <c:v>-8000000000</c:v>
                </c:pt>
                <c:pt idx="100">
                  <c:v>-1381000000</c:v>
                </c:pt>
                <c:pt idx="102">
                  <c:v>-308300000</c:v>
                </c:pt>
                <c:pt idx="104">
                  <c:v>-129400000</c:v>
                </c:pt>
                <c:pt idx="105">
                  <c:v>-27630000</c:v>
                </c:pt>
                <c:pt idx="108">
                  <c:v>258300000</c:v>
                </c:pt>
                <c:pt idx="109">
                  <c:v>14850000000</c:v>
                </c:pt>
                <c:pt idx="111">
                  <c:v>-7941000000</c:v>
                </c:pt>
                <c:pt idx="112">
                  <c:v>-570000000</c:v>
                </c:pt>
                <c:pt idx="113">
                  <c:v>4897000000</c:v>
                </c:pt>
                <c:pt idx="114">
                  <c:v>7338000000</c:v>
                </c:pt>
                <c:pt idx="115">
                  <c:v>2100000000</c:v>
                </c:pt>
                <c:pt idx="116">
                  <c:v>-560000000</c:v>
                </c:pt>
                <c:pt idx="117">
                  <c:v>-2881000000</c:v>
                </c:pt>
                <c:pt idx="118">
                  <c:v>211900000</c:v>
                </c:pt>
                <c:pt idx="119">
                  <c:v>-21100000000</c:v>
                </c:pt>
                <c:pt idx="120">
                  <c:v>-830700000</c:v>
                </c:pt>
                <c:pt idx="122">
                  <c:v>170200000000</c:v>
                </c:pt>
                <c:pt idx="126">
                  <c:v>203200000</c:v>
                </c:pt>
                <c:pt idx="128">
                  <c:v>-39020000</c:v>
                </c:pt>
                <c:pt idx="129">
                  <c:v>-459200000</c:v>
                </c:pt>
                <c:pt idx="133">
                  <c:v>26780000000</c:v>
                </c:pt>
                <c:pt idx="134">
                  <c:v>12040000000</c:v>
                </c:pt>
                <c:pt idx="135">
                  <c:v>-87920000</c:v>
                </c:pt>
                <c:pt idx="136">
                  <c:v>-80760000</c:v>
                </c:pt>
                <c:pt idx="137">
                  <c:v>-1251000000</c:v>
                </c:pt>
                <c:pt idx="138">
                  <c:v>-2389000000</c:v>
                </c:pt>
                <c:pt idx="139">
                  <c:v>-108300000</c:v>
                </c:pt>
                <c:pt idx="141">
                  <c:v>9895000000</c:v>
                </c:pt>
                <c:pt idx="143">
                  <c:v>-1600000000</c:v>
                </c:pt>
                <c:pt idx="146">
                  <c:v>-311000000</c:v>
                </c:pt>
                <c:pt idx="147">
                  <c:v>-281900000</c:v>
                </c:pt>
                <c:pt idx="148">
                  <c:v>-55500000</c:v>
                </c:pt>
                <c:pt idx="149">
                  <c:v>11810000000</c:v>
                </c:pt>
                <c:pt idx="152">
                  <c:v>-241000000</c:v>
                </c:pt>
                <c:pt idx="157">
                  <c:v>284100000</c:v>
                </c:pt>
                <c:pt idx="159">
                  <c:v>-4113000000</c:v>
                </c:pt>
                <c:pt idx="162">
                  <c:v>-148400000</c:v>
                </c:pt>
                <c:pt idx="166">
                  <c:v>765400000</c:v>
                </c:pt>
                <c:pt idx="167">
                  <c:v>-101200000</c:v>
                </c:pt>
                <c:pt idx="168">
                  <c:v>234300000</c:v>
                </c:pt>
                <c:pt idx="172">
                  <c:v>19900000000</c:v>
                </c:pt>
                <c:pt idx="175">
                  <c:v>-3647000000</c:v>
                </c:pt>
                <c:pt idx="176">
                  <c:v>-843100000</c:v>
                </c:pt>
                <c:pt idx="178">
                  <c:v>5228000000</c:v>
                </c:pt>
                <c:pt idx="182">
                  <c:v>30520000000</c:v>
                </c:pt>
                <c:pt idx="183">
                  <c:v>2674000000</c:v>
                </c:pt>
                <c:pt idx="184">
                  <c:v>1400000000</c:v>
                </c:pt>
                <c:pt idx="187">
                  <c:v>-469600000</c:v>
                </c:pt>
                <c:pt idx="188">
                  <c:v>29150000</c:v>
                </c:pt>
                <c:pt idx="189">
                  <c:v>-36110000</c:v>
                </c:pt>
                <c:pt idx="190">
                  <c:v>-30000000</c:v>
                </c:pt>
                <c:pt idx="191">
                  <c:v>3600000000</c:v>
                </c:pt>
                <c:pt idx="193">
                  <c:v>-3831000000</c:v>
                </c:pt>
                <c:pt idx="194">
                  <c:v>-8120000000</c:v>
                </c:pt>
                <c:pt idx="196">
                  <c:v>5187000000</c:v>
                </c:pt>
                <c:pt idx="198">
                  <c:v>-3631000000</c:v>
                </c:pt>
                <c:pt idx="199">
                  <c:v>46040000000</c:v>
                </c:pt>
                <c:pt idx="200">
                  <c:v>-212500000</c:v>
                </c:pt>
                <c:pt idx="208">
                  <c:v>-31500000</c:v>
                </c:pt>
                <c:pt idx="209">
                  <c:v>51500000000</c:v>
                </c:pt>
                <c:pt idx="210">
                  <c:v>-518800000</c:v>
                </c:pt>
                <c:pt idx="211">
                  <c:v>-3008000000</c:v>
                </c:pt>
                <c:pt idx="212">
                  <c:v>-98420000</c:v>
                </c:pt>
                <c:pt idx="214">
                  <c:v>8800000000</c:v>
                </c:pt>
                <c:pt idx="215">
                  <c:v>-1400000000</c:v>
                </c:pt>
                <c:pt idx="216">
                  <c:v>-51640000</c:v>
                </c:pt>
                <c:pt idx="219">
                  <c:v>-2480000000</c:v>
                </c:pt>
                <c:pt idx="221">
                  <c:v>-30890000000</c:v>
                </c:pt>
                <c:pt idx="223">
                  <c:v>-587300000</c:v>
                </c:pt>
                <c:pt idx="224">
                  <c:v>-763600000</c:v>
                </c:pt>
                <c:pt idx="227">
                  <c:v>-82400000</c:v>
                </c:pt>
                <c:pt idx="228">
                  <c:v>24080000000</c:v>
                </c:pt>
                <c:pt idx="229">
                  <c:v>40950000000</c:v>
                </c:pt>
                <c:pt idx="230">
                  <c:v>1100000000</c:v>
                </c:pt>
                <c:pt idx="231">
                  <c:v>21160000000</c:v>
                </c:pt>
                <c:pt idx="232">
                  <c:v>-52000000</c:v>
                </c:pt>
                <c:pt idx="233">
                  <c:v>-327400000</c:v>
                </c:pt>
                <c:pt idx="234">
                  <c:v>6736000000</c:v>
                </c:pt>
                <c:pt idx="235">
                  <c:v>-125600000</c:v>
                </c:pt>
                <c:pt idx="238">
                  <c:v>1548000000</c:v>
                </c:pt>
                <c:pt idx="240">
                  <c:v>71850000</c:v>
                </c:pt>
                <c:pt idx="241">
                  <c:v>-15300000000</c:v>
                </c:pt>
                <c:pt idx="242">
                  <c:v>114000000</c:v>
                </c:pt>
                <c:pt idx="245">
                  <c:v>-590800000</c:v>
                </c:pt>
                <c:pt idx="246">
                  <c:v>4584000000</c:v>
                </c:pt>
                <c:pt idx="247">
                  <c:v>6300000000</c:v>
                </c:pt>
                <c:pt idx="248">
                  <c:v>-33460000000</c:v>
                </c:pt>
                <c:pt idx="249">
                  <c:v>-646500000000</c:v>
                </c:pt>
                <c:pt idx="250">
                  <c:v>181800000</c:v>
                </c:pt>
                <c:pt idx="251">
                  <c:v>461900000</c:v>
                </c:pt>
                <c:pt idx="253">
                  <c:v>14590000000</c:v>
                </c:pt>
                <c:pt idx="254">
                  <c:v>-2061000000</c:v>
                </c:pt>
                <c:pt idx="260">
                  <c:v>369900000</c:v>
                </c:pt>
                <c:pt idx="261">
                  <c:v>-181400000</c:v>
                </c:pt>
                <c:pt idx="262">
                  <c:v>-230300000</c:v>
                </c:pt>
              </c:numCache>
            </c:numRef>
          </c:val>
          <c:extLst>
            <c:ext xmlns:c16="http://schemas.microsoft.com/office/drawing/2014/chart" uri="{C3380CC4-5D6E-409C-BE32-E72D297353CC}">
              <c16:uniqueId val="{00000000-75FB-4F29-B85B-2A3A8BF45399}"/>
            </c:ext>
          </c:extLst>
        </c:ser>
        <c:ser>
          <c:idx val="1"/>
          <c:order val="1"/>
          <c:tx>
            <c:strRef>
              <c:f>'Analysis and visual 1'!$C$1</c:f>
              <c:strCache>
                <c:ptCount val="1"/>
                <c:pt idx="0">
                  <c:v>Sum of Debt - external</c:v>
                </c:pt>
              </c:strCache>
            </c:strRef>
          </c:tx>
          <c:spPr>
            <a:solidFill>
              <a:schemeClr val="accent2"/>
            </a:solidFill>
            <a:ln>
              <a:noFill/>
            </a:ln>
            <a:effectLst/>
          </c:spPr>
          <c:invertIfNegative val="0"/>
          <c:cat>
            <c:strRef>
              <c:f>'Analysis and visual 1'!$A$2:$A$265</c:f>
              <c:strCache>
                <c:ptCount val="263"/>
                <c:pt idx="0">
                  <c:v>#European Union</c:v>
                </c:pt>
                <c:pt idx="1">
                  <c:v>Afghanistan</c:v>
                </c:pt>
                <c:pt idx="2">
                  <c:v>Akrotiri</c:v>
                </c:pt>
                <c:pt idx="3">
                  <c:v>Albania</c:v>
                </c:pt>
                <c:pt idx="4">
                  <c:v>Algeria</c:v>
                </c:pt>
                <c:pt idx="5">
                  <c:v>American Samoa</c:v>
                </c:pt>
                <c:pt idx="6">
                  <c:v>Andorra</c:v>
                </c:pt>
                <c:pt idx="7">
                  <c:v>Angola</c:v>
                </c:pt>
                <c:pt idx="8">
                  <c:v>Anguilla</c:v>
                </c:pt>
                <c:pt idx="9">
                  <c:v>Antarctica</c:v>
                </c:pt>
                <c:pt idx="10">
                  <c:v>Antigua and Barbuda</c:v>
                </c:pt>
                <c:pt idx="11">
                  <c:v>Argentina</c:v>
                </c:pt>
                <c:pt idx="12">
                  <c:v>Armenia</c:v>
                </c:pt>
                <c:pt idx="13">
                  <c:v>Aruba</c:v>
                </c:pt>
                <c:pt idx="14">
                  <c:v>Ashmore and Cartier Islands</c:v>
                </c:pt>
                <c:pt idx="15">
                  <c:v>Australia</c:v>
                </c:pt>
                <c:pt idx="16">
                  <c:v>Austria</c:v>
                </c:pt>
                <c:pt idx="17">
                  <c:v>Azerbaijan</c:v>
                </c:pt>
                <c:pt idx="18">
                  <c:v>Bahamas The</c:v>
                </c:pt>
                <c:pt idx="19">
                  <c:v>Bahrain</c:v>
                </c:pt>
                <c:pt idx="20">
                  <c:v>Baker Island</c:v>
                </c:pt>
                <c:pt idx="21">
                  <c:v>Bangladesh</c:v>
                </c:pt>
                <c:pt idx="22">
                  <c:v>Barbados</c:v>
                </c:pt>
                <c:pt idx="23">
                  <c:v>Bassas da India</c:v>
                </c:pt>
                <c:pt idx="24">
                  <c:v>Belarus</c:v>
                </c:pt>
                <c:pt idx="25">
                  <c:v>Belgium</c:v>
                </c:pt>
                <c:pt idx="26">
                  <c:v>Belize</c:v>
                </c:pt>
                <c:pt idx="27">
                  <c:v>Benin</c:v>
                </c:pt>
                <c:pt idx="28">
                  <c:v>Bermuda</c:v>
                </c:pt>
                <c:pt idx="29">
                  <c:v>Bhutan</c:v>
                </c:pt>
                <c:pt idx="30">
                  <c:v>Bolivia</c:v>
                </c:pt>
                <c:pt idx="31">
                  <c:v>Bosnia and Herzegovina</c:v>
                </c:pt>
                <c:pt idx="32">
                  <c:v>Botswana</c:v>
                </c:pt>
                <c:pt idx="33">
                  <c:v>Bouvet Island</c:v>
                </c:pt>
                <c:pt idx="34">
                  <c:v>Brazil</c:v>
                </c:pt>
                <c:pt idx="35">
                  <c:v>British Indian Ocean Territory</c:v>
                </c:pt>
                <c:pt idx="36">
                  <c:v>British Virgin Islands</c:v>
                </c:pt>
                <c:pt idx="37">
                  <c:v>Brunei</c:v>
                </c:pt>
                <c:pt idx="38">
                  <c:v>Bulgaria</c:v>
                </c:pt>
                <c:pt idx="39">
                  <c:v>Burkina Faso</c:v>
                </c:pt>
                <c:pt idx="40">
                  <c:v>Burma</c:v>
                </c:pt>
                <c:pt idx="41">
                  <c:v>Burundi</c:v>
                </c:pt>
                <c:pt idx="42">
                  <c:v>Cambodia</c:v>
                </c:pt>
                <c:pt idx="43">
                  <c:v>Cameroon</c:v>
                </c:pt>
                <c:pt idx="44">
                  <c:v>Canada</c:v>
                </c:pt>
                <c:pt idx="45">
                  <c:v>Cape Verde</c:v>
                </c:pt>
                <c:pt idx="46">
                  <c:v>Cayman Islands</c:v>
                </c:pt>
                <c:pt idx="47">
                  <c:v>Central African Republic</c:v>
                </c:pt>
                <c:pt idx="48">
                  <c:v>Chad</c:v>
                </c:pt>
                <c:pt idx="49">
                  <c:v>Chile</c:v>
                </c:pt>
                <c:pt idx="50">
                  <c:v>China</c:v>
                </c:pt>
                <c:pt idx="51">
                  <c:v>Christmas Island</c:v>
                </c:pt>
                <c:pt idx="52">
                  <c:v>Clipperton Island</c:v>
                </c:pt>
                <c:pt idx="53">
                  <c:v>Cocos (Keeling) Islands</c:v>
                </c:pt>
                <c:pt idx="54">
                  <c:v>Colombia</c:v>
                </c:pt>
                <c:pt idx="55">
                  <c:v>Comoros</c:v>
                </c:pt>
                <c:pt idx="56">
                  <c:v>Congo Democratic Republic of the</c:v>
                </c:pt>
                <c:pt idx="57">
                  <c:v>Congo Republic of the</c:v>
                </c:pt>
                <c:pt idx="58">
                  <c:v>Cook Islands</c:v>
                </c:pt>
                <c:pt idx="59">
                  <c:v>Costa Rica</c:v>
                </c:pt>
                <c:pt idx="60">
                  <c:v>Cote d'Ivoire</c:v>
                </c:pt>
                <c:pt idx="61">
                  <c:v>Croatia</c:v>
                </c:pt>
                <c:pt idx="62">
                  <c:v>Cuba</c:v>
                </c:pt>
                <c:pt idx="63">
                  <c:v>Cyprus</c:v>
                </c:pt>
                <c:pt idx="64">
                  <c:v>Czech Republic</c:v>
                </c:pt>
                <c:pt idx="65">
                  <c:v>Denmark</c:v>
                </c:pt>
                <c:pt idx="66">
                  <c:v>Dhekelia</c:v>
                </c:pt>
                <c:pt idx="67">
                  <c:v>Djibouti</c:v>
                </c:pt>
                <c:pt idx="68">
                  <c:v>Dominica</c:v>
                </c:pt>
                <c:pt idx="69">
                  <c:v>Dominican Republic</c:v>
                </c:pt>
                <c:pt idx="70">
                  <c:v>East Timor</c:v>
                </c:pt>
                <c:pt idx="71">
                  <c:v>Ecuador</c:v>
                </c:pt>
                <c:pt idx="72">
                  <c:v>Egypt</c:v>
                </c:pt>
                <c:pt idx="73">
                  <c:v>El Salvador</c:v>
                </c:pt>
                <c:pt idx="74">
                  <c:v>Equatorial Guinea</c:v>
                </c:pt>
                <c:pt idx="75">
                  <c:v>Eritrea</c:v>
                </c:pt>
                <c:pt idx="76">
                  <c:v>Estonia</c:v>
                </c:pt>
                <c:pt idx="77">
                  <c:v>Ethiopia</c:v>
                </c:pt>
                <c:pt idx="78">
                  <c:v>Europa Island</c:v>
                </c:pt>
                <c:pt idx="79">
                  <c:v>Falkland Islands (Islas Malvinas)</c:v>
                </c:pt>
                <c:pt idx="80">
                  <c:v>Faroe Islands</c:v>
                </c:pt>
                <c:pt idx="81">
                  <c:v>Fiji</c:v>
                </c:pt>
                <c:pt idx="82">
                  <c:v>Finland</c:v>
                </c:pt>
                <c:pt idx="83">
                  <c:v>France</c:v>
                </c:pt>
                <c:pt idx="84">
                  <c:v>French Guiana</c:v>
                </c:pt>
                <c:pt idx="85">
                  <c:v>French Polynesia</c:v>
                </c:pt>
                <c:pt idx="86">
                  <c:v>French Southern and Antarctic Lands</c:v>
                </c:pt>
                <c:pt idx="87">
                  <c:v>Gabon</c:v>
                </c:pt>
                <c:pt idx="88">
                  <c:v>Gambia The</c:v>
                </c:pt>
                <c:pt idx="89">
                  <c:v>Gaza Strip</c:v>
                </c:pt>
                <c:pt idx="90">
                  <c:v>Georgia</c:v>
                </c:pt>
                <c:pt idx="91">
                  <c:v>Germany</c:v>
                </c:pt>
                <c:pt idx="92">
                  <c:v>Ghana</c:v>
                </c:pt>
                <c:pt idx="93">
                  <c:v>Gibraltar</c:v>
                </c:pt>
                <c:pt idx="94">
                  <c:v>Glorioso Islands</c:v>
                </c:pt>
                <c:pt idx="95">
                  <c:v>Greece</c:v>
                </c:pt>
                <c:pt idx="96">
                  <c:v>Greenland</c:v>
                </c:pt>
                <c:pt idx="97">
                  <c:v>Grenada</c:v>
                </c:pt>
                <c:pt idx="98">
                  <c:v>Guadeloupe</c:v>
                </c:pt>
                <c:pt idx="99">
                  <c:v>Guam</c:v>
                </c:pt>
                <c:pt idx="100">
                  <c:v>Guatemala</c:v>
                </c:pt>
                <c:pt idx="101">
                  <c:v>Guernsey</c:v>
                </c:pt>
                <c:pt idx="102">
                  <c:v>Guinea</c:v>
                </c:pt>
                <c:pt idx="103">
                  <c:v>Guinea-Bissau</c:v>
                </c:pt>
                <c:pt idx="104">
                  <c:v>Guyana</c:v>
                </c:pt>
                <c:pt idx="105">
                  <c:v>Haiti</c:v>
                </c:pt>
                <c:pt idx="106">
                  <c:v>Heard Island and McDonald Islands</c:v>
                </c:pt>
                <c:pt idx="107">
                  <c:v>Holy See (Vatican City)</c:v>
                </c:pt>
                <c:pt idx="108">
                  <c:v>Honduras</c:v>
                </c:pt>
                <c:pt idx="109">
                  <c:v>Hong Kong</c:v>
                </c:pt>
                <c:pt idx="110">
                  <c:v>Howland Island</c:v>
                </c:pt>
                <c:pt idx="111">
                  <c:v>Hungary</c:v>
                </c:pt>
                <c:pt idx="112">
                  <c:v>Iceland</c:v>
                </c:pt>
                <c:pt idx="113">
                  <c:v>India</c:v>
                </c:pt>
                <c:pt idx="114">
                  <c:v>Indonesia</c:v>
                </c:pt>
                <c:pt idx="115">
                  <c:v>Iran</c:v>
                </c:pt>
                <c:pt idx="116">
                  <c:v>Iraq</c:v>
                </c:pt>
                <c:pt idx="117">
                  <c:v>Ireland</c:v>
                </c:pt>
                <c:pt idx="118">
                  <c:v>Israel</c:v>
                </c:pt>
                <c:pt idx="119">
                  <c:v>Italy</c:v>
                </c:pt>
                <c:pt idx="120">
                  <c:v>Jamaica</c:v>
                </c:pt>
                <c:pt idx="121">
                  <c:v>Jan Mayen</c:v>
                </c:pt>
                <c:pt idx="122">
                  <c:v>Japan</c:v>
                </c:pt>
                <c:pt idx="123">
                  <c:v>Jarvis Island</c:v>
                </c:pt>
                <c:pt idx="124">
                  <c:v>Jersey</c:v>
                </c:pt>
                <c:pt idx="125">
                  <c:v>Johnston Atoll</c:v>
                </c:pt>
                <c:pt idx="126">
                  <c:v>Jordan</c:v>
                </c:pt>
                <c:pt idx="127">
                  <c:v>Juan de Nova Island</c:v>
                </c:pt>
                <c:pt idx="128">
                  <c:v>Kazakhstan</c:v>
                </c:pt>
                <c:pt idx="129">
                  <c:v>Kenya</c:v>
                </c:pt>
                <c:pt idx="130">
                  <c:v>Kingman Reef</c:v>
                </c:pt>
                <c:pt idx="131">
                  <c:v>Kiribati</c:v>
                </c:pt>
                <c:pt idx="132">
                  <c:v>Korea North</c:v>
                </c:pt>
                <c:pt idx="133">
                  <c:v>Korea South</c:v>
                </c:pt>
                <c:pt idx="134">
                  <c:v>Kuwait</c:v>
                </c:pt>
                <c:pt idx="135">
                  <c:v>Kyrgyzstan</c:v>
                </c:pt>
                <c:pt idx="136">
                  <c:v>Laos</c:v>
                </c:pt>
                <c:pt idx="137">
                  <c:v>Latvia</c:v>
                </c:pt>
                <c:pt idx="138">
                  <c:v>Lebanon</c:v>
                </c:pt>
                <c:pt idx="139">
                  <c:v>Lesotho</c:v>
                </c:pt>
                <c:pt idx="140">
                  <c:v>Liberia</c:v>
                </c:pt>
                <c:pt idx="141">
                  <c:v>Libya</c:v>
                </c:pt>
                <c:pt idx="142">
                  <c:v>Liechtenstein</c:v>
                </c:pt>
                <c:pt idx="143">
                  <c:v>Lithuania</c:v>
                </c:pt>
                <c:pt idx="144">
                  <c:v>Luxembourg</c:v>
                </c:pt>
                <c:pt idx="145">
                  <c:v>Macau</c:v>
                </c:pt>
                <c:pt idx="146">
                  <c:v>Macedonia</c:v>
                </c:pt>
                <c:pt idx="147">
                  <c:v>Madagascar</c:v>
                </c:pt>
                <c:pt idx="148">
                  <c:v>Malawi</c:v>
                </c:pt>
                <c:pt idx="149">
                  <c:v>Malaysia</c:v>
                </c:pt>
                <c:pt idx="150">
                  <c:v>Maldives</c:v>
                </c:pt>
                <c:pt idx="151">
                  <c:v>Mali</c:v>
                </c:pt>
                <c:pt idx="152">
                  <c:v>Malta</c:v>
                </c:pt>
                <c:pt idx="153">
                  <c:v>Man Isle of</c:v>
                </c:pt>
                <c:pt idx="154">
                  <c:v>Marshall Islands</c:v>
                </c:pt>
                <c:pt idx="155">
                  <c:v>Martinique</c:v>
                </c:pt>
                <c:pt idx="156">
                  <c:v>Mauritania</c:v>
                </c:pt>
                <c:pt idx="157">
                  <c:v>Mauritius</c:v>
                </c:pt>
                <c:pt idx="158">
                  <c:v>Mayotte</c:v>
                </c:pt>
                <c:pt idx="159">
                  <c:v>Mexico</c:v>
                </c:pt>
                <c:pt idx="160">
                  <c:v>Micronesia Federated States of</c:v>
                </c:pt>
                <c:pt idx="161">
                  <c:v>Midway Islands</c:v>
                </c:pt>
                <c:pt idx="162">
                  <c:v>Moldova</c:v>
                </c:pt>
                <c:pt idx="163">
                  <c:v>Monaco</c:v>
                </c:pt>
                <c:pt idx="164">
                  <c:v>Mongolia</c:v>
                </c:pt>
                <c:pt idx="165">
                  <c:v>Montserrat</c:v>
                </c:pt>
                <c:pt idx="166">
                  <c:v>Morocco</c:v>
                </c:pt>
                <c:pt idx="167">
                  <c:v>Mozambique</c:v>
                </c:pt>
                <c:pt idx="168">
                  <c:v>Namibia</c:v>
                </c:pt>
                <c:pt idx="169">
                  <c:v>Nauru</c:v>
                </c:pt>
                <c:pt idx="170">
                  <c:v>Navassa Island</c:v>
                </c:pt>
                <c:pt idx="171">
                  <c:v>Nepal</c:v>
                </c:pt>
                <c:pt idx="172">
                  <c:v>Netherlands</c:v>
                </c:pt>
                <c:pt idx="173">
                  <c:v>Netherlands Antilles</c:v>
                </c:pt>
                <c:pt idx="174">
                  <c:v>New Caledonia</c:v>
                </c:pt>
                <c:pt idx="175">
                  <c:v>New Zealand</c:v>
                </c:pt>
                <c:pt idx="176">
                  <c:v>Nicaragua</c:v>
                </c:pt>
                <c:pt idx="177">
                  <c:v>Niger</c:v>
                </c:pt>
                <c:pt idx="178">
                  <c:v>Nigeria</c:v>
                </c:pt>
                <c:pt idx="179">
                  <c:v>Niue</c:v>
                </c:pt>
                <c:pt idx="180">
                  <c:v>Norfolk Island</c:v>
                </c:pt>
                <c:pt idx="181">
                  <c:v>Northern Mariana Islands</c:v>
                </c:pt>
                <c:pt idx="182">
                  <c:v>Norway</c:v>
                </c:pt>
                <c:pt idx="183">
                  <c:v>Oman</c:v>
                </c:pt>
                <c:pt idx="184">
                  <c:v>Pakistan</c:v>
                </c:pt>
                <c:pt idx="185">
                  <c:v>Palau</c:v>
                </c:pt>
                <c:pt idx="186">
                  <c:v>Palmyra Atoll</c:v>
                </c:pt>
                <c:pt idx="187">
                  <c:v>Panama</c:v>
                </c:pt>
                <c:pt idx="188">
                  <c:v>Papua New Guinea</c:v>
                </c:pt>
                <c:pt idx="189">
                  <c:v>Paraguay</c:v>
                </c:pt>
                <c:pt idx="190">
                  <c:v>Peru</c:v>
                </c:pt>
                <c:pt idx="191">
                  <c:v>Philippines</c:v>
                </c:pt>
                <c:pt idx="192">
                  <c:v>Pitcairn Islands</c:v>
                </c:pt>
                <c:pt idx="193">
                  <c:v>Poland</c:v>
                </c:pt>
                <c:pt idx="194">
                  <c:v>Portugal</c:v>
                </c:pt>
                <c:pt idx="195">
                  <c:v>Puerto Rico</c:v>
                </c:pt>
                <c:pt idx="196">
                  <c:v>Qatar</c:v>
                </c:pt>
                <c:pt idx="197">
                  <c:v>Reunion</c:v>
                </c:pt>
                <c:pt idx="198">
                  <c:v>Romania</c:v>
                </c:pt>
                <c:pt idx="199">
                  <c:v>Russia</c:v>
                </c:pt>
                <c:pt idx="200">
                  <c:v>Rwanda</c:v>
                </c:pt>
                <c:pt idx="201">
                  <c:v>Saint Helena</c:v>
                </c:pt>
                <c:pt idx="202">
                  <c:v>Saint Kitts and Nevis</c:v>
                </c:pt>
                <c:pt idx="203">
                  <c:v>Saint Lucia</c:v>
                </c:pt>
                <c:pt idx="204">
                  <c:v>Saint Pierre and Miquelon</c:v>
                </c:pt>
                <c:pt idx="205">
                  <c:v>Saint Vincent and the Grenadines</c:v>
                </c:pt>
                <c:pt idx="206">
                  <c:v>Samoa</c:v>
                </c:pt>
                <c:pt idx="207">
                  <c:v>San Marino</c:v>
                </c:pt>
                <c:pt idx="208">
                  <c:v>Sao Tome and Principe</c:v>
                </c:pt>
                <c:pt idx="209">
                  <c:v>Saudi Arabia</c:v>
                </c:pt>
                <c:pt idx="210">
                  <c:v>Senegal</c:v>
                </c:pt>
                <c:pt idx="211">
                  <c:v>Serbia and Montenegro</c:v>
                </c:pt>
                <c:pt idx="212">
                  <c:v>Seychelles</c:v>
                </c:pt>
                <c:pt idx="213">
                  <c:v>Sierra Leone</c:v>
                </c:pt>
                <c:pt idx="214">
                  <c:v>Singapore</c:v>
                </c:pt>
                <c:pt idx="215">
                  <c:v>Slovakia</c:v>
                </c:pt>
                <c:pt idx="216">
                  <c:v>Slovenia</c:v>
                </c:pt>
                <c:pt idx="217">
                  <c:v>Solomon Islands</c:v>
                </c:pt>
                <c:pt idx="218">
                  <c:v>Somalia</c:v>
                </c:pt>
                <c:pt idx="219">
                  <c:v>South Africa</c:v>
                </c:pt>
                <c:pt idx="220">
                  <c:v>South Georgia and the South Sandwich Islands</c:v>
                </c:pt>
                <c:pt idx="221">
                  <c:v>Spain</c:v>
                </c:pt>
                <c:pt idx="222">
                  <c:v>Spratly Islands</c:v>
                </c:pt>
                <c:pt idx="223">
                  <c:v>Sri Lanka</c:v>
                </c:pt>
                <c:pt idx="224">
                  <c:v>Sudan</c:v>
                </c:pt>
                <c:pt idx="225">
                  <c:v>Suriname</c:v>
                </c:pt>
                <c:pt idx="226">
                  <c:v>Svalbard</c:v>
                </c:pt>
                <c:pt idx="227">
                  <c:v>Swaziland</c:v>
                </c:pt>
                <c:pt idx="228">
                  <c:v>Sweden</c:v>
                </c:pt>
                <c:pt idx="229">
                  <c:v>Switzerland</c:v>
                </c:pt>
                <c:pt idx="230">
                  <c:v>Syria</c:v>
                </c:pt>
                <c:pt idx="231">
                  <c:v>Taiwan</c:v>
                </c:pt>
                <c:pt idx="232">
                  <c:v>Tajikistan</c:v>
                </c:pt>
                <c:pt idx="233">
                  <c:v>Tanzania</c:v>
                </c:pt>
                <c:pt idx="234">
                  <c:v>Thailand</c:v>
                </c:pt>
                <c:pt idx="235">
                  <c:v>Togo</c:v>
                </c:pt>
                <c:pt idx="236">
                  <c:v>Tokelau</c:v>
                </c:pt>
                <c:pt idx="237">
                  <c:v>Tonga</c:v>
                </c:pt>
                <c:pt idx="238">
                  <c:v>Trinidad and Tobago</c:v>
                </c:pt>
                <c:pt idx="239">
                  <c:v>Tromelin Island</c:v>
                </c:pt>
                <c:pt idx="240">
                  <c:v>Tunisia</c:v>
                </c:pt>
                <c:pt idx="241">
                  <c:v>Turkey</c:v>
                </c:pt>
                <c:pt idx="242">
                  <c:v>Turkmenistan</c:v>
                </c:pt>
                <c:pt idx="243">
                  <c:v>Turks and Caicos Islands</c:v>
                </c:pt>
                <c:pt idx="244">
                  <c:v>Tuvalu</c:v>
                </c:pt>
                <c:pt idx="245">
                  <c:v>Uganda</c:v>
                </c:pt>
                <c:pt idx="246">
                  <c:v>Ukraine</c:v>
                </c:pt>
                <c:pt idx="247">
                  <c:v>United Arab Emirates</c:v>
                </c:pt>
                <c:pt idx="248">
                  <c:v>United Kingdom</c:v>
                </c:pt>
                <c:pt idx="249">
                  <c:v>United States</c:v>
                </c:pt>
                <c:pt idx="250">
                  <c:v>Uruguay</c:v>
                </c:pt>
                <c:pt idx="251">
                  <c:v>Uzbekistan</c:v>
                </c:pt>
                <c:pt idx="252">
                  <c:v>Vanuatu</c:v>
                </c:pt>
                <c:pt idx="253">
                  <c:v>Venezuela</c:v>
                </c:pt>
                <c:pt idx="254">
                  <c:v>Vietnam</c:v>
                </c:pt>
                <c:pt idx="255">
                  <c:v>Virgin Islands</c:v>
                </c:pt>
                <c:pt idx="256">
                  <c:v>Wake Island</c:v>
                </c:pt>
                <c:pt idx="257">
                  <c:v>Wallis and Futuna</c:v>
                </c:pt>
                <c:pt idx="258">
                  <c:v>West Bank</c:v>
                </c:pt>
                <c:pt idx="259">
                  <c:v>Western Sahara</c:v>
                </c:pt>
                <c:pt idx="260">
                  <c:v>Yemen</c:v>
                </c:pt>
                <c:pt idx="261">
                  <c:v>Zambia</c:v>
                </c:pt>
                <c:pt idx="262">
                  <c:v>Zimbabwe</c:v>
                </c:pt>
              </c:strCache>
            </c:strRef>
          </c:cat>
          <c:val>
            <c:numRef>
              <c:f>'Analysis and visual 1'!$C$2:$C$265</c:f>
              <c:numCache>
                <c:formatCode>General</c:formatCode>
                <c:ptCount val="263"/>
                <c:pt idx="1">
                  <c:v>8000000000</c:v>
                </c:pt>
                <c:pt idx="3">
                  <c:v>1410000000</c:v>
                </c:pt>
                <c:pt idx="4">
                  <c:v>21900000000</c:v>
                </c:pt>
                <c:pt idx="7">
                  <c:v>10450000000</c:v>
                </c:pt>
                <c:pt idx="8">
                  <c:v>8800000</c:v>
                </c:pt>
                <c:pt idx="10">
                  <c:v>231000000</c:v>
                </c:pt>
                <c:pt idx="11">
                  <c:v>157700000000</c:v>
                </c:pt>
                <c:pt idx="12">
                  <c:v>905000000</c:v>
                </c:pt>
                <c:pt idx="13">
                  <c:v>285000000</c:v>
                </c:pt>
                <c:pt idx="15">
                  <c:v>308700000000</c:v>
                </c:pt>
                <c:pt idx="16">
                  <c:v>15500000000</c:v>
                </c:pt>
                <c:pt idx="17">
                  <c:v>1832000000</c:v>
                </c:pt>
                <c:pt idx="18">
                  <c:v>308500000</c:v>
                </c:pt>
                <c:pt idx="19">
                  <c:v>6215000000</c:v>
                </c:pt>
                <c:pt idx="21">
                  <c:v>19970000000</c:v>
                </c:pt>
                <c:pt idx="22">
                  <c:v>668000000</c:v>
                </c:pt>
                <c:pt idx="24">
                  <c:v>600000000</c:v>
                </c:pt>
                <c:pt idx="25">
                  <c:v>28300000000</c:v>
                </c:pt>
                <c:pt idx="26">
                  <c:v>1362000000</c:v>
                </c:pt>
                <c:pt idx="27">
                  <c:v>1600000000</c:v>
                </c:pt>
                <c:pt idx="28">
                  <c:v>160000000</c:v>
                </c:pt>
                <c:pt idx="29">
                  <c:v>245000000</c:v>
                </c:pt>
                <c:pt idx="30">
                  <c:v>5439000000</c:v>
                </c:pt>
                <c:pt idx="31">
                  <c:v>3000000000</c:v>
                </c:pt>
                <c:pt idx="32">
                  <c:v>531000000</c:v>
                </c:pt>
                <c:pt idx="34">
                  <c:v>219800000000</c:v>
                </c:pt>
                <c:pt idx="36">
                  <c:v>36100000</c:v>
                </c:pt>
                <c:pt idx="37">
                  <c:v>0</c:v>
                </c:pt>
                <c:pt idx="38">
                  <c:v>16100000000</c:v>
                </c:pt>
                <c:pt idx="39">
                  <c:v>1300000000</c:v>
                </c:pt>
                <c:pt idx="40">
                  <c:v>6752000000</c:v>
                </c:pt>
                <c:pt idx="41">
                  <c:v>1133000000</c:v>
                </c:pt>
                <c:pt idx="42">
                  <c:v>2400000000</c:v>
                </c:pt>
                <c:pt idx="43">
                  <c:v>8460000000</c:v>
                </c:pt>
                <c:pt idx="44">
                  <c:v>570000000000</c:v>
                </c:pt>
                <c:pt idx="45">
                  <c:v>325000000</c:v>
                </c:pt>
                <c:pt idx="46">
                  <c:v>70000000</c:v>
                </c:pt>
                <c:pt idx="47">
                  <c:v>881400000</c:v>
                </c:pt>
                <c:pt idx="48">
                  <c:v>1100000000</c:v>
                </c:pt>
                <c:pt idx="49">
                  <c:v>44600000000</c:v>
                </c:pt>
                <c:pt idx="50">
                  <c:v>233300000000</c:v>
                </c:pt>
                <c:pt idx="54">
                  <c:v>38700000000</c:v>
                </c:pt>
                <c:pt idx="55">
                  <c:v>232000000</c:v>
                </c:pt>
                <c:pt idx="56">
                  <c:v>11600000000</c:v>
                </c:pt>
                <c:pt idx="57">
                  <c:v>5000000000</c:v>
                </c:pt>
                <c:pt idx="58">
                  <c:v>141000000</c:v>
                </c:pt>
                <c:pt idx="59">
                  <c:v>5962000000</c:v>
                </c:pt>
                <c:pt idx="60">
                  <c:v>11810000000</c:v>
                </c:pt>
                <c:pt idx="61">
                  <c:v>26400000000</c:v>
                </c:pt>
                <c:pt idx="62">
                  <c:v>12090000000</c:v>
                </c:pt>
                <c:pt idx="63">
                  <c:v>7327000000</c:v>
                </c:pt>
                <c:pt idx="64">
                  <c:v>36280000000</c:v>
                </c:pt>
                <c:pt idx="65">
                  <c:v>21700000000</c:v>
                </c:pt>
                <c:pt idx="67">
                  <c:v>366000000</c:v>
                </c:pt>
                <c:pt idx="68">
                  <c:v>161500000</c:v>
                </c:pt>
                <c:pt idx="69">
                  <c:v>7745000000</c:v>
                </c:pt>
                <c:pt idx="71">
                  <c:v>16810000000</c:v>
                </c:pt>
                <c:pt idx="72">
                  <c:v>33750000000</c:v>
                </c:pt>
                <c:pt idx="73">
                  <c:v>4792000000</c:v>
                </c:pt>
                <c:pt idx="74">
                  <c:v>248000000</c:v>
                </c:pt>
                <c:pt idx="75">
                  <c:v>311000000</c:v>
                </c:pt>
                <c:pt idx="76">
                  <c:v>8373000000</c:v>
                </c:pt>
                <c:pt idx="77">
                  <c:v>2900000000</c:v>
                </c:pt>
                <c:pt idx="80">
                  <c:v>64000000</c:v>
                </c:pt>
                <c:pt idx="81">
                  <c:v>188100000</c:v>
                </c:pt>
                <c:pt idx="82">
                  <c:v>30000000000</c:v>
                </c:pt>
                <c:pt idx="84">
                  <c:v>1200000000</c:v>
                </c:pt>
                <c:pt idx="87">
                  <c:v>3804000000</c:v>
                </c:pt>
                <c:pt idx="88">
                  <c:v>476000000</c:v>
                </c:pt>
                <c:pt idx="89">
                  <c:v>108000000</c:v>
                </c:pt>
                <c:pt idx="90">
                  <c:v>1800000000</c:v>
                </c:pt>
                <c:pt idx="92">
                  <c:v>7396000000</c:v>
                </c:pt>
                <c:pt idx="95">
                  <c:v>67230000000</c:v>
                </c:pt>
                <c:pt idx="96">
                  <c:v>25000000</c:v>
                </c:pt>
                <c:pt idx="97">
                  <c:v>196000000</c:v>
                </c:pt>
                <c:pt idx="100">
                  <c:v>5969000000</c:v>
                </c:pt>
                <c:pt idx="102">
                  <c:v>3250000000</c:v>
                </c:pt>
                <c:pt idx="103">
                  <c:v>941500000</c:v>
                </c:pt>
                <c:pt idx="104">
                  <c:v>1200000000</c:v>
                </c:pt>
                <c:pt idx="105">
                  <c:v>1200000000</c:v>
                </c:pt>
                <c:pt idx="108">
                  <c:v>5365000000</c:v>
                </c:pt>
                <c:pt idx="109">
                  <c:v>417600000000</c:v>
                </c:pt>
                <c:pt idx="111">
                  <c:v>57000000000</c:v>
                </c:pt>
                <c:pt idx="112">
                  <c:v>3073000000</c:v>
                </c:pt>
                <c:pt idx="113">
                  <c:v>117200000000</c:v>
                </c:pt>
                <c:pt idx="114">
                  <c:v>141500000000</c:v>
                </c:pt>
                <c:pt idx="115">
                  <c:v>13400000000</c:v>
                </c:pt>
                <c:pt idx="116">
                  <c:v>125000000000</c:v>
                </c:pt>
                <c:pt idx="117">
                  <c:v>11000000000</c:v>
                </c:pt>
                <c:pt idx="118">
                  <c:v>74460000000</c:v>
                </c:pt>
                <c:pt idx="119">
                  <c:v>913900000000</c:v>
                </c:pt>
                <c:pt idx="120">
                  <c:v>5964000000</c:v>
                </c:pt>
                <c:pt idx="126">
                  <c:v>7320000000</c:v>
                </c:pt>
                <c:pt idx="128">
                  <c:v>26030000000</c:v>
                </c:pt>
                <c:pt idx="129">
                  <c:v>6792000000</c:v>
                </c:pt>
                <c:pt idx="131">
                  <c:v>10000000</c:v>
                </c:pt>
                <c:pt idx="132">
                  <c:v>12000000000</c:v>
                </c:pt>
                <c:pt idx="133">
                  <c:v>160000000000</c:v>
                </c:pt>
                <c:pt idx="134">
                  <c:v>15020000000</c:v>
                </c:pt>
                <c:pt idx="135">
                  <c:v>1970000000</c:v>
                </c:pt>
                <c:pt idx="136">
                  <c:v>2490000000</c:v>
                </c:pt>
                <c:pt idx="137">
                  <c:v>7368000000</c:v>
                </c:pt>
                <c:pt idx="138">
                  <c:v>15840000000</c:v>
                </c:pt>
                <c:pt idx="139">
                  <c:v>735000000</c:v>
                </c:pt>
                <c:pt idx="140">
                  <c:v>2100000000</c:v>
                </c:pt>
                <c:pt idx="141">
                  <c:v>4069000000</c:v>
                </c:pt>
                <c:pt idx="142">
                  <c:v>0</c:v>
                </c:pt>
                <c:pt idx="143">
                  <c:v>10010000000</c:v>
                </c:pt>
                <c:pt idx="145">
                  <c:v>2700000000</c:v>
                </c:pt>
                <c:pt idx="146">
                  <c:v>1863000000</c:v>
                </c:pt>
                <c:pt idx="147">
                  <c:v>4600000000</c:v>
                </c:pt>
                <c:pt idx="148">
                  <c:v>3129000000</c:v>
                </c:pt>
                <c:pt idx="149">
                  <c:v>53360000000</c:v>
                </c:pt>
                <c:pt idx="150">
                  <c:v>281000000</c:v>
                </c:pt>
                <c:pt idx="151">
                  <c:v>3300000000</c:v>
                </c:pt>
                <c:pt idx="152">
                  <c:v>130000000</c:v>
                </c:pt>
                <c:pt idx="154">
                  <c:v>86500000</c:v>
                </c:pt>
                <c:pt idx="155">
                  <c:v>180000000</c:v>
                </c:pt>
                <c:pt idx="156">
                  <c:v>2500000000</c:v>
                </c:pt>
                <c:pt idx="157">
                  <c:v>1780000000</c:v>
                </c:pt>
                <c:pt idx="159">
                  <c:v>149900000000</c:v>
                </c:pt>
                <c:pt idx="160">
                  <c:v>53100000</c:v>
                </c:pt>
                <c:pt idx="162">
                  <c:v>1400000000</c:v>
                </c:pt>
                <c:pt idx="163">
                  <c:v>18000000000</c:v>
                </c:pt>
                <c:pt idx="164">
                  <c:v>1191000000</c:v>
                </c:pt>
                <c:pt idx="165">
                  <c:v>8900000</c:v>
                </c:pt>
                <c:pt idx="166">
                  <c:v>17070000000</c:v>
                </c:pt>
                <c:pt idx="167">
                  <c:v>966000000</c:v>
                </c:pt>
                <c:pt idx="168">
                  <c:v>1136000000</c:v>
                </c:pt>
                <c:pt idx="169">
                  <c:v>33300000</c:v>
                </c:pt>
                <c:pt idx="171">
                  <c:v>2700000000</c:v>
                </c:pt>
                <c:pt idx="173">
                  <c:v>1350000000</c:v>
                </c:pt>
                <c:pt idx="174">
                  <c:v>79000000</c:v>
                </c:pt>
                <c:pt idx="175">
                  <c:v>47340000000</c:v>
                </c:pt>
                <c:pt idx="176">
                  <c:v>4573000000</c:v>
                </c:pt>
                <c:pt idx="177">
                  <c:v>1600000000</c:v>
                </c:pt>
                <c:pt idx="178">
                  <c:v>30550000000</c:v>
                </c:pt>
                <c:pt idx="179">
                  <c:v>418000</c:v>
                </c:pt>
                <c:pt idx="182">
                  <c:v>0</c:v>
                </c:pt>
                <c:pt idx="183">
                  <c:v>4814000000</c:v>
                </c:pt>
                <c:pt idx="184">
                  <c:v>33970000000</c:v>
                </c:pt>
                <c:pt idx="185">
                  <c:v>0</c:v>
                </c:pt>
                <c:pt idx="187">
                  <c:v>8780000000</c:v>
                </c:pt>
                <c:pt idx="188">
                  <c:v>2463000000</c:v>
                </c:pt>
                <c:pt idx="189">
                  <c:v>3239000000</c:v>
                </c:pt>
                <c:pt idx="190">
                  <c:v>29790000000</c:v>
                </c:pt>
                <c:pt idx="191">
                  <c:v>55600000000</c:v>
                </c:pt>
                <c:pt idx="193">
                  <c:v>99150000000</c:v>
                </c:pt>
                <c:pt idx="194">
                  <c:v>274700000000</c:v>
                </c:pt>
                <c:pt idx="196">
                  <c:v>18620000000</c:v>
                </c:pt>
                <c:pt idx="198">
                  <c:v>24590000000</c:v>
                </c:pt>
                <c:pt idx="199">
                  <c:v>169600000000</c:v>
                </c:pt>
                <c:pt idx="200">
                  <c:v>1300000000</c:v>
                </c:pt>
                <c:pt idx="202">
                  <c:v>171000000</c:v>
                </c:pt>
                <c:pt idx="203">
                  <c:v>214000000</c:v>
                </c:pt>
                <c:pt idx="205">
                  <c:v>167200000</c:v>
                </c:pt>
                <c:pt idx="206">
                  <c:v>197000000</c:v>
                </c:pt>
                <c:pt idx="208">
                  <c:v>318000000</c:v>
                </c:pt>
                <c:pt idx="209">
                  <c:v>34350000000</c:v>
                </c:pt>
                <c:pt idx="210">
                  <c:v>3476000000</c:v>
                </c:pt>
                <c:pt idx="211">
                  <c:v>12970000000</c:v>
                </c:pt>
                <c:pt idx="212">
                  <c:v>218100000</c:v>
                </c:pt>
                <c:pt idx="213">
                  <c:v>1500000000</c:v>
                </c:pt>
                <c:pt idx="214">
                  <c:v>19400000000</c:v>
                </c:pt>
                <c:pt idx="215">
                  <c:v>19540000000</c:v>
                </c:pt>
                <c:pt idx="216">
                  <c:v>14650000000</c:v>
                </c:pt>
                <c:pt idx="217">
                  <c:v>180400000</c:v>
                </c:pt>
                <c:pt idx="218">
                  <c:v>3000000000</c:v>
                </c:pt>
                <c:pt idx="219">
                  <c:v>27010000000</c:v>
                </c:pt>
                <c:pt idx="221">
                  <c:v>771100000000</c:v>
                </c:pt>
                <c:pt idx="223">
                  <c:v>10850000000</c:v>
                </c:pt>
                <c:pt idx="224">
                  <c:v>21000000000</c:v>
                </c:pt>
                <c:pt idx="225">
                  <c:v>321000000</c:v>
                </c:pt>
                <c:pt idx="227">
                  <c:v>320000000</c:v>
                </c:pt>
                <c:pt idx="228">
                  <c:v>66500000000</c:v>
                </c:pt>
                <c:pt idx="230">
                  <c:v>4000000000</c:v>
                </c:pt>
                <c:pt idx="231">
                  <c:v>55500000000</c:v>
                </c:pt>
                <c:pt idx="232">
                  <c:v>888000000</c:v>
                </c:pt>
                <c:pt idx="233">
                  <c:v>7321000000</c:v>
                </c:pt>
                <c:pt idx="234">
                  <c:v>50590000000</c:v>
                </c:pt>
                <c:pt idx="235">
                  <c:v>1400000000</c:v>
                </c:pt>
                <c:pt idx="236">
                  <c:v>0</c:v>
                </c:pt>
                <c:pt idx="237">
                  <c:v>63400000</c:v>
                </c:pt>
                <c:pt idx="238">
                  <c:v>2940000000</c:v>
                </c:pt>
                <c:pt idx="240">
                  <c:v>14710000000</c:v>
                </c:pt>
                <c:pt idx="241">
                  <c:v>16900000000</c:v>
                </c:pt>
                <c:pt idx="242">
                  <c:v>2400000000</c:v>
                </c:pt>
                <c:pt idx="245">
                  <c:v>3865000000</c:v>
                </c:pt>
                <c:pt idx="246">
                  <c:v>16370000000</c:v>
                </c:pt>
                <c:pt idx="247">
                  <c:v>5900000000</c:v>
                </c:pt>
                <c:pt idx="248">
                  <c:v>4710000000000</c:v>
                </c:pt>
                <c:pt idx="249">
                  <c:v>1400000000000</c:v>
                </c:pt>
                <c:pt idx="250">
                  <c:v>12800000000</c:v>
                </c:pt>
                <c:pt idx="251">
                  <c:v>4351000000</c:v>
                </c:pt>
                <c:pt idx="252">
                  <c:v>83700000</c:v>
                </c:pt>
                <c:pt idx="253">
                  <c:v>33290000000</c:v>
                </c:pt>
                <c:pt idx="254">
                  <c:v>16550000000</c:v>
                </c:pt>
                <c:pt idx="258">
                  <c:v>108000000</c:v>
                </c:pt>
                <c:pt idx="260">
                  <c:v>5400000000</c:v>
                </c:pt>
                <c:pt idx="261">
                  <c:v>5353000000</c:v>
                </c:pt>
                <c:pt idx="262">
                  <c:v>4086000000</c:v>
                </c:pt>
              </c:numCache>
            </c:numRef>
          </c:val>
          <c:extLst>
            <c:ext xmlns:c16="http://schemas.microsoft.com/office/drawing/2014/chart" uri="{C3380CC4-5D6E-409C-BE32-E72D297353CC}">
              <c16:uniqueId val="{00000001-75FB-4F29-B85B-2A3A8BF45399}"/>
            </c:ext>
          </c:extLst>
        </c:ser>
        <c:dLbls>
          <c:showLegendKey val="0"/>
          <c:showVal val="0"/>
          <c:showCatName val="0"/>
          <c:showSerName val="0"/>
          <c:showPercent val="0"/>
          <c:showBubbleSize val="0"/>
        </c:dLbls>
        <c:gapWidth val="219"/>
        <c:overlap val="-27"/>
        <c:axId val="640430208"/>
        <c:axId val="640430536"/>
      </c:barChart>
      <c:catAx>
        <c:axId val="64043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430536"/>
        <c:crosses val="autoZero"/>
        <c:auto val="1"/>
        <c:lblAlgn val="ctr"/>
        <c:lblOffset val="100"/>
        <c:noMultiLvlLbl val="0"/>
      </c:catAx>
      <c:valAx>
        <c:axId val="6404305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43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[factbook.xlsx]Analysis and visual 2!PivotTable2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rgbClr val="00B0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rgbClr val="00B0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rgbClr val="00B0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and visual 2'!$B$1</c:f>
              <c:strCache>
                <c:ptCount val="1"/>
                <c:pt idx="0">
                  <c:v>Sum of GDP - real growth rate(%)</c:v>
                </c:pt>
              </c:strCache>
            </c:strRef>
          </c:tx>
          <c:spPr>
            <a:solidFill>
              <a:schemeClr val="accent1"/>
            </a:solidFill>
            <a:ln>
              <a:noFill/>
            </a:ln>
            <a:effectLst/>
          </c:spPr>
          <c:invertIfNegative val="0"/>
          <c:cat>
            <c:strRef>
              <c:f>'Analysis and visual 2'!$A$2:$A$265</c:f>
              <c:strCache>
                <c:ptCount val="263"/>
                <c:pt idx="0">
                  <c:v>#European Union</c:v>
                </c:pt>
                <c:pt idx="1">
                  <c:v>Afghanistan</c:v>
                </c:pt>
                <c:pt idx="2">
                  <c:v>Akrotiri</c:v>
                </c:pt>
                <c:pt idx="3">
                  <c:v>Albania</c:v>
                </c:pt>
                <c:pt idx="4">
                  <c:v>Algeria</c:v>
                </c:pt>
                <c:pt idx="5">
                  <c:v>American Samoa</c:v>
                </c:pt>
                <c:pt idx="6">
                  <c:v>Andorra</c:v>
                </c:pt>
                <c:pt idx="7">
                  <c:v>Angola</c:v>
                </c:pt>
                <c:pt idx="8">
                  <c:v>Anguilla</c:v>
                </c:pt>
                <c:pt idx="9">
                  <c:v>Antarctica</c:v>
                </c:pt>
                <c:pt idx="10">
                  <c:v>Antigua and Barbuda</c:v>
                </c:pt>
                <c:pt idx="11">
                  <c:v>Argentina</c:v>
                </c:pt>
                <c:pt idx="12">
                  <c:v>Armenia</c:v>
                </c:pt>
                <c:pt idx="13">
                  <c:v>Aruba</c:v>
                </c:pt>
                <c:pt idx="14">
                  <c:v>Ashmore and Cartier Islands</c:v>
                </c:pt>
                <c:pt idx="15">
                  <c:v>Australia</c:v>
                </c:pt>
                <c:pt idx="16">
                  <c:v>Austria</c:v>
                </c:pt>
                <c:pt idx="17">
                  <c:v>Azerbaijan</c:v>
                </c:pt>
                <c:pt idx="18">
                  <c:v>Bahamas The</c:v>
                </c:pt>
                <c:pt idx="19">
                  <c:v>Bahrain</c:v>
                </c:pt>
                <c:pt idx="20">
                  <c:v>Baker Island</c:v>
                </c:pt>
                <c:pt idx="21">
                  <c:v>Bangladesh</c:v>
                </c:pt>
                <c:pt idx="22">
                  <c:v>Barbados</c:v>
                </c:pt>
                <c:pt idx="23">
                  <c:v>Bassas da India</c:v>
                </c:pt>
                <c:pt idx="24">
                  <c:v>Belarus</c:v>
                </c:pt>
                <c:pt idx="25">
                  <c:v>Belgium</c:v>
                </c:pt>
                <c:pt idx="26">
                  <c:v>Belize</c:v>
                </c:pt>
                <c:pt idx="27">
                  <c:v>Benin</c:v>
                </c:pt>
                <c:pt idx="28">
                  <c:v>Bermuda</c:v>
                </c:pt>
                <c:pt idx="29">
                  <c:v>Bhutan</c:v>
                </c:pt>
                <c:pt idx="30">
                  <c:v>Bolivia</c:v>
                </c:pt>
                <c:pt idx="31">
                  <c:v>Bosnia and Herzegovina</c:v>
                </c:pt>
                <c:pt idx="32">
                  <c:v>Botswana</c:v>
                </c:pt>
                <c:pt idx="33">
                  <c:v>Bouvet Island</c:v>
                </c:pt>
                <c:pt idx="34">
                  <c:v>Brazil</c:v>
                </c:pt>
                <c:pt idx="35">
                  <c:v>British Indian Ocean Territory</c:v>
                </c:pt>
                <c:pt idx="36">
                  <c:v>British Virgin Islands</c:v>
                </c:pt>
                <c:pt idx="37">
                  <c:v>Brunei</c:v>
                </c:pt>
                <c:pt idx="38">
                  <c:v>Bulgaria</c:v>
                </c:pt>
                <c:pt idx="39">
                  <c:v>Burkina Faso</c:v>
                </c:pt>
                <c:pt idx="40">
                  <c:v>Burma</c:v>
                </c:pt>
                <c:pt idx="41">
                  <c:v>Burundi</c:v>
                </c:pt>
                <c:pt idx="42">
                  <c:v>Cambodia</c:v>
                </c:pt>
                <c:pt idx="43">
                  <c:v>Cameroon</c:v>
                </c:pt>
                <c:pt idx="44">
                  <c:v>Canada</c:v>
                </c:pt>
                <c:pt idx="45">
                  <c:v>Cape Verde</c:v>
                </c:pt>
                <c:pt idx="46">
                  <c:v>Cayman Islands</c:v>
                </c:pt>
                <c:pt idx="47">
                  <c:v>Central African Republic</c:v>
                </c:pt>
                <c:pt idx="48">
                  <c:v>Chad</c:v>
                </c:pt>
                <c:pt idx="49">
                  <c:v>Chile</c:v>
                </c:pt>
                <c:pt idx="50">
                  <c:v>China</c:v>
                </c:pt>
                <c:pt idx="51">
                  <c:v>Christmas Island</c:v>
                </c:pt>
                <c:pt idx="52">
                  <c:v>Clipperton Island</c:v>
                </c:pt>
                <c:pt idx="53">
                  <c:v>Cocos (Keeling) Islands</c:v>
                </c:pt>
                <c:pt idx="54">
                  <c:v>Colombia</c:v>
                </c:pt>
                <c:pt idx="55">
                  <c:v>Comoros</c:v>
                </c:pt>
                <c:pt idx="56">
                  <c:v>Congo Democratic Republic of the</c:v>
                </c:pt>
                <c:pt idx="57">
                  <c:v>Congo Republic of the</c:v>
                </c:pt>
                <c:pt idx="58">
                  <c:v>Cook Islands</c:v>
                </c:pt>
                <c:pt idx="59">
                  <c:v>Costa Rica</c:v>
                </c:pt>
                <c:pt idx="60">
                  <c:v>Cote d'Ivoire</c:v>
                </c:pt>
                <c:pt idx="61">
                  <c:v>Croatia</c:v>
                </c:pt>
                <c:pt idx="62">
                  <c:v>Cuba</c:v>
                </c:pt>
                <c:pt idx="63">
                  <c:v>Cyprus</c:v>
                </c:pt>
                <c:pt idx="64">
                  <c:v>Czech Republic</c:v>
                </c:pt>
                <c:pt idx="65">
                  <c:v>Denmark</c:v>
                </c:pt>
                <c:pt idx="66">
                  <c:v>Dhekelia</c:v>
                </c:pt>
                <c:pt idx="67">
                  <c:v>Djibouti</c:v>
                </c:pt>
                <c:pt idx="68">
                  <c:v>Dominica</c:v>
                </c:pt>
                <c:pt idx="69">
                  <c:v>Dominican Republic</c:v>
                </c:pt>
                <c:pt idx="70">
                  <c:v>East Timor</c:v>
                </c:pt>
                <c:pt idx="71">
                  <c:v>Ecuador</c:v>
                </c:pt>
                <c:pt idx="72">
                  <c:v>Egypt</c:v>
                </c:pt>
                <c:pt idx="73">
                  <c:v>El Salvador</c:v>
                </c:pt>
                <c:pt idx="74">
                  <c:v>Equatorial Guinea</c:v>
                </c:pt>
                <c:pt idx="75">
                  <c:v>Eritrea</c:v>
                </c:pt>
                <c:pt idx="76">
                  <c:v>Estonia</c:v>
                </c:pt>
                <c:pt idx="77">
                  <c:v>Ethiopia</c:v>
                </c:pt>
                <c:pt idx="78">
                  <c:v>Europa Island</c:v>
                </c:pt>
                <c:pt idx="79">
                  <c:v>Falkland Islands (Islas Malvinas)</c:v>
                </c:pt>
                <c:pt idx="80">
                  <c:v>Faroe Islands</c:v>
                </c:pt>
                <c:pt idx="81">
                  <c:v>Fiji</c:v>
                </c:pt>
                <c:pt idx="82">
                  <c:v>Finland</c:v>
                </c:pt>
                <c:pt idx="83">
                  <c:v>France</c:v>
                </c:pt>
                <c:pt idx="84">
                  <c:v>French Guiana</c:v>
                </c:pt>
                <c:pt idx="85">
                  <c:v>French Polynesia</c:v>
                </c:pt>
                <c:pt idx="86">
                  <c:v>French Southern and Antarctic Lands</c:v>
                </c:pt>
                <c:pt idx="87">
                  <c:v>Gabon</c:v>
                </c:pt>
                <c:pt idx="88">
                  <c:v>Gambia The</c:v>
                </c:pt>
                <c:pt idx="89">
                  <c:v>Gaza Strip</c:v>
                </c:pt>
                <c:pt idx="90">
                  <c:v>Georgia</c:v>
                </c:pt>
                <c:pt idx="91">
                  <c:v>Germany</c:v>
                </c:pt>
                <c:pt idx="92">
                  <c:v>Ghana</c:v>
                </c:pt>
                <c:pt idx="93">
                  <c:v>Gibraltar</c:v>
                </c:pt>
                <c:pt idx="94">
                  <c:v>Glorioso Islands</c:v>
                </c:pt>
                <c:pt idx="95">
                  <c:v>Greece</c:v>
                </c:pt>
                <c:pt idx="96">
                  <c:v>Greenland</c:v>
                </c:pt>
                <c:pt idx="97">
                  <c:v>Grenada</c:v>
                </c:pt>
                <c:pt idx="98">
                  <c:v>Guadeloupe</c:v>
                </c:pt>
                <c:pt idx="99">
                  <c:v>Guam</c:v>
                </c:pt>
                <c:pt idx="100">
                  <c:v>Guatemala</c:v>
                </c:pt>
                <c:pt idx="101">
                  <c:v>Guernsey</c:v>
                </c:pt>
                <c:pt idx="102">
                  <c:v>Guinea</c:v>
                </c:pt>
                <c:pt idx="103">
                  <c:v>Guinea-Bissau</c:v>
                </c:pt>
                <c:pt idx="104">
                  <c:v>Guyana</c:v>
                </c:pt>
                <c:pt idx="105">
                  <c:v>Haiti</c:v>
                </c:pt>
                <c:pt idx="106">
                  <c:v>Heard Island and McDonald Islands</c:v>
                </c:pt>
                <c:pt idx="107">
                  <c:v>Holy See (Vatican City)</c:v>
                </c:pt>
                <c:pt idx="108">
                  <c:v>Honduras</c:v>
                </c:pt>
                <c:pt idx="109">
                  <c:v>Hong Kong</c:v>
                </c:pt>
                <c:pt idx="110">
                  <c:v>Howland Island</c:v>
                </c:pt>
                <c:pt idx="111">
                  <c:v>Hungary</c:v>
                </c:pt>
                <c:pt idx="112">
                  <c:v>Iceland</c:v>
                </c:pt>
                <c:pt idx="113">
                  <c:v>India</c:v>
                </c:pt>
                <c:pt idx="114">
                  <c:v>Indonesia</c:v>
                </c:pt>
                <c:pt idx="115">
                  <c:v>Iran</c:v>
                </c:pt>
                <c:pt idx="116">
                  <c:v>Iraq</c:v>
                </c:pt>
                <c:pt idx="117">
                  <c:v>Ireland</c:v>
                </c:pt>
                <c:pt idx="118">
                  <c:v>Israel</c:v>
                </c:pt>
                <c:pt idx="119">
                  <c:v>Italy</c:v>
                </c:pt>
                <c:pt idx="120">
                  <c:v>Jamaica</c:v>
                </c:pt>
                <c:pt idx="121">
                  <c:v>Jan Mayen</c:v>
                </c:pt>
                <c:pt idx="122">
                  <c:v>Japan</c:v>
                </c:pt>
                <c:pt idx="123">
                  <c:v>Jarvis Island</c:v>
                </c:pt>
                <c:pt idx="124">
                  <c:v>Jersey</c:v>
                </c:pt>
                <c:pt idx="125">
                  <c:v>Johnston Atoll</c:v>
                </c:pt>
                <c:pt idx="126">
                  <c:v>Jordan</c:v>
                </c:pt>
                <c:pt idx="127">
                  <c:v>Juan de Nova Island</c:v>
                </c:pt>
                <c:pt idx="128">
                  <c:v>Kazakhstan</c:v>
                </c:pt>
                <c:pt idx="129">
                  <c:v>Kenya</c:v>
                </c:pt>
                <c:pt idx="130">
                  <c:v>Kingman Reef</c:v>
                </c:pt>
                <c:pt idx="131">
                  <c:v>Kiribati</c:v>
                </c:pt>
                <c:pt idx="132">
                  <c:v>Korea North</c:v>
                </c:pt>
                <c:pt idx="133">
                  <c:v>Korea South</c:v>
                </c:pt>
                <c:pt idx="134">
                  <c:v>Kuwait</c:v>
                </c:pt>
                <c:pt idx="135">
                  <c:v>Kyrgyzstan</c:v>
                </c:pt>
                <c:pt idx="136">
                  <c:v>Laos</c:v>
                </c:pt>
                <c:pt idx="137">
                  <c:v>Latvia</c:v>
                </c:pt>
                <c:pt idx="138">
                  <c:v>Lebanon</c:v>
                </c:pt>
                <c:pt idx="139">
                  <c:v>Lesotho</c:v>
                </c:pt>
                <c:pt idx="140">
                  <c:v>Liberia</c:v>
                </c:pt>
                <c:pt idx="141">
                  <c:v>Libya</c:v>
                </c:pt>
                <c:pt idx="142">
                  <c:v>Liechtenstein</c:v>
                </c:pt>
                <c:pt idx="143">
                  <c:v>Lithuania</c:v>
                </c:pt>
                <c:pt idx="144">
                  <c:v>Luxembourg</c:v>
                </c:pt>
                <c:pt idx="145">
                  <c:v>Macau</c:v>
                </c:pt>
                <c:pt idx="146">
                  <c:v>Macedonia</c:v>
                </c:pt>
                <c:pt idx="147">
                  <c:v>Madagascar</c:v>
                </c:pt>
                <c:pt idx="148">
                  <c:v>Malawi</c:v>
                </c:pt>
                <c:pt idx="149">
                  <c:v>Malaysia</c:v>
                </c:pt>
                <c:pt idx="150">
                  <c:v>Maldives</c:v>
                </c:pt>
                <c:pt idx="151">
                  <c:v>Mali</c:v>
                </c:pt>
                <c:pt idx="152">
                  <c:v>Malta</c:v>
                </c:pt>
                <c:pt idx="153">
                  <c:v>Man Isle of</c:v>
                </c:pt>
                <c:pt idx="154">
                  <c:v>Marshall Islands</c:v>
                </c:pt>
                <c:pt idx="155">
                  <c:v>Martinique</c:v>
                </c:pt>
                <c:pt idx="156">
                  <c:v>Mauritania</c:v>
                </c:pt>
                <c:pt idx="157">
                  <c:v>Mauritius</c:v>
                </c:pt>
                <c:pt idx="158">
                  <c:v>Mayotte</c:v>
                </c:pt>
                <c:pt idx="159">
                  <c:v>Mexico</c:v>
                </c:pt>
                <c:pt idx="160">
                  <c:v>Micronesia Federated States of</c:v>
                </c:pt>
                <c:pt idx="161">
                  <c:v>Midway Islands</c:v>
                </c:pt>
                <c:pt idx="162">
                  <c:v>Moldova</c:v>
                </c:pt>
                <c:pt idx="163">
                  <c:v>Monaco</c:v>
                </c:pt>
                <c:pt idx="164">
                  <c:v>Mongolia</c:v>
                </c:pt>
                <c:pt idx="165">
                  <c:v>Montserrat</c:v>
                </c:pt>
                <c:pt idx="166">
                  <c:v>Morocco</c:v>
                </c:pt>
                <c:pt idx="167">
                  <c:v>Mozambique</c:v>
                </c:pt>
                <c:pt idx="168">
                  <c:v>Namibia</c:v>
                </c:pt>
                <c:pt idx="169">
                  <c:v>Nauru</c:v>
                </c:pt>
                <c:pt idx="170">
                  <c:v>Navassa Island</c:v>
                </c:pt>
                <c:pt idx="171">
                  <c:v>Nepal</c:v>
                </c:pt>
                <c:pt idx="172">
                  <c:v>Netherlands</c:v>
                </c:pt>
                <c:pt idx="173">
                  <c:v>Netherlands Antilles</c:v>
                </c:pt>
                <c:pt idx="174">
                  <c:v>New Caledonia</c:v>
                </c:pt>
                <c:pt idx="175">
                  <c:v>New Zealand</c:v>
                </c:pt>
                <c:pt idx="176">
                  <c:v>Nicaragua</c:v>
                </c:pt>
                <c:pt idx="177">
                  <c:v>Niger</c:v>
                </c:pt>
                <c:pt idx="178">
                  <c:v>Nigeria</c:v>
                </c:pt>
                <c:pt idx="179">
                  <c:v>Niue</c:v>
                </c:pt>
                <c:pt idx="180">
                  <c:v>Norfolk Island</c:v>
                </c:pt>
                <c:pt idx="181">
                  <c:v>Northern Mariana Islands</c:v>
                </c:pt>
                <c:pt idx="182">
                  <c:v>Norway</c:v>
                </c:pt>
                <c:pt idx="183">
                  <c:v>Oman</c:v>
                </c:pt>
                <c:pt idx="184">
                  <c:v>Pakistan</c:v>
                </c:pt>
                <c:pt idx="185">
                  <c:v>Palau</c:v>
                </c:pt>
                <c:pt idx="186">
                  <c:v>Palmyra Atoll</c:v>
                </c:pt>
                <c:pt idx="187">
                  <c:v>Panama</c:v>
                </c:pt>
                <c:pt idx="188">
                  <c:v>Papua New Guinea</c:v>
                </c:pt>
                <c:pt idx="189">
                  <c:v>Paraguay</c:v>
                </c:pt>
                <c:pt idx="190">
                  <c:v>Peru</c:v>
                </c:pt>
                <c:pt idx="191">
                  <c:v>Philippines</c:v>
                </c:pt>
                <c:pt idx="192">
                  <c:v>Pitcairn Islands</c:v>
                </c:pt>
                <c:pt idx="193">
                  <c:v>Poland</c:v>
                </c:pt>
                <c:pt idx="194">
                  <c:v>Portugal</c:v>
                </c:pt>
                <c:pt idx="195">
                  <c:v>Puerto Rico</c:v>
                </c:pt>
                <c:pt idx="196">
                  <c:v>Qatar</c:v>
                </c:pt>
                <c:pt idx="197">
                  <c:v>Reunion</c:v>
                </c:pt>
                <c:pt idx="198">
                  <c:v>Romania</c:v>
                </c:pt>
                <c:pt idx="199">
                  <c:v>Russia</c:v>
                </c:pt>
                <c:pt idx="200">
                  <c:v>Rwanda</c:v>
                </c:pt>
                <c:pt idx="201">
                  <c:v>Saint Helena</c:v>
                </c:pt>
                <c:pt idx="202">
                  <c:v>Saint Kitts and Nevis</c:v>
                </c:pt>
                <c:pt idx="203">
                  <c:v>Saint Lucia</c:v>
                </c:pt>
                <c:pt idx="204">
                  <c:v>Saint Pierre and Miquelon</c:v>
                </c:pt>
                <c:pt idx="205">
                  <c:v>Saint Vincent and the Grenadines</c:v>
                </c:pt>
                <c:pt idx="206">
                  <c:v>Samoa</c:v>
                </c:pt>
                <c:pt idx="207">
                  <c:v>San Marino</c:v>
                </c:pt>
                <c:pt idx="208">
                  <c:v>Sao Tome and Principe</c:v>
                </c:pt>
                <c:pt idx="209">
                  <c:v>Saudi Arabia</c:v>
                </c:pt>
                <c:pt idx="210">
                  <c:v>Senegal</c:v>
                </c:pt>
                <c:pt idx="211">
                  <c:v>Serbia and Montenegro</c:v>
                </c:pt>
                <c:pt idx="212">
                  <c:v>Seychelles</c:v>
                </c:pt>
                <c:pt idx="213">
                  <c:v>Sierra Leone</c:v>
                </c:pt>
                <c:pt idx="214">
                  <c:v>Singapore</c:v>
                </c:pt>
                <c:pt idx="215">
                  <c:v>Slovakia</c:v>
                </c:pt>
                <c:pt idx="216">
                  <c:v>Slovenia</c:v>
                </c:pt>
                <c:pt idx="217">
                  <c:v>Solomon Islands</c:v>
                </c:pt>
                <c:pt idx="218">
                  <c:v>Somalia</c:v>
                </c:pt>
                <c:pt idx="219">
                  <c:v>South Africa</c:v>
                </c:pt>
                <c:pt idx="220">
                  <c:v>South Georgia and the South Sandwich Islands</c:v>
                </c:pt>
                <c:pt idx="221">
                  <c:v>Spain</c:v>
                </c:pt>
                <c:pt idx="222">
                  <c:v>Spratly Islands</c:v>
                </c:pt>
                <c:pt idx="223">
                  <c:v>Sri Lanka</c:v>
                </c:pt>
                <c:pt idx="224">
                  <c:v>Sudan</c:v>
                </c:pt>
                <c:pt idx="225">
                  <c:v>Suriname</c:v>
                </c:pt>
                <c:pt idx="226">
                  <c:v>Svalbard</c:v>
                </c:pt>
                <c:pt idx="227">
                  <c:v>Swaziland</c:v>
                </c:pt>
                <c:pt idx="228">
                  <c:v>Sweden</c:v>
                </c:pt>
                <c:pt idx="229">
                  <c:v>Switzerland</c:v>
                </c:pt>
                <c:pt idx="230">
                  <c:v>Syria</c:v>
                </c:pt>
                <c:pt idx="231">
                  <c:v>Taiwan</c:v>
                </c:pt>
                <c:pt idx="232">
                  <c:v>Tajikistan</c:v>
                </c:pt>
                <c:pt idx="233">
                  <c:v>Tanzania</c:v>
                </c:pt>
                <c:pt idx="234">
                  <c:v>Thailand</c:v>
                </c:pt>
                <c:pt idx="235">
                  <c:v>Togo</c:v>
                </c:pt>
                <c:pt idx="236">
                  <c:v>Tokelau</c:v>
                </c:pt>
                <c:pt idx="237">
                  <c:v>Tonga</c:v>
                </c:pt>
                <c:pt idx="238">
                  <c:v>Trinidad and Tobago</c:v>
                </c:pt>
                <c:pt idx="239">
                  <c:v>Tromelin Island</c:v>
                </c:pt>
                <c:pt idx="240">
                  <c:v>Tunisia</c:v>
                </c:pt>
                <c:pt idx="241">
                  <c:v>Turkey</c:v>
                </c:pt>
                <c:pt idx="242">
                  <c:v>Turkmenistan</c:v>
                </c:pt>
                <c:pt idx="243">
                  <c:v>Turks and Caicos Islands</c:v>
                </c:pt>
                <c:pt idx="244">
                  <c:v>Tuvalu</c:v>
                </c:pt>
                <c:pt idx="245">
                  <c:v>Uganda</c:v>
                </c:pt>
                <c:pt idx="246">
                  <c:v>Ukraine</c:v>
                </c:pt>
                <c:pt idx="247">
                  <c:v>United Arab Emirates</c:v>
                </c:pt>
                <c:pt idx="248">
                  <c:v>United Kingdom</c:v>
                </c:pt>
                <c:pt idx="249">
                  <c:v>United States</c:v>
                </c:pt>
                <c:pt idx="250">
                  <c:v>Uruguay</c:v>
                </c:pt>
                <c:pt idx="251">
                  <c:v>Uzbekistan</c:v>
                </c:pt>
                <c:pt idx="252">
                  <c:v>Vanuatu</c:v>
                </c:pt>
                <c:pt idx="253">
                  <c:v>Venezuela</c:v>
                </c:pt>
                <c:pt idx="254">
                  <c:v>Vietnam</c:v>
                </c:pt>
                <c:pt idx="255">
                  <c:v>Virgin Islands</c:v>
                </c:pt>
                <c:pt idx="256">
                  <c:v>Wake Island</c:v>
                </c:pt>
                <c:pt idx="257">
                  <c:v>Wallis and Futuna</c:v>
                </c:pt>
                <c:pt idx="258">
                  <c:v>West Bank</c:v>
                </c:pt>
                <c:pt idx="259">
                  <c:v>Western Sahara</c:v>
                </c:pt>
                <c:pt idx="260">
                  <c:v>Yemen</c:v>
                </c:pt>
                <c:pt idx="261">
                  <c:v>Zambia</c:v>
                </c:pt>
                <c:pt idx="262">
                  <c:v>Zimbabwe</c:v>
                </c:pt>
              </c:strCache>
            </c:strRef>
          </c:cat>
          <c:val>
            <c:numRef>
              <c:f>'Analysis and visual 2'!$B$2:$B$265</c:f>
              <c:numCache>
                <c:formatCode>General</c:formatCode>
                <c:ptCount val="263"/>
                <c:pt idx="0">
                  <c:v>2.4</c:v>
                </c:pt>
                <c:pt idx="1">
                  <c:v>7.5</c:v>
                </c:pt>
                <c:pt idx="3">
                  <c:v>5.6</c:v>
                </c:pt>
                <c:pt idx="4">
                  <c:v>6.1</c:v>
                </c:pt>
                <c:pt idx="6">
                  <c:v>2</c:v>
                </c:pt>
                <c:pt idx="7">
                  <c:v>11.7</c:v>
                </c:pt>
                <c:pt idx="8">
                  <c:v>2.8</c:v>
                </c:pt>
                <c:pt idx="10">
                  <c:v>3</c:v>
                </c:pt>
                <c:pt idx="11">
                  <c:v>8.3000000000000007</c:v>
                </c:pt>
                <c:pt idx="12">
                  <c:v>9</c:v>
                </c:pt>
                <c:pt idx="13">
                  <c:v>-1.5</c:v>
                </c:pt>
                <c:pt idx="15">
                  <c:v>3.5</c:v>
                </c:pt>
                <c:pt idx="16">
                  <c:v>1.9</c:v>
                </c:pt>
                <c:pt idx="17">
                  <c:v>9.8000000000000007</c:v>
                </c:pt>
                <c:pt idx="18">
                  <c:v>3</c:v>
                </c:pt>
                <c:pt idx="19">
                  <c:v>5.6</c:v>
                </c:pt>
                <c:pt idx="21">
                  <c:v>4.9000000000000004</c:v>
                </c:pt>
                <c:pt idx="22">
                  <c:v>2.2999999999999998</c:v>
                </c:pt>
                <c:pt idx="24">
                  <c:v>6.4</c:v>
                </c:pt>
                <c:pt idx="25">
                  <c:v>2.6</c:v>
                </c:pt>
                <c:pt idx="26">
                  <c:v>3.5</c:v>
                </c:pt>
                <c:pt idx="27">
                  <c:v>5</c:v>
                </c:pt>
                <c:pt idx="28">
                  <c:v>2</c:v>
                </c:pt>
                <c:pt idx="29">
                  <c:v>5.3</c:v>
                </c:pt>
                <c:pt idx="30">
                  <c:v>3.7</c:v>
                </c:pt>
                <c:pt idx="31">
                  <c:v>5</c:v>
                </c:pt>
                <c:pt idx="32">
                  <c:v>3.5</c:v>
                </c:pt>
                <c:pt idx="34">
                  <c:v>5.0999999999999996</c:v>
                </c:pt>
                <c:pt idx="36">
                  <c:v>1</c:v>
                </c:pt>
                <c:pt idx="37">
                  <c:v>3.2</c:v>
                </c:pt>
                <c:pt idx="38">
                  <c:v>5.3</c:v>
                </c:pt>
                <c:pt idx="39">
                  <c:v>4.8</c:v>
                </c:pt>
                <c:pt idx="40">
                  <c:v>-1.3</c:v>
                </c:pt>
                <c:pt idx="41">
                  <c:v>3</c:v>
                </c:pt>
                <c:pt idx="42">
                  <c:v>5.4</c:v>
                </c:pt>
                <c:pt idx="43">
                  <c:v>4.9000000000000004</c:v>
                </c:pt>
                <c:pt idx="44">
                  <c:v>2.4</c:v>
                </c:pt>
                <c:pt idx="45">
                  <c:v>5</c:v>
                </c:pt>
                <c:pt idx="46">
                  <c:v>1.7</c:v>
                </c:pt>
                <c:pt idx="47">
                  <c:v>0.5</c:v>
                </c:pt>
                <c:pt idx="48">
                  <c:v>38</c:v>
                </c:pt>
                <c:pt idx="49">
                  <c:v>5.8</c:v>
                </c:pt>
                <c:pt idx="50">
                  <c:v>9.1</c:v>
                </c:pt>
                <c:pt idx="54">
                  <c:v>3.6</c:v>
                </c:pt>
                <c:pt idx="55">
                  <c:v>2</c:v>
                </c:pt>
                <c:pt idx="56">
                  <c:v>7.5</c:v>
                </c:pt>
                <c:pt idx="57">
                  <c:v>3.7</c:v>
                </c:pt>
                <c:pt idx="58">
                  <c:v>7.1</c:v>
                </c:pt>
                <c:pt idx="59">
                  <c:v>3.9</c:v>
                </c:pt>
                <c:pt idx="60">
                  <c:v>-1</c:v>
                </c:pt>
                <c:pt idx="61">
                  <c:v>3.7</c:v>
                </c:pt>
                <c:pt idx="62">
                  <c:v>3</c:v>
                </c:pt>
                <c:pt idx="63">
                  <c:v>2.6</c:v>
                </c:pt>
                <c:pt idx="64">
                  <c:v>3.7</c:v>
                </c:pt>
                <c:pt idx="65">
                  <c:v>2.1</c:v>
                </c:pt>
                <c:pt idx="67">
                  <c:v>3.5</c:v>
                </c:pt>
                <c:pt idx="68">
                  <c:v>-1</c:v>
                </c:pt>
                <c:pt idx="69">
                  <c:v>1.7</c:v>
                </c:pt>
                <c:pt idx="70">
                  <c:v>1</c:v>
                </c:pt>
                <c:pt idx="71">
                  <c:v>5.8</c:v>
                </c:pt>
                <c:pt idx="72">
                  <c:v>4.5</c:v>
                </c:pt>
                <c:pt idx="73">
                  <c:v>1.8</c:v>
                </c:pt>
                <c:pt idx="74">
                  <c:v>20</c:v>
                </c:pt>
                <c:pt idx="75">
                  <c:v>2.5</c:v>
                </c:pt>
                <c:pt idx="76">
                  <c:v>6</c:v>
                </c:pt>
                <c:pt idx="77">
                  <c:v>11.6</c:v>
                </c:pt>
                <c:pt idx="80">
                  <c:v>10</c:v>
                </c:pt>
                <c:pt idx="81">
                  <c:v>3.6</c:v>
                </c:pt>
                <c:pt idx="82">
                  <c:v>3</c:v>
                </c:pt>
                <c:pt idx="83">
                  <c:v>2.1</c:v>
                </c:pt>
                <c:pt idx="87">
                  <c:v>1.9</c:v>
                </c:pt>
                <c:pt idx="88">
                  <c:v>6</c:v>
                </c:pt>
                <c:pt idx="89">
                  <c:v>4.5</c:v>
                </c:pt>
                <c:pt idx="90">
                  <c:v>9.5</c:v>
                </c:pt>
                <c:pt idx="91">
                  <c:v>1.7</c:v>
                </c:pt>
                <c:pt idx="92">
                  <c:v>5.4</c:v>
                </c:pt>
                <c:pt idx="95">
                  <c:v>3.7</c:v>
                </c:pt>
                <c:pt idx="96">
                  <c:v>1.8</c:v>
                </c:pt>
                <c:pt idx="97">
                  <c:v>2.5</c:v>
                </c:pt>
                <c:pt idx="100">
                  <c:v>2.6</c:v>
                </c:pt>
                <c:pt idx="101">
                  <c:v>3</c:v>
                </c:pt>
                <c:pt idx="102">
                  <c:v>1</c:v>
                </c:pt>
                <c:pt idx="103">
                  <c:v>2.6</c:v>
                </c:pt>
                <c:pt idx="104">
                  <c:v>1.9</c:v>
                </c:pt>
                <c:pt idx="105">
                  <c:v>-3.5</c:v>
                </c:pt>
                <c:pt idx="108">
                  <c:v>4.2</c:v>
                </c:pt>
                <c:pt idx="109">
                  <c:v>7.9</c:v>
                </c:pt>
                <c:pt idx="111">
                  <c:v>3.9</c:v>
                </c:pt>
                <c:pt idx="112">
                  <c:v>1.8</c:v>
                </c:pt>
                <c:pt idx="113">
                  <c:v>6.2</c:v>
                </c:pt>
                <c:pt idx="114">
                  <c:v>4.9000000000000004</c:v>
                </c:pt>
                <c:pt idx="115">
                  <c:v>6.3</c:v>
                </c:pt>
                <c:pt idx="116">
                  <c:v>52.3</c:v>
                </c:pt>
                <c:pt idx="117">
                  <c:v>5.0999999999999996</c:v>
                </c:pt>
                <c:pt idx="118">
                  <c:v>3.9</c:v>
                </c:pt>
                <c:pt idx="119">
                  <c:v>1.3</c:v>
                </c:pt>
                <c:pt idx="120">
                  <c:v>1.9</c:v>
                </c:pt>
                <c:pt idx="122">
                  <c:v>2.9</c:v>
                </c:pt>
                <c:pt idx="126">
                  <c:v>5.0999999999999996</c:v>
                </c:pt>
                <c:pt idx="128">
                  <c:v>9.1</c:v>
                </c:pt>
                <c:pt idx="129">
                  <c:v>2.2000000000000002</c:v>
                </c:pt>
                <c:pt idx="131">
                  <c:v>1.5</c:v>
                </c:pt>
                <c:pt idx="132">
                  <c:v>1</c:v>
                </c:pt>
                <c:pt idx="133">
                  <c:v>4.5999999999999996</c:v>
                </c:pt>
                <c:pt idx="134">
                  <c:v>6.8</c:v>
                </c:pt>
                <c:pt idx="135">
                  <c:v>6</c:v>
                </c:pt>
                <c:pt idx="136">
                  <c:v>6</c:v>
                </c:pt>
                <c:pt idx="137">
                  <c:v>7.6</c:v>
                </c:pt>
                <c:pt idx="138">
                  <c:v>4</c:v>
                </c:pt>
                <c:pt idx="139">
                  <c:v>3.3</c:v>
                </c:pt>
                <c:pt idx="140">
                  <c:v>21.8</c:v>
                </c:pt>
                <c:pt idx="141">
                  <c:v>4.9000000000000004</c:v>
                </c:pt>
                <c:pt idx="142">
                  <c:v>11</c:v>
                </c:pt>
                <c:pt idx="143">
                  <c:v>6.6</c:v>
                </c:pt>
                <c:pt idx="144">
                  <c:v>2.2999999999999998</c:v>
                </c:pt>
                <c:pt idx="145">
                  <c:v>15.6</c:v>
                </c:pt>
                <c:pt idx="146">
                  <c:v>1.3</c:v>
                </c:pt>
                <c:pt idx="147">
                  <c:v>5.5</c:v>
                </c:pt>
                <c:pt idx="148">
                  <c:v>4</c:v>
                </c:pt>
                <c:pt idx="149">
                  <c:v>7.1</c:v>
                </c:pt>
                <c:pt idx="150">
                  <c:v>2.2999999999999998</c:v>
                </c:pt>
                <c:pt idx="151">
                  <c:v>4</c:v>
                </c:pt>
                <c:pt idx="152">
                  <c:v>1</c:v>
                </c:pt>
                <c:pt idx="154">
                  <c:v>1</c:v>
                </c:pt>
                <c:pt idx="156">
                  <c:v>3</c:v>
                </c:pt>
                <c:pt idx="157">
                  <c:v>4.7</c:v>
                </c:pt>
                <c:pt idx="159">
                  <c:v>4.0999999999999996</c:v>
                </c:pt>
                <c:pt idx="160">
                  <c:v>1</c:v>
                </c:pt>
                <c:pt idx="162">
                  <c:v>6.8</c:v>
                </c:pt>
                <c:pt idx="163">
                  <c:v>0.9</c:v>
                </c:pt>
                <c:pt idx="164">
                  <c:v>10.6</c:v>
                </c:pt>
                <c:pt idx="165">
                  <c:v>-1</c:v>
                </c:pt>
                <c:pt idx="166">
                  <c:v>4.4000000000000004</c:v>
                </c:pt>
                <c:pt idx="167">
                  <c:v>8.1999999999999993</c:v>
                </c:pt>
                <c:pt idx="168">
                  <c:v>4.8</c:v>
                </c:pt>
                <c:pt idx="171">
                  <c:v>3</c:v>
                </c:pt>
                <c:pt idx="172">
                  <c:v>1.2</c:v>
                </c:pt>
                <c:pt idx="173">
                  <c:v>0.5</c:v>
                </c:pt>
                <c:pt idx="175">
                  <c:v>4.8</c:v>
                </c:pt>
                <c:pt idx="176">
                  <c:v>4</c:v>
                </c:pt>
                <c:pt idx="177">
                  <c:v>3.5</c:v>
                </c:pt>
                <c:pt idx="178">
                  <c:v>6.2</c:v>
                </c:pt>
                <c:pt idx="179">
                  <c:v>-0.3</c:v>
                </c:pt>
                <c:pt idx="182">
                  <c:v>3.3</c:v>
                </c:pt>
                <c:pt idx="183">
                  <c:v>1.2</c:v>
                </c:pt>
                <c:pt idx="184">
                  <c:v>6.1</c:v>
                </c:pt>
                <c:pt idx="185">
                  <c:v>1</c:v>
                </c:pt>
                <c:pt idx="187">
                  <c:v>6</c:v>
                </c:pt>
                <c:pt idx="188">
                  <c:v>0.9</c:v>
                </c:pt>
                <c:pt idx="189">
                  <c:v>2.8</c:v>
                </c:pt>
                <c:pt idx="190">
                  <c:v>4.5</c:v>
                </c:pt>
                <c:pt idx="191">
                  <c:v>5.9</c:v>
                </c:pt>
                <c:pt idx="193">
                  <c:v>5.6</c:v>
                </c:pt>
                <c:pt idx="194">
                  <c:v>1.1000000000000001</c:v>
                </c:pt>
                <c:pt idx="195">
                  <c:v>2.7</c:v>
                </c:pt>
                <c:pt idx="196">
                  <c:v>8.6999999999999993</c:v>
                </c:pt>
                <c:pt idx="197">
                  <c:v>2.5</c:v>
                </c:pt>
                <c:pt idx="198">
                  <c:v>8.1</c:v>
                </c:pt>
                <c:pt idx="199">
                  <c:v>6.7</c:v>
                </c:pt>
                <c:pt idx="200">
                  <c:v>0.9</c:v>
                </c:pt>
                <c:pt idx="202">
                  <c:v>-1.9</c:v>
                </c:pt>
                <c:pt idx="203">
                  <c:v>3.3</c:v>
                </c:pt>
                <c:pt idx="205">
                  <c:v>0.7</c:v>
                </c:pt>
                <c:pt idx="206">
                  <c:v>5</c:v>
                </c:pt>
                <c:pt idx="207">
                  <c:v>7.5</c:v>
                </c:pt>
                <c:pt idx="208">
                  <c:v>6</c:v>
                </c:pt>
                <c:pt idx="209">
                  <c:v>5</c:v>
                </c:pt>
                <c:pt idx="210">
                  <c:v>3.2</c:v>
                </c:pt>
                <c:pt idx="211">
                  <c:v>6.5</c:v>
                </c:pt>
                <c:pt idx="212">
                  <c:v>1.5</c:v>
                </c:pt>
                <c:pt idx="213">
                  <c:v>6</c:v>
                </c:pt>
                <c:pt idx="214">
                  <c:v>8.1</c:v>
                </c:pt>
                <c:pt idx="215">
                  <c:v>5.3</c:v>
                </c:pt>
                <c:pt idx="216">
                  <c:v>3.9</c:v>
                </c:pt>
                <c:pt idx="217">
                  <c:v>5.8</c:v>
                </c:pt>
                <c:pt idx="218">
                  <c:v>2.8</c:v>
                </c:pt>
                <c:pt idx="219">
                  <c:v>3.5</c:v>
                </c:pt>
                <c:pt idx="221">
                  <c:v>2.6</c:v>
                </c:pt>
                <c:pt idx="223">
                  <c:v>5.2</c:v>
                </c:pt>
                <c:pt idx="224">
                  <c:v>6.4</c:v>
                </c:pt>
                <c:pt idx="225">
                  <c:v>4.2</c:v>
                </c:pt>
                <c:pt idx="227">
                  <c:v>2.5</c:v>
                </c:pt>
                <c:pt idx="228">
                  <c:v>3.6</c:v>
                </c:pt>
                <c:pt idx="229">
                  <c:v>1.8</c:v>
                </c:pt>
                <c:pt idx="230">
                  <c:v>2.2999999999999998</c:v>
                </c:pt>
                <c:pt idx="231">
                  <c:v>6</c:v>
                </c:pt>
                <c:pt idx="232">
                  <c:v>10.5</c:v>
                </c:pt>
                <c:pt idx="233">
                  <c:v>5.8</c:v>
                </c:pt>
                <c:pt idx="234">
                  <c:v>6.1</c:v>
                </c:pt>
                <c:pt idx="235">
                  <c:v>3</c:v>
                </c:pt>
                <c:pt idx="237">
                  <c:v>1.5</c:v>
                </c:pt>
                <c:pt idx="238">
                  <c:v>5.7</c:v>
                </c:pt>
                <c:pt idx="240">
                  <c:v>5.0999999999999996</c:v>
                </c:pt>
                <c:pt idx="241">
                  <c:v>8.1999999999999993</c:v>
                </c:pt>
                <c:pt idx="242">
                  <c:v>7.5</c:v>
                </c:pt>
                <c:pt idx="243">
                  <c:v>4.9000000000000004</c:v>
                </c:pt>
                <c:pt idx="244">
                  <c:v>3</c:v>
                </c:pt>
                <c:pt idx="245">
                  <c:v>5</c:v>
                </c:pt>
                <c:pt idx="246">
                  <c:v>12</c:v>
                </c:pt>
                <c:pt idx="247">
                  <c:v>5.7</c:v>
                </c:pt>
                <c:pt idx="248">
                  <c:v>3.2</c:v>
                </c:pt>
                <c:pt idx="249">
                  <c:v>4.4000000000000004</c:v>
                </c:pt>
                <c:pt idx="250">
                  <c:v>10.199999999999999</c:v>
                </c:pt>
                <c:pt idx="251">
                  <c:v>4.4000000000000004</c:v>
                </c:pt>
                <c:pt idx="252">
                  <c:v>1.1000000000000001</c:v>
                </c:pt>
                <c:pt idx="253">
                  <c:v>16.8</c:v>
                </c:pt>
                <c:pt idx="254">
                  <c:v>7.7</c:v>
                </c:pt>
                <c:pt idx="255">
                  <c:v>2</c:v>
                </c:pt>
                <c:pt idx="258">
                  <c:v>6</c:v>
                </c:pt>
                <c:pt idx="260">
                  <c:v>1.9</c:v>
                </c:pt>
                <c:pt idx="261">
                  <c:v>4.5999999999999996</c:v>
                </c:pt>
                <c:pt idx="262">
                  <c:v>-8.1999999999999993</c:v>
                </c:pt>
              </c:numCache>
            </c:numRef>
          </c:val>
          <c:extLst>
            <c:ext xmlns:c16="http://schemas.microsoft.com/office/drawing/2014/chart" uri="{C3380CC4-5D6E-409C-BE32-E72D297353CC}">
              <c16:uniqueId val="{00000000-5C46-4913-86A5-2EE4B0AC315A}"/>
            </c:ext>
          </c:extLst>
        </c:ser>
        <c:ser>
          <c:idx val="1"/>
          <c:order val="1"/>
          <c:tx>
            <c:strRef>
              <c:f>'Analysis and visual 2'!$C$1</c:f>
              <c:strCache>
                <c:ptCount val="1"/>
                <c:pt idx="0">
                  <c:v>Sum of GDP - per capita</c:v>
                </c:pt>
              </c:strCache>
            </c:strRef>
          </c:tx>
          <c:spPr>
            <a:solidFill>
              <a:schemeClr val="accent2"/>
            </a:solidFill>
            <a:ln>
              <a:noFill/>
            </a:ln>
            <a:effectLst/>
          </c:spPr>
          <c:invertIfNegative val="0"/>
          <c:cat>
            <c:strRef>
              <c:f>'Analysis and visual 2'!$A$2:$A$265</c:f>
              <c:strCache>
                <c:ptCount val="263"/>
                <c:pt idx="0">
                  <c:v>#European Union</c:v>
                </c:pt>
                <c:pt idx="1">
                  <c:v>Afghanistan</c:v>
                </c:pt>
                <c:pt idx="2">
                  <c:v>Akrotiri</c:v>
                </c:pt>
                <c:pt idx="3">
                  <c:v>Albania</c:v>
                </c:pt>
                <c:pt idx="4">
                  <c:v>Algeria</c:v>
                </c:pt>
                <c:pt idx="5">
                  <c:v>American Samoa</c:v>
                </c:pt>
                <c:pt idx="6">
                  <c:v>Andorra</c:v>
                </c:pt>
                <c:pt idx="7">
                  <c:v>Angola</c:v>
                </c:pt>
                <c:pt idx="8">
                  <c:v>Anguilla</c:v>
                </c:pt>
                <c:pt idx="9">
                  <c:v>Antarctica</c:v>
                </c:pt>
                <c:pt idx="10">
                  <c:v>Antigua and Barbuda</c:v>
                </c:pt>
                <c:pt idx="11">
                  <c:v>Argentina</c:v>
                </c:pt>
                <c:pt idx="12">
                  <c:v>Armenia</c:v>
                </c:pt>
                <c:pt idx="13">
                  <c:v>Aruba</c:v>
                </c:pt>
                <c:pt idx="14">
                  <c:v>Ashmore and Cartier Islands</c:v>
                </c:pt>
                <c:pt idx="15">
                  <c:v>Australia</c:v>
                </c:pt>
                <c:pt idx="16">
                  <c:v>Austria</c:v>
                </c:pt>
                <c:pt idx="17">
                  <c:v>Azerbaijan</c:v>
                </c:pt>
                <c:pt idx="18">
                  <c:v>Bahamas The</c:v>
                </c:pt>
                <c:pt idx="19">
                  <c:v>Bahrain</c:v>
                </c:pt>
                <c:pt idx="20">
                  <c:v>Baker Island</c:v>
                </c:pt>
                <c:pt idx="21">
                  <c:v>Bangladesh</c:v>
                </c:pt>
                <c:pt idx="22">
                  <c:v>Barbados</c:v>
                </c:pt>
                <c:pt idx="23">
                  <c:v>Bassas da India</c:v>
                </c:pt>
                <c:pt idx="24">
                  <c:v>Belarus</c:v>
                </c:pt>
                <c:pt idx="25">
                  <c:v>Belgium</c:v>
                </c:pt>
                <c:pt idx="26">
                  <c:v>Belize</c:v>
                </c:pt>
                <c:pt idx="27">
                  <c:v>Benin</c:v>
                </c:pt>
                <c:pt idx="28">
                  <c:v>Bermuda</c:v>
                </c:pt>
                <c:pt idx="29">
                  <c:v>Bhutan</c:v>
                </c:pt>
                <c:pt idx="30">
                  <c:v>Bolivia</c:v>
                </c:pt>
                <c:pt idx="31">
                  <c:v>Bosnia and Herzegovina</c:v>
                </c:pt>
                <c:pt idx="32">
                  <c:v>Botswana</c:v>
                </c:pt>
                <c:pt idx="33">
                  <c:v>Bouvet Island</c:v>
                </c:pt>
                <c:pt idx="34">
                  <c:v>Brazil</c:v>
                </c:pt>
                <c:pt idx="35">
                  <c:v>British Indian Ocean Territory</c:v>
                </c:pt>
                <c:pt idx="36">
                  <c:v>British Virgin Islands</c:v>
                </c:pt>
                <c:pt idx="37">
                  <c:v>Brunei</c:v>
                </c:pt>
                <c:pt idx="38">
                  <c:v>Bulgaria</c:v>
                </c:pt>
                <c:pt idx="39">
                  <c:v>Burkina Faso</c:v>
                </c:pt>
                <c:pt idx="40">
                  <c:v>Burma</c:v>
                </c:pt>
                <c:pt idx="41">
                  <c:v>Burundi</c:v>
                </c:pt>
                <c:pt idx="42">
                  <c:v>Cambodia</c:v>
                </c:pt>
                <c:pt idx="43">
                  <c:v>Cameroon</c:v>
                </c:pt>
                <c:pt idx="44">
                  <c:v>Canada</c:v>
                </c:pt>
                <c:pt idx="45">
                  <c:v>Cape Verde</c:v>
                </c:pt>
                <c:pt idx="46">
                  <c:v>Cayman Islands</c:v>
                </c:pt>
                <c:pt idx="47">
                  <c:v>Central African Republic</c:v>
                </c:pt>
                <c:pt idx="48">
                  <c:v>Chad</c:v>
                </c:pt>
                <c:pt idx="49">
                  <c:v>Chile</c:v>
                </c:pt>
                <c:pt idx="50">
                  <c:v>China</c:v>
                </c:pt>
                <c:pt idx="51">
                  <c:v>Christmas Island</c:v>
                </c:pt>
                <c:pt idx="52">
                  <c:v>Clipperton Island</c:v>
                </c:pt>
                <c:pt idx="53">
                  <c:v>Cocos (Keeling) Islands</c:v>
                </c:pt>
                <c:pt idx="54">
                  <c:v>Colombia</c:v>
                </c:pt>
                <c:pt idx="55">
                  <c:v>Comoros</c:v>
                </c:pt>
                <c:pt idx="56">
                  <c:v>Congo Democratic Republic of the</c:v>
                </c:pt>
                <c:pt idx="57">
                  <c:v>Congo Republic of the</c:v>
                </c:pt>
                <c:pt idx="58">
                  <c:v>Cook Islands</c:v>
                </c:pt>
                <c:pt idx="59">
                  <c:v>Costa Rica</c:v>
                </c:pt>
                <c:pt idx="60">
                  <c:v>Cote d'Ivoire</c:v>
                </c:pt>
                <c:pt idx="61">
                  <c:v>Croatia</c:v>
                </c:pt>
                <c:pt idx="62">
                  <c:v>Cuba</c:v>
                </c:pt>
                <c:pt idx="63">
                  <c:v>Cyprus</c:v>
                </c:pt>
                <c:pt idx="64">
                  <c:v>Czech Republic</c:v>
                </c:pt>
                <c:pt idx="65">
                  <c:v>Denmark</c:v>
                </c:pt>
                <c:pt idx="66">
                  <c:v>Dhekelia</c:v>
                </c:pt>
                <c:pt idx="67">
                  <c:v>Djibouti</c:v>
                </c:pt>
                <c:pt idx="68">
                  <c:v>Dominica</c:v>
                </c:pt>
                <c:pt idx="69">
                  <c:v>Dominican Republic</c:v>
                </c:pt>
                <c:pt idx="70">
                  <c:v>East Timor</c:v>
                </c:pt>
                <c:pt idx="71">
                  <c:v>Ecuador</c:v>
                </c:pt>
                <c:pt idx="72">
                  <c:v>Egypt</c:v>
                </c:pt>
                <c:pt idx="73">
                  <c:v>El Salvador</c:v>
                </c:pt>
                <c:pt idx="74">
                  <c:v>Equatorial Guinea</c:v>
                </c:pt>
                <c:pt idx="75">
                  <c:v>Eritrea</c:v>
                </c:pt>
                <c:pt idx="76">
                  <c:v>Estonia</c:v>
                </c:pt>
                <c:pt idx="77">
                  <c:v>Ethiopia</c:v>
                </c:pt>
                <c:pt idx="78">
                  <c:v>Europa Island</c:v>
                </c:pt>
                <c:pt idx="79">
                  <c:v>Falkland Islands (Islas Malvinas)</c:v>
                </c:pt>
                <c:pt idx="80">
                  <c:v>Faroe Islands</c:v>
                </c:pt>
                <c:pt idx="81">
                  <c:v>Fiji</c:v>
                </c:pt>
                <c:pt idx="82">
                  <c:v>Finland</c:v>
                </c:pt>
                <c:pt idx="83">
                  <c:v>France</c:v>
                </c:pt>
                <c:pt idx="84">
                  <c:v>French Guiana</c:v>
                </c:pt>
                <c:pt idx="85">
                  <c:v>French Polynesia</c:v>
                </c:pt>
                <c:pt idx="86">
                  <c:v>French Southern and Antarctic Lands</c:v>
                </c:pt>
                <c:pt idx="87">
                  <c:v>Gabon</c:v>
                </c:pt>
                <c:pt idx="88">
                  <c:v>Gambia The</c:v>
                </c:pt>
                <c:pt idx="89">
                  <c:v>Gaza Strip</c:v>
                </c:pt>
                <c:pt idx="90">
                  <c:v>Georgia</c:v>
                </c:pt>
                <c:pt idx="91">
                  <c:v>Germany</c:v>
                </c:pt>
                <c:pt idx="92">
                  <c:v>Ghana</c:v>
                </c:pt>
                <c:pt idx="93">
                  <c:v>Gibraltar</c:v>
                </c:pt>
                <c:pt idx="94">
                  <c:v>Glorioso Islands</c:v>
                </c:pt>
                <c:pt idx="95">
                  <c:v>Greece</c:v>
                </c:pt>
                <c:pt idx="96">
                  <c:v>Greenland</c:v>
                </c:pt>
                <c:pt idx="97">
                  <c:v>Grenada</c:v>
                </c:pt>
                <c:pt idx="98">
                  <c:v>Guadeloupe</c:v>
                </c:pt>
                <c:pt idx="99">
                  <c:v>Guam</c:v>
                </c:pt>
                <c:pt idx="100">
                  <c:v>Guatemala</c:v>
                </c:pt>
                <c:pt idx="101">
                  <c:v>Guernsey</c:v>
                </c:pt>
                <c:pt idx="102">
                  <c:v>Guinea</c:v>
                </c:pt>
                <c:pt idx="103">
                  <c:v>Guinea-Bissau</c:v>
                </c:pt>
                <c:pt idx="104">
                  <c:v>Guyana</c:v>
                </c:pt>
                <c:pt idx="105">
                  <c:v>Haiti</c:v>
                </c:pt>
                <c:pt idx="106">
                  <c:v>Heard Island and McDonald Islands</c:v>
                </c:pt>
                <c:pt idx="107">
                  <c:v>Holy See (Vatican City)</c:v>
                </c:pt>
                <c:pt idx="108">
                  <c:v>Honduras</c:v>
                </c:pt>
                <c:pt idx="109">
                  <c:v>Hong Kong</c:v>
                </c:pt>
                <c:pt idx="110">
                  <c:v>Howland Island</c:v>
                </c:pt>
                <c:pt idx="111">
                  <c:v>Hungary</c:v>
                </c:pt>
                <c:pt idx="112">
                  <c:v>Iceland</c:v>
                </c:pt>
                <c:pt idx="113">
                  <c:v>India</c:v>
                </c:pt>
                <c:pt idx="114">
                  <c:v>Indonesia</c:v>
                </c:pt>
                <c:pt idx="115">
                  <c:v>Iran</c:v>
                </c:pt>
                <c:pt idx="116">
                  <c:v>Iraq</c:v>
                </c:pt>
                <c:pt idx="117">
                  <c:v>Ireland</c:v>
                </c:pt>
                <c:pt idx="118">
                  <c:v>Israel</c:v>
                </c:pt>
                <c:pt idx="119">
                  <c:v>Italy</c:v>
                </c:pt>
                <c:pt idx="120">
                  <c:v>Jamaica</c:v>
                </c:pt>
                <c:pt idx="121">
                  <c:v>Jan Mayen</c:v>
                </c:pt>
                <c:pt idx="122">
                  <c:v>Japan</c:v>
                </c:pt>
                <c:pt idx="123">
                  <c:v>Jarvis Island</c:v>
                </c:pt>
                <c:pt idx="124">
                  <c:v>Jersey</c:v>
                </c:pt>
                <c:pt idx="125">
                  <c:v>Johnston Atoll</c:v>
                </c:pt>
                <c:pt idx="126">
                  <c:v>Jordan</c:v>
                </c:pt>
                <c:pt idx="127">
                  <c:v>Juan de Nova Island</c:v>
                </c:pt>
                <c:pt idx="128">
                  <c:v>Kazakhstan</c:v>
                </c:pt>
                <c:pt idx="129">
                  <c:v>Kenya</c:v>
                </c:pt>
                <c:pt idx="130">
                  <c:v>Kingman Reef</c:v>
                </c:pt>
                <c:pt idx="131">
                  <c:v>Kiribati</c:v>
                </c:pt>
                <c:pt idx="132">
                  <c:v>Korea North</c:v>
                </c:pt>
                <c:pt idx="133">
                  <c:v>Korea South</c:v>
                </c:pt>
                <c:pt idx="134">
                  <c:v>Kuwait</c:v>
                </c:pt>
                <c:pt idx="135">
                  <c:v>Kyrgyzstan</c:v>
                </c:pt>
                <c:pt idx="136">
                  <c:v>Laos</c:v>
                </c:pt>
                <c:pt idx="137">
                  <c:v>Latvia</c:v>
                </c:pt>
                <c:pt idx="138">
                  <c:v>Lebanon</c:v>
                </c:pt>
                <c:pt idx="139">
                  <c:v>Lesotho</c:v>
                </c:pt>
                <c:pt idx="140">
                  <c:v>Liberia</c:v>
                </c:pt>
                <c:pt idx="141">
                  <c:v>Libya</c:v>
                </c:pt>
                <c:pt idx="142">
                  <c:v>Liechtenstein</c:v>
                </c:pt>
                <c:pt idx="143">
                  <c:v>Lithuania</c:v>
                </c:pt>
                <c:pt idx="144">
                  <c:v>Luxembourg</c:v>
                </c:pt>
                <c:pt idx="145">
                  <c:v>Macau</c:v>
                </c:pt>
                <c:pt idx="146">
                  <c:v>Macedonia</c:v>
                </c:pt>
                <c:pt idx="147">
                  <c:v>Madagascar</c:v>
                </c:pt>
                <c:pt idx="148">
                  <c:v>Malawi</c:v>
                </c:pt>
                <c:pt idx="149">
                  <c:v>Malaysia</c:v>
                </c:pt>
                <c:pt idx="150">
                  <c:v>Maldives</c:v>
                </c:pt>
                <c:pt idx="151">
                  <c:v>Mali</c:v>
                </c:pt>
                <c:pt idx="152">
                  <c:v>Malta</c:v>
                </c:pt>
                <c:pt idx="153">
                  <c:v>Man Isle of</c:v>
                </c:pt>
                <c:pt idx="154">
                  <c:v>Marshall Islands</c:v>
                </c:pt>
                <c:pt idx="155">
                  <c:v>Martinique</c:v>
                </c:pt>
                <c:pt idx="156">
                  <c:v>Mauritania</c:v>
                </c:pt>
                <c:pt idx="157">
                  <c:v>Mauritius</c:v>
                </c:pt>
                <c:pt idx="158">
                  <c:v>Mayotte</c:v>
                </c:pt>
                <c:pt idx="159">
                  <c:v>Mexico</c:v>
                </c:pt>
                <c:pt idx="160">
                  <c:v>Micronesia Federated States of</c:v>
                </c:pt>
                <c:pt idx="161">
                  <c:v>Midway Islands</c:v>
                </c:pt>
                <c:pt idx="162">
                  <c:v>Moldova</c:v>
                </c:pt>
                <c:pt idx="163">
                  <c:v>Monaco</c:v>
                </c:pt>
                <c:pt idx="164">
                  <c:v>Mongolia</c:v>
                </c:pt>
                <c:pt idx="165">
                  <c:v>Montserrat</c:v>
                </c:pt>
                <c:pt idx="166">
                  <c:v>Morocco</c:v>
                </c:pt>
                <c:pt idx="167">
                  <c:v>Mozambique</c:v>
                </c:pt>
                <c:pt idx="168">
                  <c:v>Namibia</c:v>
                </c:pt>
                <c:pt idx="169">
                  <c:v>Nauru</c:v>
                </c:pt>
                <c:pt idx="170">
                  <c:v>Navassa Island</c:v>
                </c:pt>
                <c:pt idx="171">
                  <c:v>Nepal</c:v>
                </c:pt>
                <c:pt idx="172">
                  <c:v>Netherlands</c:v>
                </c:pt>
                <c:pt idx="173">
                  <c:v>Netherlands Antilles</c:v>
                </c:pt>
                <c:pt idx="174">
                  <c:v>New Caledonia</c:v>
                </c:pt>
                <c:pt idx="175">
                  <c:v>New Zealand</c:v>
                </c:pt>
                <c:pt idx="176">
                  <c:v>Nicaragua</c:v>
                </c:pt>
                <c:pt idx="177">
                  <c:v>Niger</c:v>
                </c:pt>
                <c:pt idx="178">
                  <c:v>Nigeria</c:v>
                </c:pt>
                <c:pt idx="179">
                  <c:v>Niue</c:v>
                </c:pt>
                <c:pt idx="180">
                  <c:v>Norfolk Island</c:v>
                </c:pt>
                <c:pt idx="181">
                  <c:v>Northern Mariana Islands</c:v>
                </c:pt>
                <c:pt idx="182">
                  <c:v>Norway</c:v>
                </c:pt>
                <c:pt idx="183">
                  <c:v>Oman</c:v>
                </c:pt>
                <c:pt idx="184">
                  <c:v>Pakistan</c:v>
                </c:pt>
                <c:pt idx="185">
                  <c:v>Palau</c:v>
                </c:pt>
                <c:pt idx="186">
                  <c:v>Palmyra Atoll</c:v>
                </c:pt>
                <c:pt idx="187">
                  <c:v>Panama</c:v>
                </c:pt>
                <c:pt idx="188">
                  <c:v>Papua New Guinea</c:v>
                </c:pt>
                <c:pt idx="189">
                  <c:v>Paraguay</c:v>
                </c:pt>
                <c:pt idx="190">
                  <c:v>Peru</c:v>
                </c:pt>
                <c:pt idx="191">
                  <c:v>Philippines</c:v>
                </c:pt>
                <c:pt idx="192">
                  <c:v>Pitcairn Islands</c:v>
                </c:pt>
                <c:pt idx="193">
                  <c:v>Poland</c:v>
                </c:pt>
                <c:pt idx="194">
                  <c:v>Portugal</c:v>
                </c:pt>
                <c:pt idx="195">
                  <c:v>Puerto Rico</c:v>
                </c:pt>
                <c:pt idx="196">
                  <c:v>Qatar</c:v>
                </c:pt>
                <c:pt idx="197">
                  <c:v>Reunion</c:v>
                </c:pt>
                <c:pt idx="198">
                  <c:v>Romania</c:v>
                </c:pt>
                <c:pt idx="199">
                  <c:v>Russia</c:v>
                </c:pt>
                <c:pt idx="200">
                  <c:v>Rwanda</c:v>
                </c:pt>
                <c:pt idx="201">
                  <c:v>Saint Helena</c:v>
                </c:pt>
                <c:pt idx="202">
                  <c:v>Saint Kitts and Nevis</c:v>
                </c:pt>
                <c:pt idx="203">
                  <c:v>Saint Lucia</c:v>
                </c:pt>
                <c:pt idx="204">
                  <c:v>Saint Pierre and Miquelon</c:v>
                </c:pt>
                <c:pt idx="205">
                  <c:v>Saint Vincent and the Grenadines</c:v>
                </c:pt>
                <c:pt idx="206">
                  <c:v>Samoa</c:v>
                </c:pt>
                <c:pt idx="207">
                  <c:v>San Marino</c:v>
                </c:pt>
                <c:pt idx="208">
                  <c:v>Sao Tome and Principe</c:v>
                </c:pt>
                <c:pt idx="209">
                  <c:v>Saudi Arabia</c:v>
                </c:pt>
                <c:pt idx="210">
                  <c:v>Senegal</c:v>
                </c:pt>
                <c:pt idx="211">
                  <c:v>Serbia and Montenegro</c:v>
                </c:pt>
                <c:pt idx="212">
                  <c:v>Seychelles</c:v>
                </c:pt>
                <c:pt idx="213">
                  <c:v>Sierra Leone</c:v>
                </c:pt>
                <c:pt idx="214">
                  <c:v>Singapore</c:v>
                </c:pt>
                <c:pt idx="215">
                  <c:v>Slovakia</c:v>
                </c:pt>
                <c:pt idx="216">
                  <c:v>Slovenia</c:v>
                </c:pt>
                <c:pt idx="217">
                  <c:v>Solomon Islands</c:v>
                </c:pt>
                <c:pt idx="218">
                  <c:v>Somalia</c:v>
                </c:pt>
                <c:pt idx="219">
                  <c:v>South Africa</c:v>
                </c:pt>
                <c:pt idx="220">
                  <c:v>South Georgia and the South Sandwich Islands</c:v>
                </c:pt>
                <c:pt idx="221">
                  <c:v>Spain</c:v>
                </c:pt>
                <c:pt idx="222">
                  <c:v>Spratly Islands</c:v>
                </c:pt>
                <c:pt idx="223">
                  <c:v>Sri Lanka</c:v>
                </c:pt>
                <c:pt idx="224">
                  <c:v>Sudan</c:v>
                </c:pt>
                <c:pt idx="225">
                  <c:v>Suriname</c:v>
                </c:pt>
                <c:pt idx="226">
                  <c:v>Svalbard</c:v>
                </c:pt>
                <c:pt idx="227">
                  <c:v>Swaziland</c:v>
                </c:pt>
                <c:pt idx="228">
                  <c:v>Sweden</c:v>
                </c:pt>
                <c:pt idx="229">
                  <c:v>Switzerland</c:v>
                </c:pt>
                <c:pt idx="230">
                  <c:v>Syria</c:v>
                </c:pt>
                <c:pt idx="231">
                  <c:v>Taiwan</c:v>
                </c:pt>
                <c:pt idx="232">
                  <c:v>Tajikistan</c:v>
                </c:pt>
                <c:pt idx="233">
                  <c:v>Tanzania</c:v>
                </c:pt>
                <c:pt idx="234">
                  <c:v>Thailand</c:v>
                </c:pt>
                <c:pt idx="235">
                  <c:v>Togo</c:v>
                </c:pt>
                <c:pt idx="236">
                  <c:v>Tokelau</c:v>
                </c:pt>
                <c:pt idx="237">
                  <c:v>Tonga</c:v>
                </c:pt>
                <c:pt idx="238">
                  <c:v>Trinidad and Tobago</c:v>
                </c:pt>
                <c:pt idx="239">
                  <c:v>Tromelin Island</c:v>
                </c:pt>
                <c:pt idx="240">
                  <c:v>Tunisia</c:v>
                </c:pt>
                <c:pt idx="241">
                  <c:v>Turkey</c:v>
                </c:pt>
                <c:pt idx="242">
                  <c:v>Turkmenistan</c:v>
                </c:pt>
                <c:pt idx="243">
                  <c:v>Turks and Caicos Islands</c:v>
                </c:pt>
                <c:pt idx="244">
                  <c:v>Tuvalu</c:v>
                </c:pt>
                <c:pt idx="245">
                  <c:v>Uganda</c:v>
                </c:pt>
                <c:pt idx="246">
                  <c:v>Ukraine</c:v>
                </c:pt>
                <c:pt idx="247">
                  <c:v>United Arab Emirates</c:v>
                </c:pt>
                <c:pt idx="248">
                  <c:v>United Kingdom</c:v>
                </c:pt>
                <c:pt idx="249">
                  <c:v>United States</c:v>
                </c:pt>
                <c:pt idx="250">
                  <c:v>Uruguay</c:v>
                </c:pt>
                <c:pt idx="251">
                  <c:v>Uzbekistan</c:v>
                </c:pt>
                <c:pt idx="252">
                  <c:v>Vanuatu</c:v>
                </c:pt>
                <c:pt idx="253">
                  <c:v>Venezuela</c:v>
                </c:pt>
                <c:pt idx="254">
                  <c:v>Vietnam</c:v>
                </c:pt>
                <c:pt idx="255">
                  <c:v>Virgin Islands</c:v>
                </c:pt>
                <c:pt idx="256">
                  <c:v>Wake Island</c:v>
                </c:pt>
                <c:pt idx="257">
                  <c:v>Wallis and Futuna</c:v>
                </c:pt>
                <c:pt idx="258">
                  <c:v>West Bank</c:v>
                </c:pt>
                <c:pt idx="259">
                  <c:v>Western Sahara</c:v>
                </c:pt>
                <c:pt idx="260">
                  <c:v>Yemen</c:v>
                </c:pt>
                <c:pt idx="261">
                  <c:v>Zambia</c:v>
                </c:pt>
                <c:pt idx="262">
                  <c:v>Zimbabwe</c:v>
                </c:pt>
              </c:strCache>
            </c:strRef>
          </c:cat>
          <c:val>
            <c:numRef>
              <c:f>'Analysis and visual 2'!$C$2:$C$265</c:f>
              <c:numCache>
                <c:formatCode>"$"#,##0</c:formatCode>
                <c:ptCount val="263"/>
                <c:pt idx="0">
                  <c:v>26900</c:v>
                </c:pt>
                <c:pt idx="1">
                  <c:v>800</c:v>
                </c:pt>
                <c:pt idx="3">
                  <c:v>4900</c:v>
                </c:pt>
                <c:pt idx="4">
                  <c:v>6600</c:v>
                </c:pt>
                <c:pt idx="5">
                  <c:v>8000</c:v>
                </c:pt>
                <c:pt idx="6">
                  <c:v>26800</c:v>
                </c:pt>
                <c:pt idx="7">
                  <c:v>2100</c:v>
                </c:pt>
                <c:pt idx="8">
                  <c:v>7500</c:v>
                </c:pt>
                <c:pt idx="10">
                  <c:v>11000</c:v>
                </c:pt>
                <c:pt idx="11">
                  <c:v>12400</c:v>
                </c:pt>
                <c:pt idx="12">
                  <c:v>4600</c:v>
                </c:pt>
                <c:pt idx="13">
                  <c:v>28000</c:v>
                </c:pt>
                <c:pt idx="15">
                  <c:v>30700</c:v>
                </c:pt>
                <c:pt idx="16">
                  <c:v>31300</c:v>
                </c:pt>
                <c:pt idx="17">
                  <c:v>3800</c:v>
                </c:pt>
                <c:pt idx="18">
                  <c:v>17700</c:v>
                </c:pt>
                <c:pt idx="19">
                  <c:v>19200</c:v>
                </c:pt>
                <c:pt idx="21">
                  <c:v>2000</c:v>
                </c:pt>
                <c:pt idx="22">
                  <c:v>16400</c:v>
                </c:pt>
                <c:pt idx="24">
                  <c:v>6800</c:v>
                </c:pt>
                <c:pt idx="25">
                  <c:v>30600</c:v>
                </c:pt>
                <c:pt idx="26">
                  <c:v>6500</c:v>
                </c:pt>
                <c:pt idx="27">
                  <c:v>1200</c:v>
                </c:pt>
                <c:pt idx="28">
                  <c:v>36000</c:v>
                </c:pt>
                <c:pt idx="29">
                  <c:v>1400</c:v>
                </c:pt>
                <c:pt idx="30">
                  <c:v>2600</c:v>
                </c:pt>
                <c:pt idx="31">
                  <c:v>6500</c:v>
                </c:pt>
                <c:pt idx="32">
                  <c:v>9200</c:v>
                </c:pt>
                <c:pt idx="34">
                  <c:v>8100</c:v>
                </c:pt>
                <c:pt idx="36">
                  <c:v>38500</c:v>
                </c:pt>
                <c:pt idx="37">
                  <c:v>23600</c:v>
                </c:pt>
                <c:pt idx="38">
                  <c:v>8200</c:v>
                </c:pt>
                <c:pt idx="39">
                  <c:v>1200</c:v>
                </c:pt>
                <c:pt idx="40">
                  <c:v>1700</c:v>
                </c:pt>
                <c:pt idx="41">
                  <c:v>600</c:v>
                </c:pt>
                <c:pt idx="42">
                  <c:v>2000</c:v>
                </c:pt>
                <c:pt idx="43">
                  <c:v>1900</c:v>
                </c:pt>
                <c:pt idx="44">
                  <c:v>31500</c:v>
                </c:pt>
                <c:pt idx="45">
                  <c:v>1400</c:v>
                </c:pt>
                <c:pt idx="46">
                  <c:v>32300</c:v>
                </c:pt>
                <c:pt idx="47">
                  <c:v>1100</c:v>
                </c:pt>
                <c:pt idx="48">
                  <c:v>1600</c:v>
                </c:pt>
                <c:pt idx="49">
                  <c:v>10700</c:v>
                </c:pt>
                <c:pt idx="50">
                  <c:v>5600</c:v>
                </c:pt>
                <c:pt idx="54">
                  <c:v>6600</c:v>
                </c:pt>
                <c:pt idx="55">
                  <c:v>700</c:v>
                </c:pt>
                <c:pt idx="56">
                  <c:v>700</c:v>
                </c:pt>
                <c:pt idx="57">
                  <c:v>800</c:v>
                </c:pt>
                <c:pt idx="58">
                  <c:v>5000</c:v>
                </c:pt>
                <c:pt idx="59">
                  <c:v>9600</c:v>
                </c:pt>
                <c:pt idx="60">
                  <c:v>1500</c:v>
                </c:pt>
                <c:pt idx="61">
                  <c:v>11200</c:v>
                </c:pt>
                <c:pt idx="62">
                  <c:v>3000</c:v>
                </c:pt>
                <c:pt idx="63">
                  <c:v>7135</c:v>
                </c:pt>
                <c:pt idx="64">
                  <c:v>16800</c:v>
                </c:pt>
                <c:pt idx="65">
                  <c:v>32200</c:v>
                </c:pt>
                <c:pt idx="67">
                  <c:v>1300</c:v>
                </c:pt>
                <c:pt idx="68">
                  <c:v>5500</c:v>
                </c:pt>
                <c:pt idx="69">
                  <c:v>6300</c:v>
                </c:pt>
                <c:pt idx="70">
                  <c:v>400</c:v>
                </c:pt>
                <c:pt idx="71">
                  <c:v>3700</c:v>
                </c:pt>
                <c:pt idx="72">
                  <c:v>4200</c:v>
                </c:pt>
                <c:pt idx="73">
                  <c:v>4900</c:v>
                </c:pt>
                <c:pt idx="74">
                  <c:v>2700</c:v>
                </c:pt>
                <c:pt idx="75">
                  <c:v>900</c:v>
                </c:pt>
                <c:pt idx="76">
                  <c:v>14300</c:v>
                </c:pt>
                <c:pt idx="77">
                  <c:v>800</c:v>
                </c:pt>
                <c:pt idx="79">
                  <c:v>25000</c:v>
                </c:pt>
                <c:pt idx="80">
                  <c:v>22000</c:v>
                </c:pt>
                <c:pt idx="81">
                  <c:v>5900</c:v>
                </c:pt>
                <c:pt idx="82">
                  <c:v>29000</c:v>
                </c:pt>
                <c:pt idx="83">
                  <c:v>28700</c:v>
                </c:pt>
                <c:pt idx="84">
                  <c:v>8300</c:v>
                </c:pt>
                <c:pt idx="85">
                  <c:v>17500</c:v>
                </c:pt>
                <c:pt idx="87">
                  <c:v>5900</c:v>
                </c:pt>
                <c:pt idx="88">
                  <c:v>1800</c:v>
                </c:pt>
                <c:pt idx="89">
                  <c:v>600</c:v>
                </c:pt>
                <c:pt idx="90">
                  <c:v>3100</c:v>
                </c:pt>
                <c:pt idx="91">
                  <c:v>28700</c:v>
                </c:pt>
                <c:pt idx="92">
                  <c:v>2300</c:v>
                </c:pt>
                <c:pt idx="93">
                  <c:v>27900</c:v>
                </c:pt>
                <c:pt idx="95">
                  <c:v>21300</c:v>
                </c:pt>
                <c:pt idx="96">
                  <c:v>20000</c:v>
                </c:pt>
                <c:pt idx="97">
                  <c:v>5000</c:v>
                </c:pt>
                <c:pt idx="98">
                  <c:v>7900</c:v>
                </c:pt>
                <c:pt idx="99">
                  <c:v>21000</c:v>
                </c:pt>
                <c:pt idx="100">
                  <c:v>4200</c:v>
                </c:pt>
                <c:pt idx="101">
                  <c:v>40000</c:v>
                </c:pt>
                <c:pt idx="102">
                  <c:v>2100</c:v>
                </c:pt>
                <c:pt idx="103">
                  <c:v>700</c:v>
                </c:pt>
                <c:pt idx="104">
                  <c:v>3800</c:v>
                </c:pt>
                <c:pt idx="105">
                  <c:v>1500</c:v>
                </c:pt>
                <c:pt idx="108">
                  <c:v>2800</c:v>
                </c:pt>
                <c:pt idx="109">
                  <c:v>34200</c:v>
                </c:pt>
                <c:pt idx="111">
                  <c:v>14900</c:v>
                </c:pt>
                <c:pt idx="112">
                  <c:v>31900</c:v>
                </c:pt>
                <c:pt idx="113">
                  <c:v>3100</c:v>
                </c:pt>
                <c:pt idx="114">
                  <c:v>3500</c:v>
                </c:pt>
                <c:pt idx="115">
                  <c:v>7700</c:v>
                </c:pt>
                <c:pt idx="116">
                  <c:v>3500</c:v>
                </c:pt>
                <c:pt idx="117">
                  <c:v>31900</c:v>
                </c:pt>
                <c:pt idx="118">
                  <c:v>20800</c:v>
                </c:pt>
                <c:pt idx="119">
                  <c:v>27700</c:v>
                </c:pt>
                <c:pt idx="120">
                  <c:v>4100</c:v>
                </c:pt>
                <c:pt idx="122">
                  <c:v>29400</c:v>
                </c:pt>
                <c:pt idx="124">
                  <c:v>40000</c:v>
                </c:pt>
                <c:pt idx="126">
                  <c:v>4500</c:v>
                </c:pt>
                <c:pt idx="128">
                  <c:v>7800</c:v>
                </c:pt>
                <c:pt idx="129">
                  <c:v>1100</c:v>
                </c:pt>
                <c:pt idx="131">
                  <c:v>800</c:v>
                </c:pt>
                <c:pt idx="132">
                  <c:v>1400</c:v>
                </c:pt>
                <c:pt idx="133">
                  <c:v>19200</c:v>
                </c:pt>
                <c:pt idx="134">
                  <c:v>21300</c:v>
                </c:pt>
                <c:pt idx="135">
                  <c:v>1700</c:v>
                </c:pt>
                <c:pt idx="136">
                  <c:v>1900</c:v>
                </c:pt>
                <c:pt idx="137">
                  <c:v>11500</c:v>
                </c:pt>
                <c:pt idx="138">
                  <c:v>5000</c:v>
                </c:pt>
                <c:pt idx="139">
                  <c:v>3200</c:v>
                </c:pt>
                <c:pt idx="140">
                  <c:v>900</c:v>
                </c:pt>
                <c:pt idx="141">
                  <c:v>6700</c:v>
                </c:pt>
                <c:pt idx="142">
                  <c:v>25000</c:v>
                </c:pt>
                <c:pt idx="143">
                  <c:v>12500</c:v>
                </c:pt>
                <c:pt idx="144">
                  <c:v>58900</c:v>
                </c:pt>
                <c:pt idx="145">
                  <c:v>19400</c:v>
                </c:pt>
                <c:pt idx="146">
                  <c:v>7100</c:v>
                </c:pt>
                <c:pt idx="147">
                  <c:v>800</c:v>
                </c:pt>
                <c:pt idx="148">
                  <c:v>600</c:v>
                </c:pt>
                <c:pt idx="149">
                  <c:v>9700</c:v>
                </c:pt>
                <c:pt idx="150">
                  <c:v>3900</c:v>
                </c:pt>
                <c:pt idx="151">
                  <c:v>900</c:v>
                </c:pt>
                <c:pt idx="152">
                  <c:v>18200</c:v>
                </c:pt>
                <c:pt idx="153">
                  <c:v>28500</c:v>
                </c:pt>
                <c:pt idx="154">
                  <c:v>1600</c:v>
                </c:pt>
                <c:pt idx="155">
                  <c:v>14400</c:v>
                </c:pt>
                <c:pt idx="156">
                  <c:v>1800</c:v>
                </c:pt>
                <c:pt idx="157">
                  <c:v>12800</c:v>
                </c:pt>
                <c:pt idx="158">
                  <c:v>2600</c:v>
                </c:pt>
                <c:pt idx="159">
                  <c:v>9600</c:v>
                </c:pt>
                <c:pt idx="160">
                  <c:v>2000</c:v>
                </c:pt>
                <c:pt idx="162">
                  <c:v>1900</c:v>
                </c:pt>
                <c:pt idx="163">
                  <c:v>27000</c:v>
                </c:pt>
                <c:pt idx="164">
                  <c:v>1900</c:v>
                </c:pt>
                <c:pt idx="165">
                  <c:v>3400</c:v>
                </c:pt>
                <c:pt idx="166">
                  <c:v>4200</c:v>
                </c:pt>
                <c:pt idx="167">
                  <c:v>1200</c:v>
                </c:pt>
                <c:pt idx="168">
                  <c:v>7300</c:v>
                </c:pt>
                <c:pt idx="169">
                  <c:v>5000</c:v>
                </c:pt>
                <c:pt idx="171">
                  <c:v>1500</c:v>
                </c:pt>
                <c:pt idx="172">
                  <c:v>29500</c:v>
                </c:pt>
                <c:pt idx="173">
                  <c:v>11400</c:v>
                </c:pt>
                <c:pt idx="174">
                  <c:v>15000</c:v>
                </c:pt>
                <c:pt idx="175">
                  <c:v>23200</c:v>
                </c:pt>
                <c:pt idx="176">
                  <c:v>2300</c:v>
                </c:pt>
                <c:pt idx="177">
                  <c:v>900</c:v>
                </c:pt>
                <c:pt idx="178">
                  <c:v>1000</c:v>
                </c:pt>
                <c:pt idx="179">
                  <c:v>3600</c:v>
                </c:pt>
                <c:pt idx="181">
                  <c:v>12500</c:v>
                </c:pt>
                <c:pt idx="182">
                  <c:v>40000</c:v>
                </c:pt>
                <c:pt idx="183">
                  <c:v>13100</c:v>
                </c:pt>
                <c:pt idx="184">
                  <c:v>2200</c:v>
                </c:pt>
                <c:pt idx="185">
                  <c:v>9000</c:v>
                </c:pt>
                <c:pt idx="187">
                  <c:v>6900</c:v>
                </c:pt>
                <c:pt idx="188">
                  <c:v>2200</c:v>
                </c:pt>
                <c:pt idx="189">
                  <c:v>4800</c:v>
                </c:pt>
                <c:pt idx="190">
                  <c:v>5600</c:v>
                </c:pt>
                <c:pt idx="191">
                  <c:v>5000</c:v>
                </c:pt>
                <c:pt idx="193">
                  <c:v>12000</c:v>
                </c:pt>
                <c:pt idx="194">
                  <c:v>17900</c:v>
                </c:pt>
                <c:pt idx="195">
                  <c:v>17700</c:v>
                </c:pt>
                <c:pt idx="196">
                  <c:v>23200</c:v>
                </c:pt>
                <c:pt idx="197">
                  <c:v>6000</c:v>
                </c:pt>
                <c:pt idx="198">
                  <c:v>7700</c:v>
                </c:pt>
                <c:pt idx="199">
                  <c:v>9800</c:v>
                </c:pt>
                <c:pt idx="200">
                  <c:v>1300</c:v>
                </c:pt>
                <c:pt idx="201">
                  <c:v>2500</c:v>
                </c:pt>
                <c:pt idx="202">
                  <c:v>8800</c:v>
                </c:pt>
                <c:pt idx="203">
                  <c:v>5400</c:v>
                </c:pt>
                <c:pt idx="204">
                  <c:v>7000</c:v>
                </c:pt>
                <c:pt idx="205">
                  <c:v>2900</c:v>
                </c:pt>
                <c:pt idx="206">
                  <c:v>5600</c:v>
                </c:pt>
                <c:pt idx="207">
                  <c:v>34600</c:v>
                </c:pt>
                <c:pt idx="208">
                  <c:v>1200</c:v>
                </c:pt>
                <c:pt idx="209">
                  <c:v>12000</c:v>
                </c:pt>
                <c:pt idx="210">
                  <c:v>1700</c:v>
                </c:pt>
                <c:pt idx="211">
                  <c:v>2400</c:v>
                </c:pt>
                <c:pt idx="212">
                  <c:v>7800</c:v>
                </c:pt>
                <c:pt idx="213">
                  <c:v>600</c:v>
                </c:pt>
                <c:pt idx="214">
                  <c:v>27800</c:v>
                </c:pt>
                <c:pt idx="215">
                  <c:v>14500</c:v>
                </c:pt>
                <c:pt idx="216">
                  <c:v>19600</c:v>
                </c:pt>
                <c:pt idx="217">
                  <c:v>1700</c:v>
                </c:pt>
                <c:pt idx="218">
                  <c:v>600</c:v>
                </c:pt>
                <c:pt idx="219">
                  <c:v>11100</c:v>
                </c:pt>
                <c:pt idx="221">
                  <c:v>23300</c:v>
                </c:pt>
                <c:pt idx="223">
                  <c:v>4000</c:v>
                </c:pt>
                <c:pt idx="224">
                  <c:v>1900</c:v>
                </c:pt>
                <c:pt idx="225">
                  <c:v>4300</c:v>
                </c:pt>
                <c:pt idx="227">
                  <c:v>5100</c:v>
                </c:pt>
                <c:pt idx="228">
                  <c:v>28400</c:v>
                </c:pt>
                <c:pt idx="229">
                  <c:v>33800</c:v>
                </c:pt>
                <c:pt idx="230">
                  <c:v>3400</c:v>
                </c:pt>
                <c:pt idx="231">
                  <c:v>25300</c:v>
                </c:pt>
                <c:pt idx="232">
                  <c:v>1100</c:v>
                </c:pt>
                <c:pt idx="233">
                  <c:v>700</c:v>
                </c:pt>
                <c:pt idx="234">
                  <c:v>8100</c:v>
                </c:pt>
                <c:pt idx="235">
                  <c:v>1600</c:v>
                </c:pt>
                <c:pt idx="236">
                  <c:v>1000</c:v>
                </c:pt>
                <c:pt idx="237">
                  <c:v>2300</c:v>
                </c:pt>
                <c:pt idx="238">
                  <c:v>10500</c:v>
                </c:pt>
                <c:pt idx="240">
                  <c:v>7100</c:v>
                </c:pt>
                <c:pt idx="241">
                  <c:v>7400</c:v>
                </c:pt>
                <c:pt idx="242">
                  <c:v>5700</c:v>
                </c:pt>
                <c:pt idx="243">
                  <c:v>11500</c:v>
                </c:pt>
                <c:pt idx="244">
                  <c:v>1100</c:v>
                </c:pt>
                <c:pt idx="245">
                  <c:v>1500</c:v>
                </c:pt>
                <c:pt idx="246">
                  <c:v>6300</c:v>
                </c:pt>
                <c:pt idx="247">
                  <c:v>25200</c:v>
                </c:pt>
                <c:pt idx="248">
                  <c:v>29600</c:v>
                </c:pt>
                <c:pt idx="249">
                  <c:v>40100</c:v>
                </c:pt>
                <c:pt idx="250">
                  <c:v>14500</c:v>
                </c:pt>
                <c:pt idx="251">
                  <c:v>1800</c:v>
                </c:pt>
                <c:pt idx="252">
                  <c:v>2900</c:v>
                </c:pt>
                <c:pt idx="253">
                  <c:v>5800</c:v>
                </c:pt>
                <c:pt idx="254">
                  <c:v>2700</c:v>
                </c:pt>
                <c:pt idx="255">
                  <c:v>17200</c:v>
                </c:pt>
                <c:pt idx="257">
                  <c:v>3800</c:v>
                </c:pt>
                <c:pt idx="258">
                  <c:v>800</c:v>
                </c:pt>
                <c:pt idx="260">
                  <c:v>800</c:v>
                </c:pt>
                <c:pt idx="261">
                  <c:v>900</c:v>
                </c:pt>
                <c:pt idx="262">
                  <c:v>1900</c:v>
                </c:pt>
              </c:numCache>
            </c:numRef>
          </c:val>
          <c:extLst>
            <c:ext xmlns:c16="http://schemas.microsoft.com/office/drawing/2014/chart" uri="{C3380CC4-5D6E-409C-BE32-E72D297353CC}">
              <c16:uniqueId val="{00000001-5C46-4913-86A5-2EE4B0AC315A}"/>
            </c:ext>
          </c:extLst>
        </c:ser>
        <c:ser>
          <c:idx val="2"/>
          <c:order val="2"/>
          <c:tx>
            <c:strRef>
              <c:f>'Analysis and visual 2'!$D$1</c:f>
              <c:strCache>
                <c:ptCount val="1"/>
                <c:pt idx="0">
                  <c:v>Sum of GDP</c:v>
                </c:pt>
              </c:strCache>
            </c:strRef>
          </c:tx>
          <c:spPr>
            <a:solidFill>
              <a:schemeClr val="accent3"/>
            </a:solidFill>
            <a:ln>
              <a:solidFill>
                <a:srgbClr val="00B0F0"/>
              </a:solidFill>
            </a:ln>
            <a:effectLst/>
          </c:spPr>
          <c:invertIfNegative val="0"/>
          <c:cat>
            <c:strRef>
              <c:f>'Analysis and visual 2'!$A$2:$A$265</c:f>
              <c:strCache>
                <c:ptCount val="263"/>
                <c:pt idx="0">
                  <c:v>#European Union</c:v>
                </c:pt>
                <c:pt idx="1">
                  <c:v>Afghanistan</c:v>
                </c:pt>
                <c:pt idx="2">
                  <c:v>Akrotiri</c:v>
                </c:pt>
                <c:pt idx="3">
                  <c:v>Albania</c:v>
                </c:pt>
                <c:pt idx="4">
                  <c:v>Algeria</c:v>
                </c:pt>
                <c:pt idx="5">
                  <c:v>American Samoa</c:v>
                </c:pt>
                <c:pt idx="6">
                  <c:v>Andorra</c:v>
                </c:pt>
                <c:pt idx="7">
                  <c:v>Angola</c:v>
                </c:pt>
                <c:pt idx="8">
                  <c:v>Anguilla</c:v>
                </c:pt>
                <c:pt idx="9">
                  <c:v>Antarctica</c:v>
                </c:pt>
                <c:pt idx="10">
                  <c:v>Antigua and Barbuda</c:v>
                </c:pt>
                <c:pt idx="11">
                  <c:v>Argentina</c:v>
                </c:pt>
                <c:pt idx="12">
                  <c:v>Armenia</c:v>
                </c:pt>
                <c:pt idx="13">
                  <c:v>Aruba</c:v>
                </c:pt>
                <c:pt idx="14">
                  <c:v>Ashmore and Cartier Islands</c:v>
                </c:pt>
                <c:pt idx="15">
                  <c:v>Australia</c:v>
                </c:pt>
                <c:pt idx="16">
                  <c:v>Austria</c:v>
                </c:pt>
                <c:pt idx="17">
                  <c:v>Azerbaijan</c:v>
                </c:pt>
                <c:pt idx="18">
                  <c:v>Bahamas The</c:v>
                </c:pt>
                <c:pt idx="19">
                  <c:v>Bahrain</c:v>
                </c:pt>
                <c:pt idx="20">
                  <c:v>Baker Island</c:v>
                </c:pt>
                <c:pt idx="21">
                  <c:v>Bangladesh</c:v>
                </c:pt>
                <c:pt idx="22">
                  <c:v>Barbados</c:v>
                </c:pt>
                <c:pt idx="23">
                  <c:v>Bassas da India</c:v>
                </c:pt>
                <c:pt idx="24">
                  <c:v>Belarus</c:v>
                </c:pt>
                <c:pt idx="25">
                  <c:v>Belgium</c:v>
                </c:pt>
                <c:pt idx="26">
                  <c:v>Belize</c:v>
                </c:pt>
                <c:pt idx="27">
                  <c:v>Benin</c:v>
                </c:pt>
                <c:pt idx="28">
                  <c:v>Bermuda</c:v>
                </c:pt>
                <c:pt idx="29">
                  <c:v>Bhutan</c:v>
                </c:pt>
                <c:pt idx="30">
                  <c:v>Bolivia</c:v>
                </c:pt>
                <c:pt idx="31">
                  <c:v>Bosnia and Herzegovina</c:v>
                </c:pt>
                <c:pt idx="32">
                  <c:v>Botswana</c:v>
                </c:pt>
                <c:pt idx="33">
                  <c:v>Bouvet Island</c:v>
                </c:pt>
                <c:pt idx="34">
                  <c:v>Brazil</c:v>
                </c:pt>
                <c:pt idx="35">
                  <c:v>British Indian Ocean Territory</c:v>
                </c:pt>
                <c:pt idx="36">
                  <c:v>British Virgin Islands</c:v>
                </c:pt>
                <c:pt idx="37">
                  <c:v>Brunei</c:v>
                </c:pt>
                <c:pt idx="38">
                  <c:v>Bulgaria</c:v>
                </c:pt>
                <c:pt idx="39">
                  <c:v>Burkina Faso</c:v>
                </c:pt>
                <c:pt idx="40">
                  <c:v>Burma</c:v>
                </c:pt>
                <c:pt idx="41">
                  <c:v>Burundi</c:v>
                </c:pt>
                <c:pt idx="42">
                  <c:v>Cambodia</c:v>
                </c:pt>
                <c:pt idx="43">
                  <c:v>Cameroon</c:v>
                </c:pt>
                <c:pt idx="44">
                  <c:v>Canada</c:v>
                </c:pt>
                <c:pt idx="45">
                  <c:v>Cape Verde</c:v>
                </c:pt>
                <c:pt idx="46">
                  <c:v>Cayman Islands</c:v>
                </c:pt>
                <c:pt idx="47">
                  <c:v>Central African Republic</c:v>
                </c:pt>
                <c:pt idx="48">
                  <c:v>Chad</c:v>
                </c:pt>
                <c:pt idx="49">
                  <c:v>Chile</c:v>
                </c:pt>
                <c:pt idx="50">
                  <c:v>China</c:v>
                </c:pt>
                <c:pt idx="51">
                  <c:v>Christmas Island</c:v>
                </c:pt>
                <c:pt idx="52">
                  <c:v>Clipperton Island</c:v>
                </c:pt>
                <c:pt idx="53">
                  <c:v>Cocos (Keeling) Islands</c:v>
                </c:pt>
                <c:pt idx="54">
                  <c:v>Colombia</c:v>
                </c:pt>
                <c:pt idx="55">
                  <c:v>Comoros</c:v>
                </c:pt>
                <c:pt idx="56">
                  <c:v>Congo Democratic Republic of the</c:v>
                </c:pt>
                <c:pt idx="57">
                  <c:v>Congo Republic of the</c:v>
                </c:pt>
                <c:pt idx="58">
                  <c:v>Cook Islands</c:v>
                </c:pt>
                <c:pt idx="59">
                  <c:v>Costa Rica</c:v>
                </c:pt>
                <c:pt idx="60">
                  <c:v>Cote d'Ivoire</c:v>
                </c:pt>
                <c:pt idx="61">
                  <c:v>Croatia</c:v>
                </c:pt>
                <c:pt idx="62">
                  <c:v>Cuba</c:v>
                </c:pt>
                <c:pt idx="63">
                  <c:v>Cyprus</c:v>
                </c:pt>
                <c:pt idx="64">
                  <c:v>Czech Republic</c:v>
                </c:pt>
                <c:pt idx="65">
                  <c:v>Denmark</c:v>
                </c:pt>
                <c:pt idx="66">
                  <c:v>Dhekelia</c:v>
                </c:pt>
                <c:pt idx="67">
                  <c:v>Djibouti</c:v>
                </c:pt>
                <c:pt idx="68">
                  <c:v>Dominica</c:v>
                </c:pt>
                <c:pt idx="69">
                  <c:v>Dominican Republic</c:v>
                </c:pt>
                <c:pt idx="70">
                  <c:v>East Timor</c:v>
                </c:pt>
                <c:pt idx="71">
                  <c:v>Ecuador</c:v>
                </c:pt>
                <c:pt idx="72">
                  <c:v>Egypt</c:v>
                </c:pt>
                <c:pt idx="73">
                  <c:v>El Salvador</c:v>
                </c:pt>
                <c:pt idx="74">
                  <c:v>Equatorial Guinea</c:v>
                </c:pt>
                <c:pt idx="75">
                  <c:v>Eritrea</c:v>
                </c:pt>
                <c:pt idx="76">
                  <c:v>Estonia</c:v>
                </c:pt>
                <c:pt idx="77">
                  <c:v>Ethiopia</c:v>
                </c:pt>
                <c:pt idx="78">
                  <c:v>Europa Island</c:v>
                </c:pt>
                <c:pt idx="79">
                  <c:v>Falkland Islands (Islas Malvinas)</c:v>
                </c:pt>
                <c:pt idx="80">
                  <c:v>Faroe Islands</c:v>
                </c:pt>
                <c:pt idx="81">
                  <c:v>Fiji</c:v>
                </c:pt>
                <c:pt idx="82">
                  <c:v>Finland</c:v>
                </c:pt>
                <c:pt idx="83">
                  <c:v>France</c:v>
                </c:pt>
                <c:pt idx="84">
                  <c:v>French Guiana</c:v>
                </c:pt>
                <c:pt idx="85">
                  <c:v>French Polynesia</c:v>
                </c:pt>
                <c:pt idx="86">
                  <c:v>French Southern and Antarctic Lands</c:v>
                </c:pt>
                <c:pt idx="87">
                  <c:v>Gabon</c:v>
                </c:pt>
                <c:pt idx="88">
                  <c:v>Gambia The</c:v>
                </c:pt>
                <c:pt idx="89">
                  <c:v>Gaza Strip</c:v>
                </c:pt>
                <c:pt idx="90">
                  <c:v>Georgia</c:v>
                </c:pt>
                <c:pt idx="91">
                  <c:v>Germany</c:v>
                </c:pt>
                <c:pt idx="92">
                  <c:v>Ghana</c:v>
                </c:pt>
                <c:pt idx="93">
                  <c:v>Gibraltar</c:v>
                </c:pt>
                <c:pt idx="94">
                  <c:v>Glorioso Islands</c:v>
                </c:pt>
                <c:pt idx="95">
                  <c:v>Greece</c:v>
                </c:pt>
                <c:pt idx="96">
                  <c:v>Greenland</c:v>
                </c:pt>
                <c:pt idx="97">
                  <c:v>Grenada</c:v>
                </c:pt>
                <c:pt idx="98">
                  <c:v>Guadeloupe</c:v>
                </c:pt>
                <c:pt idx="99">
                  <c:v>Guam</c:v>
                </c:pt>
                <c:pt idx="100">
                  <c:v>Guatemala</c:v>
                </c:pt>
                <c:pt idx="101">
                  <c:v>Guernsey</c:v>
                </c:pt>
                <c:pt idx="102">
                  <c:v>Guinea</c:v>
                </c:pt>
                <c:pt idx="103">
                  <c:v>Guinea-Bissau</c:v>
                </c:pt>
                <c:pt idx="104">
                  <c:v>Guyana</c:v>
                </c:pt>
                <c:pt idx="105">
                  <c:v>Haiti</c:v>
                </c:pt>
                <c:pt idx="106">
                  <c:v>Heard Island and McDonald Islands</c:v>
                </c:pt>
                <c:pt idx="107">
                  <c:v>Holy See (Vatican City)</c:v>
                </c:pt>
                <c:pt idx="108">
                  <c:v>Honduras</c:v>
                </c:pt>
                <c:pt idx="109">
                  <c:v>Hong Kong</c:v>
                </c:pt>
                <c:pt idx="110">
                  <c:v>Howland Island</c:v>
                </c:pt>
                <c:pt idx="111">
                  <c:v>Hungary</c:v>
                </c:pt>
                <c:pt idx="112">
                  <c:v>Iceland</c:v>
                </c:pt>
                <c:pt idx="113">
                  <c:v>India</c:v>
                </c:pt>
                <c:pt idx="114">
                  <c:v>Indonesia</c:v>
                </c:pt>
                <c:pt idx="115">
                  <c:v>Iran</c:v>
                </c:pt>
                <c:pt idx="116">
                  <c:v>Iraq</c:v>
                </c:pt>
                <c:pt idx="117">
                  <c:v>Ireland</c:v>
                </c:pt>
                <c:pt idx="118">
                  <c:v>Israel</c:v>
                </c:pt>
                <c:pt idx="119">
                  <c:v>Italy</c:v>
                </c:pt>
                <c:pt idx="120">
                  <c:v>Jamaica</c:v>
                </c:pt>
                <c:pt idx="121">
                  <c:v>Jan Mayen</c:v>
                </c:pt>
                <c:pt idx="122">
                  <c:v>Japan</c:v>
                </c:pt>
                <c:pt idx="123">
                  <c:v>Jarvis Island</c:v>
                </c:pt>
                <c:pt idx="124">
                  <c:v>Jersey</c:v>
                </c:pt>
                <c:pt idx="125">
                  <c:v>Johnston Atoll</c:v>
                </c:pt>
                <c:pt idx="126">
                  <c:v>Jordan</c:v>
                </c:pt>
                <c:pt idx="127">
                  <c:v>Juan de Nova Island</c:v>
                </c:pt>
                <c:pt idx="128">
                  <c:v>Kazakhstan</c:v>
                </c:pt>
                <c:pt idx="129">
                  <c:v>Kenya</c:v>
                </c:pt>
                <c:pt idx="130">
                  <c:v>Kingman Reef</c:v>
                </c:pt>
                <c:pt idx="131">
                  <c:v>Kiribati</c:v>
                </c:pt>
                <c:pt idx="132">
                  <c:v>Korea North</c:v>
                </c:pt>
                <c:pt idx="133">
                  <c:v>Korea South</c:v>
                </c:pt>
                <c:pt idx="134">
                  <c:v>Kuwait</c:v>
                </c:pt>
                <c:pt idx="135">
                  <c:v>Kyrgyzstan</c:v>
                </c:pt>
                <c:pt idx="136">
                  <c:v>Laos</c:v>
                </c:pt>
                <c:pt idx="137">
                  <c:v>Latvia</c:v>
                </c:pt>
                <c:pt idx="138">
                  <c:v>Lebanon</c:v>
                </c:pt>
                <c:pt idx="139">
                  <c:v>Lesotho</c:v>
                </c:pt>
                <c:pt idx="140">
                  <c:v>Liberia</c:v>
                </c:pt>
                <c:pt idx="141">
                  <c:v>Libya</c:v>
                </c:pt>
                <c:pt idx="142">
                  <c:v>Liechtenstein</c:v>
                </c:pt>
                <c:pt idx="143">
                  <c:v>Lithuania</c:v>
                </c:pt>
                <c:pt idx="144">
                  <c:v>Luxembourg</c:v>
                </c:pt>
                <c:pt idx="145">
                  <c:v>Macau</c:v>
                </c:pt>
                <c:pt idx="146">
                  <c:v>Macedonia</c:v>
                </c:pt>
                <c:pt idx="147">
                  <c:v>Madagascar</c:v>
                </c:pt>
                <c:pt idx="148">
                  <c:v>Malawi</c:v>
                </c:pt>
                <c:pt idx="149">
                  <c:v>Malaysia</c:v>
                </c:pt>
                <c:pt idx="150">
                  <c:v>Maldives</c:v>
                </c:pt>
                <c:pt idx="151">
                  <c:v>Mali</c:v>
                </c:pt>
                <c:pt idx="152">
                  <c:v>Malta</c:v>
                </c:pt>
                <c:pt idx="153">
                  <c:v>Man Isle of</c:v>
                </c:pt>
                <c:pt idx="154">
                  <c:v>Marshall Islands</c:v>
                </c:pt>
                <c:pt idx="155">
                  <c:v>Martinique</c:v>
                </c:pt>
                <c:pt idx="156">
                  <c:v>Mauritania</c:v>
                </c:pt>
                <c:pt idx="157">
                  <c:v>Mauritius</c:v>
                </c:pt>
                <c:pt idx="158">
                  <c:v>Mayotte</c:v>
                </c:pt>
                <c:pt idx="159">
                  <c:v>Mexico</c:v>
                </c:pt>
                <c:pt idx="160">
                  <c:v>Micronesia Federated States of</c:v>
                </c:pt>
                <c:pt idx="161">
                  <c:v>Midway Islands</c:v>
                </c:pt>
                <c:pt idx="162">
                  <c:v>Moldova</c:v>
                </c:pt>
                <c:pt idx="163">
                  <c:v>Monaco</c:v>
                </c:pt>
                <c:pt idx="164">
                  <c:v>Mongolia</c:v>
                </c:pt>
                <c:pt idx="165">
                  <c:v>Montserrat</c:v>
                </c:pt>
                <c:pt idx="166">
                  <c:v>Morocco</c:v>
                </c:pt>
                <c:pt idx="167">
                  <c:v>Mozambique</c:v>
                </c:pt>
                <c:pt idx="168">
                  <c:v>Namibia</c:v>
                </c:pt>
                <c:pt idx="169">
                  <c:v>Nauru</c:v>
                </c:pt>
                <c:pt idx="170">
                  <c:v>Navassa Island</c:v>
                </c:pt>
                <c:pt idx="171">
                  <c:v>Nepal</c:v>
                </c:pt>
                <c:pt idx="172">
                  <c:v>Netherlands</c:v>
                </c:pt>
                <c:pt idx="173">
                  <c:v>Netherlands Antilles</c:v>
                </c:pt>
                <c:pt idx="174">
                  <c:v>New Caledonia</c:v>
                </c:pt>
                <c:pt idx="175">
                  <c:v>New Zealand</c:v>
                </c:pt>
                <c:pt idx="176">
                  <c:v>Nicaragua</c:v>
                </c:pt>
                <c:pt idx="177">
                  <c:v>Niger</c:v>
                </c:pt>
                <c:pt idx="178">
                  <c:v>Nigeria</c:v>
                </c:pt>
                <c:pt idx="179">
                  <c:v>Niue</c:v>
                </c:pt>
                <c:pt idx="180">
                  <c:v>Norfolk Island</c:v>
                </c:pt>
                <c:pt idx="181">
                  <c:v>Northern Mariana Islands</c:v>
                </c:pt>
                <c:pt idx="182">
                  <c:v>Norway</c:v>
                </c:pt>
                <c:pt idx="183">
                  <c:v>Oman</c:v>
                </c:pt>
                <c:pt idx="184">
                  <c:v>Pakistan</c:v>
                </c:pt>
                <c:pt idx="185">
                  <c:v>Palau</c:v>
                </c:pt>
                <c:pt idx="186">
                  <c:v>Palmyra Atoll</c:v>
                </c:pt>
                <c:pt idx="187">
                  <c:v>Panama</c:v>
                </c:pt>
                <c:pt idx="188">
                  <c:v>Papua New Guinea</c:v>
                </c:pt>
                <c:pt idx="189">
                  <c:v>Paraguay</c:v>
                </c:pt>
                <c:pt idx="190">
                  <c:v>Peru</c:v>
                </c:pt>
                <c:pt idx="191">
                  <c:v>Philippines</c:v>
                </c:pt>
                <c:pt idx="192">
                  <c:v>Pitcairn Islands</c:v>
                </c:pt>
                <c:pt idx="193">
                  <c:v>Poland</c:v>
                </c:pt>
                <c:pt idx="194">
                  <c:v>Portugal</c:v>
                </c:pt>
                <c:pt idx="195">
                  <c:v>Puerto Rico</c:v>
                </c:pt>
                <c:pt idx="196">
                  <c:v>Qatar</c:v>
                </c:pt>
                <c:pt idx="197">
                  <c:v>Reunion</c:v>
                </c:pt>
                <c:pt idx="198">
                  <c:v>Romania</c:v>
                </c:pt>
                <c:pt idx="199">
                  <c:v>Russia</c:v>
                </c:pt>
                <c:pt idx="200">
                  <c:v>Rwanda</c:v>
                </c:pt>
                <c:pt idx="201">
                  <c:v>Saint Helena</c:v>
                </c:pt>
                <c:pt idx="202">
                  <c:v>Saint Kitts and Nevis</c:v>
                </c:pt>
                <c:pt idx="203">
                  <c:v>Saint Lucia</c:v>
                </c:pt>
                <c:pt idx="204">
                  <c:v>Saint Pierre and Miquelon</c:v>
                </c:pt>
                <c:pt idx="205">
                  <c:v>Saint Vincent and the Grenadines</c:v>
                </c:pt>
                <c:pt idx="206">
                  <c:v>Samoa</c:v>
                </c:pt>
                <c:pt idx="207">
                  <c:v>San Marino</c:v>
                </c:pt>
                <c:pt idx="208">
                  <c:v>Sao Tome and Principe</c:v>
                </c:pt>
                <c:pt idx="209">
                  <c:v>Saudi Arabia</c:v>
                </c:pt>
                <c:pt idx="210">
                  <c:v>Senegal</c:v>
                </c:pt>
                <c:pt idx="211">
                  <c:v>Serbia and Montenegro</c:v>
                </c:pt>
                <c:pt idx="212">
                  <c:v>Seychelles</c:v>
                </c:pt>
                <c:pt idx="213">
                  <c:v>Sierra Leone</c:v>
                </c:pt>
                <c:pt idx="214">
                  <c:v>Singapore</c:v>
                </c:pt>
                <c:pt idx="215">
                  <c:v>Slovakia</c:v>
                </c:pt>
                <c:pt idx="216">
                  <c:v>Slovenia</c:v>
                </c:pt>
                <c:pt idx="217">
                  <c:v>Solomon Islands</c:v>
                </c:pt>
                <c:pt idx="218">
                  <c:v>Somalia</c:v>
                </c:pt>
                <c:pt idx="219">
                  <c:v>South Africa</c:v>
                </c:pt>
                <c:pt idx="220">
                  <c:v>South Georgia and the South Sandwich Islands</c:v>
                </c:pt>
                <c:pt idx="221">
                  <c:v>Spain</c:v>
                </c:pt>
                <c:pt idx="222">
                  <c:v>Spratly Islands</c:v>
                </c:pt>
                <c:pt idx="223">
                  <c:v>Sri Lanka</c:v>
                </c:pt>
                <c:pt idx="224">
                  <c:v>Sudan</c:v>
                </c:pt>
                <c:pt idx="225">
                  <c:v>Suriname</c:v>
                </c:pt>
                <c:pt idx="226">
                  <c:v>Svalbard</c:v>
                </c:pt>
                <c:pt idx="227">
                  <c:v>Swaziland</c:v>
                </c:pt>
                <c:pt idx="228">
                  <c:v>Sweden</c:v>
                </c:pt>
                <c:pt idx="229">
                  <c:v>Switzerland</c:v>
                </c:pt>
                <c:pt idx="230">
                  <c:v>Syria</c:v>
                </c:pt>
                <c:pt idx="231">
                  <c:v>Taiwan</c:v>
                </c:pt>
                <c:pt idx="232">
                  <c:v>Tajikistan</c:v>
                </c:pt>
                <c:pt idx="233">
                  <c:v>Tanzania</c:v>
                </c:pt>
                <c:pt idx="234">
                  <c:v>Thailand</c:v>
                </c:pt>
                <c:pt idx="235">
                  <c:v>Togo</c:v>
                </c:pt>
                <c:pt idx="236">
                  <c:v>Tokelau</c:v>
                </c:pt>
                <c:pt idx="237">
                  <c:v>Tonga</c:v>
                </c:pt>
                <c:pt idx="238">
                  <c:v>Trinidad and Tobago</c:v>
                </c:pt>
                <c:pt idx="239">
                  <c:v>Tromelin Island</c:v>
                </c:pt>
                <c:pt idx="240">
                  <c:v>Tunisia</c:v>
                </c:pt>
                <c:pt idx="241">
                  <c:v>Turkey</c:v>
                </c:pt>
                <c:pt idx="242">
                  <c:v>Turkmenistan</c:v>
                </c:pt>
                <c:pt idx="243">
                  <c:v>Turks and Caicos Islands</c:v>
                </c:pt>
                <c:pt idx="244">
                  <c:v>Tuvalu</c:v>
                </c:pt>
                <c:pt idx="245">
                  <c:v>Uganda</c:v>
                </c:pt>
                <c:pt idx="246">
                  <c:v>Ukraine</c:v>
                </c:pt>
                <c:pt idx="247">
                  <c:v>United Arab Emirates</c:v>
                </c:pt>
                <c:pt idx="248">
                  <c:v>United Kingdom</c:v>
                </c:pt>
                <c:pt idx="249">
                  <c:v>United States</c:v>
                </c:pt>
                <c:pt idx="250">
                  <c:v>Uruguay</c:v>
                </c:pt>
                <c:pt idx="251">
                  <c:v>Uzbekistan</c:v>
                </c:pt>
                <c:pt idx="252">
                  <c:v>Vanuatu</c:v>
                </c:pt>
                <c:pt idx="253">
                  <c:v>Venezuela</c:v>
                </c:pt>
                <c:pt idx="254">
                  <c:v>Vietnam</c:v>
                </c:pt>
                <c:pt idx="255">
                  <c:v>Virgin Islands</c:v>
                </c:pt>
                <c:pt idx="256">
                  <c:v>Wake Island</c:v>
                </c:pt>
                <c:pt idx="257">
                  <c:v>Wallis and Futuna</c:v>
                </c:pt>
                <c:pt idx="258">
                  <c:v>West Bank</c:v>
                </c:pt>
                <c:pt idx="259">
                  <c:v>Western Sahara</c:v>
                </c:pt>
                <c:pt idx="260">
                  <c:v>Yemen</c:v>
                </c:pt>
                <c:pt idx="261">
                  <c:v>Zambia</c:v>
                </c:pt>
                <c:pt idx="262">
                  <c:v>Zimbabwe</c:v>
                </c:pt>
              </c:strCache>
            </c:strRef>
          </c:cat>
          <c:val>
            <c:numRef>
              <c:f>'Analysis and visual 2'!$D$2:$D$265</c:f>
              <c:numCache>
                <c:formatCode>"$"#,##0</c:formatCode>
                <c:ptCount val="263"/>
                <c:pt idx="0">
                  <c:v>11650000000000</c:v>
                </c:pt>
                <c:pt idx="1">
                  <c:v>21500000000</c:v>
                </c:pt>
                <c:pt idx="3">
                  <c:v>17460000000</c:v>
                </c:pt>
                <c:pt idx="4">
                  <c:v>212300000000</c:v>
                </c:pt>
                <c:pt idx="5">
                  <c:v>500000000</c:v>
                </c:pt>
                <c:pt idx="6">
                  <c:v>1900000000</c:v>
                </c:pt>
                <c:pt idx="7">
                  <c:v>23170000000</c:v>
                </c:pt>
                <c:pt idx="8">
                  <c:v>112000000</c:v>
                </c:pt>
                <c:pt idx="10">
                  <c:v>750000000</c:v>
                </c:pt>
                <c:pt idx="11">
                  <c:v>483500000000</c:v>
                </c:pt>
                <c:pt idx="12">
                  <c:v>13650000000</c:v>
                </c:pt>
                <c:pt idx="13">
                  <c:v>1940000000</c:v>
                </c:pt>
                <c:pt idx="15">
                  <c:v>611700000000</c:v>
                </c:pt>
                <c:pt idx="16">
                  <c:v>255900000000</c:v>
                </c:pt>
                <c:pt idx="17">
                  <c:v>30010000000</c:v>
                </c:pt>
                <c:pt idx="18">
                  <c:v>5295000000</c:v>
                </c:pt>
                <c:pt idx="19">
                  <c:v>13010000000</c:v>
                </c:pt>
                <c:pt idx="21">
                  <c:v>275700000000</c:v>
                </c:pt>
                <c:pt idx="22">
                  <c:v>4569000000</c:v>
                </c:pt>
                <c:pt idx="24">
                  <c:v>70500000000</c:v>
                </c:pt>
                <c:pt idx="25">
                  <c:v>316200000000</c:v>
                </c:pt>
                <c:pt idx="26">
                  <c:v>1778000000</c:v>
                </c:pt>
                <c:pt idx="27">
                  <c:v>8338000000</c:v>
                </c:pt>
                <c:pt idx="28">
                  <c:v>2330000000</c:v>
                </c:pt>
                <c:pt idx="29">
                  <c:v>2900000000</c:v>
                </c:pt>
                <c:pt idx="30">
                  <c:v>22330000000</c:v>
                </c:pt>
                <c:pt idx="31">
                  <c:v>26210000000</c:v>
                </c:pt>
                <c:pt idx="32">
                  <c:v>15050000000</c:v>
                </c:pt>
                <c:pt idx="34">
                  <c:v>1492000000000</c:v>
                </c:pt>
                <c:pt idx="36">
                  <c:v>2498000000</c:v>
                </c:pt>
                <c:pt idx="37">
                  <c:v>6842000000</c:v>
                </c:pt>
                <c:pt idx="38">
                  <c:v>61630000000</c:v>
                </c:pt>
                <c:pt idx="39">
                  <c:v>15740000000</c:v>
                </c:pt>
                <c:pt idx="40">
                  <c:v>74300000000</c:v>
                </c:pt>
                <c:pt idx="41">
                  <c:v>4001000000</c:v>
                </c:pt>
                <c:pt idx="42">
                  <c:v>26990000000</c:v>
                </c:pt>
                <c:pt idx="43">
                  <c:v>30170000000</c:v>
                </c:pt>
                <c:pt idx="44">
                  <c:v>1023000000000</c:v>
                </c:pt>
                <c:pt idx="45">
                  <c:v>600000000</c:v>
                </c:pt>
                <c:pt idx="46">
                  <c:v>1391000000</c:v>
                </c:pt>
                <c:pt idx="47">
                  <c:v>4248000000</c:v>
                </c:pt>
                <c:pt idx="48">
                  <c:v>15660000000</c:v>
                </c:pt>
                <c:pt idx="49">
                  <c:v>169100000000</c:v>
                </c:pt>
                <c:pt idx="50">
                  <c:v>7262000000000</c:v>
                </c:pt>
                <c:pt idx="54">
                  <c:v>281100000000</c:v>
                </c:pt>
                <c:pt idx="55">
                  <c:v>441000000</c:v>
                </c:pt>
                <c:pt idx="56">
                  <c:v>42740000000</c:v>
                </c:pt>
                <c:pt idx="57">
                  <c:v>2324000000</c:v>
                </c:pt>
                <c:pt idx="58">
                  <c:v>105000000</c:v>
                </c:pt>
                <c:pt idx="59">
                  <c:v>37970000000</c:v>
                </c:pt>
                <c:pt idx="60">
                  <c:v>24780000000</c:v>
                </c:pt>
                <c:pt idx="61">
                  <c:v>50330000000</c:v>
                </c:pt>
                <c:pt idx="62">
                  <c:v>33920000000</c:v>
                </c:pt>
                <c:pt idx="63">
                  <c:v>4540000000</c:v>
                </c:pt>
                <c:pt idx="64">
                  <c:v>172200000000</c:v>
                </c:pt>
                <c:pt idx="65">
                  <c:v>174400000000</c:v>
                </c:pt>
                <c:pt idx="67">
                  <c:v>619000000</c:v>
                </c:pt>
                <c:pt idx="68">
                  <c:v>384000000</c:v>
                </c:pt>
                <c:pt idx="69">
                  <c:v>55680000000</c:v>
                </c:pt>
                <c:pt idx="70">
                  <c:v>370000000</c:v>
                </c:pt>
                <c:pt idx="71">
                  <c:v>49510000000</c:v>
                </c:pt>
                <c:pt idx="72">
                  <c:v>316300000000</c:v>
                </c:pt>
                <c:pt idx="73">
                  <c:v>32350000000</c:v>
                </c:pt>
                <c:pt idx="74">
                  <c:v>1270000000</c:v>
                </c:pt>
                <c:pt idx="75">
                  <c:v>4154000000</c:v>
                </c:pt>
                <c:pt idx="76">
                  <c:v>19230000000</c:v>
                </c:pt>
                <c:pt idx="77">
                  <c:v>54890000000</c:v>
                </c:pt>
                <c:pt idx="79">
                  <c:v>75000000</c:v>
                </c:pt>
                <c:pt idx="80">
                  <c:v>1000000000</c:v>
                </c:pt>
                <c:pt idx="81">
                  <c:v>5173000000</c:v>
                </c:pt>
                <c:pt idx="82">
                  <c:v>151200000000</c:v>
                </c:pt>
                <c:pt idx="83">
                  <c:v>1737000000000</c:v>
                </c:pt>
                <c:pt idx="84">
                  <c:v>1551000000</c:v>
                </c:pt>
                <c:pt idx="85">
                  <c:v>4580000000</c:v>
                </c:pt>
                <c:pt idx="87">
                  <c:v>7966000000</c:v>
                </c:pt>
                <c:pt idx="88">
                  <c:v>2799000000</c:v>
                </c:pt>
                <c:pt idx="89">
                  <c:v>768000000</c:v>
                </c:pt>
                <c:pt idx="90">
                  <c:v>14450000000</c:v>
                </c:pt>
                <c:pt idx="91">
                  <c:v>2362000000000</c:v>
                </c:pt>
                <c:pt idx="92">
                  <c:v>48270000000</c:v>
                </c:pt>
                <c:pt idx="93">
                  <c:v>769000000</c:v>
                </c:pt>
                <c:pt idx="95">
                  <c:v>226400000000</c:v>
                </c:pt>
                <c:pt idx="96">
                  <c:v>1100000000</c:v>
                </c:pt>
                <c:pt idx="97">
                  <c:v>440000000</c:v>
                </c:pt>
                <c:pt idx="98">
                  <c:v>3513000000</c:v>
                </c:pt>
                <c:pt idx="99">
                  <c:v>3200000000</c:v>
                </c:pt>
                <c:pt idx="100">
                  <c:v>59470000000</c:v>
                </c:pt>
                <c:pt idx="101">
                  <c:v>2590000000</c:v>
                </c:pt>
                <c:pt idx="102">
                  <c:v>19500000000</c:v>
                </c:pt>
                <c:pt idx="103">
                  <c:v>1008000000</c:v>
                </c:pt>
                <c:pt idx="104">
                  <c:v>2899000000</c:v>
                </c:pt>
                <c:pt idx="105">
                  <c:v>12050000000</c:v>
                </c:pt>
                <c:pt idx="108">
                  <c:v>18790000000</c:v>
                </c:pt>
                <c:pt idx="109">
                  <c:v>234500000000</c:v>
                </c:pt>
                <c:pt idx="111">
                  <c:v>149300000000</c:v>
                </c:pt>
                <c:pt idx="112">
                  <c:v>9373000000</c:v>
                </c:pt>
                <c:pt idx="113">
                  <c:v>3319000000000</c:v>
                </c:pt>
                <c:pt idx="114">
                  <c:v>827400000000</c:v>
                </c:pt>
                <c:pt idx="115">
                  <c:v>516700000000</c:v>
                </c:pt>
                <c:pt idx="116">
                  <c:v>89800000000</c:v>
                </c:pt>
                <c:pt idx="117">
                  <c:v>126400000000</c:v>
                </c:pt>
                <c:pt idx="118">
                  <c:v>129000000000</c:v>
                </c:pt>
                <c:pt idx="119">
                  <c:v>1609000000000</c:v>
                </c:pt>
                <c:pt idx="120">
                  <c:v>11130000000</c:v>
                </c:pt>
                <c:pt idx="122">
                  <c:v>3745000000000</c:v>
                </c:pt>
                <c:pt idx="124">
                  <c:v>3600000000</c:v>
                </c:pt>
                <c:pt idx="126">
                  <c:v>25500000000</c:v>
                </c:pt>
                <c:pt idx="128">
                  <c:v>118400000000</c:v>
                </c:pt>
                <c:pt idx="129">
                  <c:v>34680000000</c:v>
                </c:pt>
                <c:pt idx="131">
                  <c:v>79000000</c:v>
                </c:pt>
                <c:pt idx="132">
                  <c:v>30880000000</c:v>
                </c:pt>
                <c:pt idx="133">
                  <c:v>925100000000</c:v>
                </c:pt>
                <c:pt idx="134">
                  <c:v>48000000000</c:v>
                </c:pt>
                <c:pt idx="135">
                  <c:v>8495000000</c:v>
                </c:pt>
                <c:pt idx="136">
                  <c:v>11280000000</c:v>
                </c:pt>
                <c:pt idx="137">
                  <c:v>26530000000</c:v>
                </c:pt>
                <c:pt idx="138">
                  <c:v>18830000000</c:v>
                </c:pt>
                <c:pt idx="139">
                  <c:v>5892000000</c:v>
                </c:pt>
                <c:pt idx="140">
                  <c:v>2903000000</c:v>
                </c:pt>
                <c:pt idx="141">
                  <c:v>37480000000</c:v>
                </c:pt>
                <c:pt idx="142">
                  <c:v>825000000</c:v>
                </c:pt>
                <c:pt idx="143">
                  <c:v>45230000000</c:v>
                </c:pt>
                <c:pt idx="144">
                  <c:v>27270000000</c:v>
                </c:pt>
                <c:pt idx="145">
                  <c:v>9100000000</c:v>
                </c:pt>
                <c:pt idx="146">
                  <c:v>14400000000</c:v>
                </c:pt>
                <c:pt idx="147">
                  <c:v>14560000000</c:v>
                </c:pt>
                <c:pt idx="148">
                  <c:v>7410000000</c:v>
                </c:pt>
                <c:pt idx="149">
                  <c:v>229300000000</c:v>
                </c:pt>
                <c:pt idx="150">
                  <c:v>1250000000</c:v>
                </c:pt>
                <c:pt idx="151">
                  <c:v>11000000000</c:v>
                </c:pt>
                <c:pt idx="152">
                  <c:v>7223000000</c:v>
                </c:pt>
                <c:pt idx="153">
                  <c:v>2113000000</c:v>
                </c:pt>
                <c:pt idx="154">
                  <c:v>115000000</c:v>
                </c:pt>
                <c:pt idx="155">
                  <c:v>6117000000</c:v>
                </c:pt>
                <c:pt idx="156">
                  <c:v>5534000000</c:v>
                </c:pt>
                <c:pt idx="157">
                  <c:v>15680000000</c:v>
                </c:pt>
                <c:pt idx="158">
                  <c:v>466800000</c:v>
                </c:pt>
                <c:pt idx="159">
                  <c:v>1006000000000</c:v>
                </c:pt>
                <c:pt idx="160">
                  <c:v>277000000</c:v>
                </c:pt>
                <c:pt idx="162">
                  <c:v>8581000000</c:v>
                </c:pt>
                <c:pt idx="163">
                  <c:v>870000000</c:v>
                </c:pt>
                <c:pt idx="164">
                  <c:v>5332000000</c:v>
                </c:pt>
                <c:pt idx="165">
                  <c:v>29000000</c:v>
                </c:pt>
                <c:pt idx="166">
                  <c:v>134600000000</c:v>
                </c:pt>
                <c:pt idx="167">
                  <c:v>23380000000</c:v>
                </c:pt>
                <c:pt idx="168">
                  <c:v>14760000000</c:v>
                </c:pt>
                <c:pt idx="169">
                  <c:v>60000000</c:v>
                </c:pt>
                <c:pt idx="171">
                  <c:v>39530000000</c:v>
                </c:pt>
                <c:pt idx="172">
                  <c:v>481100000000</c:v>
                </c:pt>
                <c:pt idx="173">
                  <c:v>2450000000</c:v>
                </c:pt>
                <c:pt idx="174">
                  <c:v>3158000000</c:v>
                </c:pt>
                <c:pt idx="175">
                  <c:v>92510000000</c:v>
                </c:pt>
                <c:pt idx="176">
                  <c:v>12340000000</c:v>
                </c:pt>
                <c:pt idx="177">
                  <c:v>9716000000</c:v>
                </c:pt>
                <c:pt idx="178">
                  <c:v>125700000000</c:v>
                </c:pt>
                <c:pt idx="179">
                  <c:v>7600000</c:v>
                </c:pt>
                <c:pt idx="181">
                  <c:v>900000000</c:v>
                </c:pt>
                <c:pt idx="182">
                  <c:v>183000000000</c:v>
                </c:pt>
                <c:pt idx="183">
                  <c:v>38090000000</c:v>
                </c:pt>
                <c:pt idx="184">
                  <c:v>347300000000</c:v>
                </c:pt>
                <c:pt idx="185">
                  <c:v>174000000</c:v>
                </c:pt>
                <c:pt idx="187">
                  <c:v>20570000000</c:v>
                </c:pt>
                <c:pt idx="188">
                  <c:v>11990000000</c:v>
                </c:pt>
                <c:pt idx="189">
                  <c:v>29930000000</c:v>
                </c:pt>
                <c:pt idx="190">
                  <c:v>155300000000</c:v>
                </c:pt>
                <c:pt idx="191">
                  <c:v>430600000000</c:v>
                </c:pt>
                <c:pt idx="193">
                  <c:v>463000000000</c:v>
                </c:pt>
                <c:pt idx="194">
                  <c:v>188700000000</c:v>
                </c:pt>
                <c:pt idx="195">
                  <c:v>68950000000</c:v>
                </c:pt>
                <c:pt idx="196">
                  <c:v>19490000000</c:v>
                </c:pt>
                <c:pt idx="197">
                  <c:v>4570000000</c:v>
                </c:pt>
                <c:pt idx="198">
                  <c:v>171500000000</c:v>
                </c:pt>
                <c:pt idx="199">
                  <c:v>1408000000000</c:v>
                </c:pt>
                <c:pt idx="200">
                  <c:v>10430000000</c:v>
                </c:pt>
                <c:pt idx="201">
                  <c:v>18000000</c:v>
                </c:pt>
                <c:pt idx="202">
                  <c:v>339000000</c:v>
                </c:pt>
                <c:pt idx="203">
                  <c:v>866000000</c:v>
                </c:pt>
                <c:pt idx="204">
                  <c:v>48300000</c:v>
                </c:pt>
                <c:pt idx="205">
                  <c:v>342000000</c:v>
                </c:pt>
                <c:pt idx="206">
                  <c:v>1000000000</c:v>
                </c:pt>
                <c:pt idx="207">
                  <c:v>940000000</c:v>
                </c:pt>
                <c:pt idx="208">
                  <c:v>214000000</c:v>
                </c:pt>
                <c:pt idx="209">
                  <c:v>310200000000</c:v>
                </c:pt>
                <c:pt idx="210">
                  <c:v>18360000000</c:v>
                </c:pt>
                <c:pt idx="211">
                  <c:v>26270000000</c:v>
                </c:pt>
                <c:pt idx="212">
                  <c:v>626000000</c:v>
                </c:pt>
                <c:pt idx="213">
                  <c:v>3335000000</c:v>
                </c:pt>
                <c:pt idx="214">
                  <c:v>120900000000</c:v>
                </c:pt>
                <c:pt idx="215">
                  <c:v>78890000000</c:v>
                </c:pt>
                <c:pt idx="216">
                  <c:v>39410000000</c:v>
                </c:pt>
                <c:pt idx="217">
                  <c:v>800000000</c:v>
                </c:pt>
                <c:pt idx="218">
                  <c:v>4597000000</c:v>
                </c:pt>
                <c:pt idx="219">
                  <c:v>491400000000</c:v>
                </c:pt>
                <c:pt idx="221">
                  <c:v>937600000000</c:v>
                </c:pt>
                <c:pt idx="223">
                  <c:v>80580000000</c:v>
                </c:pt>
                <c:pt idx="224">
                  <c:v>76190000000</c:v>
                </c:pt>
                <c:pt idx="225">
                  <c:v>1885000000</c:v>
                </c:pt>
                <c:pt idx="227">
                  <c:v>6018000000</c:v>
                </c:pt>
                <c:pt idx="228">
                  <c:v>255400000000</c:v>
                </c:pt>
                <c:pt idx="229">
                  <c:v>251900000000</c:v>
                </c:pt>
                <c:pt idx="230">
                  <c:v>60440000000</c:v>
                </c:pt>
                <c:pt idx="231">
                  <c:v>576200000000</c:v>
                </c:pt>
                <c:pt idx="232">
                  <c:v>7950000000</c:v>
                </c:pt>
                <c:pt idx="233">
                  <c:v>23710000000</c:v>
                </c:pt>
                <c:pt idx="234">
                  <c:v>524800000000</c:v>
                </c:pt>
                <c:pt idx="235">
                  <c:v>8684000000</c:v>
                </c:pt>
                <c:pt idx="236">
                  <c:v>1500000</c:v>
                </c:pt>
                <c:pt idx="237">
                  <c:v>244000000</c:v>
                </c:pt>
                <c:pt idx="238">
                  <c:v>11480000000</c:v>
                </c:pt>
                <c:pt idx="240">
                  <c:v>70880000000</c:v>
                </c:pt>
                <c:pt idx="241">
                  <c:v>508700000000</c:v>
                </c:pt>
                <c:pt idx="242">
                  <c:v>27600000000</c:v>
                </c:pt>
                <c:pt idx="243">
                  <c:v>216000000</c:v>
                </c:pt>
                <c:pt idx="244">
                  <c:v>12200000</c:v>
                </c:pt>
                <c:pt idx="245">
                  <c:v>39390000000</c:v>
                </c:pt>
                <c:pt idx="246">
                  <c:v>299100000000</c:v>
                </c:pt>
                <c:pt idx="247">
                  <c:v>63670000000</c:v>
                </c:pt>
                <c:pt idx="248">
                  <c:v>1782000000000</c:v>
                </c:pt>
                <c:pt idx="249">
                  <c:v>11750000000000</c:v>
                </c:pt>
                <c:pt idx="250">
                  <c:v>49270000000</c:v>
                </c:pt>
                <c:pt idx="251">
                  <c:v>47590000000</c:v>
                </c:pt>
                <c:pt idx="252">
                  <c:v>580000000</c:v>
                </c:pt>
                <c:pt idx="253">
                  <c:v>145200000000</c:v>
                </c:pt>
                <c:pt idx="254">
                  <c:v>227200000000</c:v>
                </c:pt>
                <c:pt idx="255">
                  <c:v>2500000000</c:v>
                </c:pt>
                <c:pt idx="257">
                  <c:v>60000000</c:v>
                </c:pt>
                <c:pt idx="258">
                  <c:v>1800000000</c:v>
                </c:pt>
                <c:pt idx="260">
                  <c:v>16250000000</c:v>
                </c:pt>
                <c:pt idx="261">
                  <c:v>9409000000</c:v>
                </c:pt>
                <c:pt idx="262">
                  <c:v>24370000000</c:v>
                </c:pt>
              </c:numCache>
            </c:numRef>
          </c:val>
          <c:extLst>
            <c:ext xmlns:c16="http://schemas.microsoft.com/office/drawing/2014/chart" uri="{C3380CC4-5D6E-409C-BE32-E72D297353CC}">
              <c16:uniqueId val="{00000002-5C46-4913-86A5-2EE4B0AC315A}"/>
            </c:ext>
          </c:extLst>
        </c:ser>
        <c:dLbls>
          <c:showLegendKey val="0"/>
          <c:showVal val="0"/>
          <c:showCatName val="0"/>
          <c:showSerName val="0"/>
          <c:showPercent val="0"/>
          <c:showBubbleSize val="0"/>
        </c:dLbls>
        <c:gapWidth val="182"/>
        <c:axId val="645086288"/>
        <c:axId val="645039496"/>
      </c:barChart>
      <c:catAx>
        <c:axId val="645086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039496"/>
        <c:crosses val="autoZero"/>
        <c:auto val="1"/>
        <c:lblAlgn val="ctr"/>
        <c:lblOffset val="100"/>
        <c:noMultiLvlLbl val="0"/>
      </c:catAx>
      <c:valAx>
        <c:axId val="645039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08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[factbook.xlsx]Analysis and visual 3!PivotTable4</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and visual 3'!$B$1</c:f>
              <c:strCache>
                <c:ptCount val="1"/>
                <c:pt idx="0">
                  <c:v>Sum of Natural gas - consumption(cu 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 and visual 3'!$A$2:$A$265</c:f>
              <c:strCache>
                <c:ptCount val="263"/>
                <c:pt idx="0">
                  <c:v>#European Union</c:v>
                </c:pt>
                <c:pt idx="1">
                  <c:v>Afghanistan</c:v>
                </c:pt>
                <c:pt idx="2">
                  <c:v>Akrotiri</c:v>
                </c:pt>
                <c:pt idx="3">
                  <c:v>Albania</c:v>
                </c:pt>
                <c:pt idx="4">
                  <c:v>Algeria</c:v>
                </c:pt>
                <c:pt idx="5">
                  <c:v>American Samoa</c:v>
                </c:pt>
                <c:pt idx="6">
                  <c:v>Andorra</c:v>
                </c:pt>
                <c:pt idx="7">
                  <c:v>Angola</c:v>
                </c:pt>
                <c:pt idx="8">
                  <c:v>Anguilla</c:v>
                </c:pt>
                <c:pt idx="9">
                  <c:v>Antarctica</c:v>
                </c:pt>
                <c:pt idx="10">
                  <c:v>Antigua and Barbuda</c:v>
                </c:pt>
                <c:pt idx="11">
                  <c:v>Argentina</c:v>
                </c:pt>
                <c:pt idx="12">
                  <c:v>Armenia</c:v>
                </c:pt>
                <c:pt idx="13">
                  <c:v>Aruba</c:v>
                </c:pt>
                <c:pt idx="14">
                  <c:v>Ashmore and Cartier Islands</c:v>
                </c:pt>
                <c:pt idx="15">
                  <c:v>Australia</c:v>
                </c:pt>
                <c:pt idx="16">
                  <c:v>Austria</c:v>
                </c:pt>
                <c:pt idx="17">
                  <c:v>Azerbaijan</c:v>
                </c:pt>
                <c:pt idx="18">
                  <c:v>Bahamas The</c:v>
                </c:pt>
                <c:pt idx="19">
                  <c:v>Bahrain</c:v>
                </c:pt>
                <c:pt idx="20">
                  <c:v>Baker Island</c:v>
                </c:pt>
                <c:pt idx="21">
                  <c:v>Bangladesh</c:v>
                </c:pt>
                <c:pt idx="22">
                  <c:v>Barbados</c:v>
                </c:pt>
                <c:pt idx="23">
                  <c:v>Bassas da India</c:v>
                </c:pt>
                <c:pt idx="24">
                  <c:v>Belarus</c:v>
                </c:pt>
                <c:pt idx="25">
                  <c:v>Belgium</c:v>
                </c:pt>
                <c:pt idx="26">
                  <c:v>Belize</c:v>
                </c:pt>
                <c:pt idx="27">
                  <c:v>Benin</c:v>
                </c:pt>
                <c:pt idx="28">
                  <c:v>Bermuda</c:v>
                </c:pt>
                <c:pt idx="29">
                  <c:v>Bhutan</c:v>
                </c:pt>
                <c:pt idx="30">
                  <c:v>Bolivia</c:v>
                </c:pt>
                <c:pt idx="31">
                  <c:v>Bosnia and Herzegovina</c:v>
                </c:pt>
                <c:pt idx="32">
                  <c:v>Botswana</c:v>
                </c:pt>
                <c:pt idx="33">
                  <c:v>Bouvet Island</c:v>
                </c:pt>
                <c:pt idx="34">
                  <c:v>Brazil</c:v>
                </c:pt>
                <c:pt idx="35">
                  <c:v>British Indian Ocean Territory</c:v>
                </c:pt>
                <c:pt idx="36">
                  <c:v>British Virgin Islands</c:v>
                </c:pt>
                <c:pt idx="37">
                  <c:v>Brunei</c:v>
                </c:pt>
                <c:pt idx="38">
                  <c:v>Bulgaria</c:v>
                </c:pt>
                <c:pt idx="39">
                  <c:v>Burkina Faso</c:v>
                </c:pt>
                <c:pt idx="40">
                  <c:v>Burma</c:v>
                </c:pt>
                <c:pt idx="41">
                  <c:v>Burundi</c:v>
                </c:pt>
                <c:pt idx="42">
                  <c:v>Cambodia</c:v>
                </c:pt>
                <c:pt idx="43">
                  <c:v>Cameroon</c:v>
                </c:pt>
                <c:pt idx="44">
                  <c:v>Canada</c:v>
                </c:pt>
                <c:pt idx="45">
                  <c:v>Cape Verde</c:v>
                </c:pt>
                <c:pt idx="46">
                  <c:v>Cayman Islands</c:v>
                </c:pt>
                <c:pt idx="47">
                  <c:v>Central African Republic</c:v>
                </c:pt>
                <c:pt idx="48">
                  <c:v>Chad</c:v>
                </c:pt>
                <c:pt idx="49">
                  <c:v>Chile</c:v>
                </c:pt>
                <c:pt idx="50">
                  <c:v>China</c:v>
                </c:pt>
                <c:pt idx="51">
                  <c:v>Christmas Island</c:v>
                </c:pt>
                <c:pt idx="52">
                  <c:v>Clipperton Island</c:v>
                </c:pt>
                <c:pt idx="53">
                  <c:v>Cocos (Keeling) Islands</c:v>
                </c:pt>
                <c:pt idx="54">
                  <c:v>Colombia</c:v>
                </c:pt>
                <c:pt idx="55">
                  <c:v>Comoros</c:v>
                </c:pt>
                <c:pt idx="56">
                  <c:v>Congo Democratic Republic of the</c:v>
                </c:pt>
                <c:pt idx="57">
                  <c:v>Congo Republic of the</c:v>
                </c:pt>
                <c:pt idx="58">
                  <c:v>Cook Islands</c:v>
                </c:pt>
                <c:pt idx="59">
                  <c:v>Costa Rica</c:v>
                </c:pt>
                <c:pt idx="60">
                  <c:v>Cote d'Ivoire</c:v>
                </c:pt>
                <c:pt idx="61">
                  <c:v>Croatia</c:v>
                </c:pt>
                <c:pt idx="62">
                  <c:v>Cuba</c:v>
                </c:pt>
                <c:pt idx="63">
                  <c:v>Cyprus</c:v>
                </c:pt>
                <c:pt idx="64">
                  <c:v>Czech Republic</c:v>
                </c:pt>
                <c:pt idx="65">
                  <c:v>Denmark</c:v>
                </c:pt>
                <c:pt idx="66">
                  <c:v>Dhekelia</c:v>
                </c:pt>
                <c:pt idx="67">
                  <c:v>Djibouti</c:v>
                </c:pt>
                <c:pt idx="68">
                  <c:v>Dominica</c:v>
                </c:pt>
                <c:pt idx="69">
                  <c:v>Dominican Republic</c:v>
                </c:pt>
                <c:pt idx="70">
                  <c:v>East Timor</c:v>
                </c:pt>
                <c:pt idx="71">
                  <c:v>Ecuador</c:v>
                </c:pt>
                <c:pt idx="72">
                  <c:v>Egypt</c:v>
                </c:pt>
                <c:pt idx="73">
                  <c:v>El Salvador</c:v>
                </c:pt>
                <c:pt idx="74">
                  <c:v>Equatorial Guinea</c:v>
                </c:pt>
                <c:pt idx="75">
                  <c:v>Eritrea</c:v>
                </c:pt>
                <c:pt idx="76">
                  <c:v>Estonia</c:v>
                </c:pt>
                <c:pt idx="77">
                  <c:v>Ethiopia</c:v>
                </c:pt>
                <c:pt idx="78">
                  <c:v>Europa Island</c:v>
                </c:pt>
                <c:pt idx="79">
                  <c:v>Falkland Islands (Islas Malvinas)</c:v>
                </c:pt>
                <c:pt idx="80">
                  <c:v>Faroe Islands</c:v>
                </c:pt>
                <c:pt idx="81">
                  <c:v>Fiji</c:v>
                </c:pt>
                <c:pt idx="82">
                  <c:v>Finland</c:v>
                </c:pt>
                <c:pt idx="83">
                  <c:v>France</c:v>
                </c:pt>
                <c:pt idx="84">
                  <c:v>French Guiana</c:v>
                </c:pt>
                <c:pt idx="85">
                  <c:v>French Polynesia</c:v>
                </c:pt>
                <c:pt idx="86">
                  <c:v>French Southern and Antarctic Lands</c:v>
                </c:pt>
                <c:pt idx="87">
                  <c:v>Gabon</c:v>
                </c:pt>
                <c:pt idx="88">
                  <c:v>Gambia The</c:v>
                </c:pt>
                <c:pt idx="89">
                  <c:v>Gaza Strip</c:v>
                </c:pt>
                <c:pt idx="90">
                  <c:v>Georgia</c:v>
                </c:pt>
                <c:pt idx="91">
                  <c:v>Germany</c:v>
                </c:pt>
                <c:pt idx="92">
                  <c:v>Ghana</c:v>
                </c:pt>
                <c:pt idx="93">
                  <c:v>Gibraltar</c:v>
                </c:pt>
                <c:pt idx="94">
                  <c:v>Glorioso Islands</c:v>
                </c:pt>
                <c:pt idx="95">
                  <c:v>Greece</c:v>
                </c:pt>
                <c:pt idx="96">
                  <c:v>Greenland</c:v>
                </c:pt>
                <c:pt idx="97">
                  <c:v>Grenada</c:v>
                </c:pt>
                <c:pt idx="98">
                  <c:v>Guadeloupe</c:v>
                </c:pt>
                <c:pt idx="99">
                  <c:v>Guam</c:v>
                </c:pt>
                <c:pt idx="100">
                  <c:v>Guatemala</c:v>
                </c:pt>
                <c:pt idx="101">
                  <c:v>Guernsey</c:v>
                </c:pt>
                <c:pt idx="102">
                  <c:v>Guinea</c:v>
                </c:pt>
                <c:pt idx="103">
                  <c:v>Guinea-Bissau</c:v>
                </c:pt>
                <c:pt idx="104">
                  <c:v>Guyana</c:v>
                </c:pt>
                <c:pt idx="105">
                  <c:v>Haiti</c:v>
                </c:pt>
                <c:pt idx="106">
                  <c:v>Heard Island and McDonald Islands</c:v>
                </c:pt>
                <c:pt idx="107">
                  <c:v>Holy See (Vatican City)</c:v>
                </c:pt>
                <c:pt idx="108">
                  <c:v>Honduras</c:v>
                </c:pt>
                <c:pt idx="109">
                  <c:v>Hong Kong</c:v>
                </c:pt>
                <c:pt idx="110">
                  <c:v>Howland Island</c:v>
                </c:pt>
                <c:pt idx="111">
                  <c:v>Hungary</c:v>
                </c:pt>
                <c:pt idx="112">
                  <c:v>Iceland</c:v>
                </c:pt>
                <c:pt idx="113">
                  <c:v>India</c:v>
                </c:pt>
                <c:pt idx="114">
                  <c:v>Indonesia</c:v>
                </c:pt>
                <c:pt idx="115">
                  <c:v>Iran</c:v>
                </c:pt>
                <c:pt idx="116">
                  <c:v>Iraq</c:v>
                </c:pt>
                <c:pt idx="117">
                  <c:v>Ireland</c:v>
                </c:pt>
                <c:pt idx="118">
                  <c:v>Israel</c:v>
                </c:pt>
                <c:pt idx="119">
                  <c:v>Italy</c:v>
                </c:pt>
                <c:pt idx="120">
                  <c:v>Jamaica</c:v>
                </c:pt>
                <c:pt idx="121">
                  <c:v>Jan Mayen</c:v>
                </c:pt>
                <c:pt idx="122">
                  <c:v>Japan</c:v>
                </c:pt>
                <c:pt idx="123">
                  <c:v>Jarvis Island</c:v>
                </c:pt>
                <c:pt idx="124">
                  <c:v>Jersey</c:v>
                </c:pt>
                <c:pt idx="125">
                  <c:v>Johnston Atoll</c:v>
                </c:pt>
                <c:pt idx="126">
                  <c:v>Jordan</c:v>
                </c:pt>
                <c:pt idx="127">
                  <c:v>Juan de Nova Island</c:v>
                </c:pt>
                <c:pt idx="128">
                  <c:v>Kazakhstan</c:v>
                </c:pt>
                <c:pt idx="129">
                  <c:v>Kenya</c:v>
                </c:pt>
                <c:pt idx="130">
                  <c:v>Kingman Reef</c:v>
                </c:pt>
                <c:pt idx="131">
                  <c:v>Kiribati</c:v>
                </c:pt>
                <c:pt idx="132">
                  <c:v>Korea North</c:v>
                </c:pt>
                <c:pt idx="133">
                  <c:v>Korea South</c:v>
                </c:pt>
                <c:pt idx="134">
                  <c:v>Kuwait</c:v>
                </c:pt>
                <c:pt idx="135">
                  <c:v>Kyrgyzstan</c:v>
                </c:pt>
                <c:pt idx="136">
                  <c:v>Laos</c:v>
                </c:pt>
                <c:pt idx="137">
                  <c:v>Latvia</c:v>
                </c:pt>
                <c:pt idx="138">
                  <c:v>Lebanon</c:v>
                </c:pt>
                <c:pt idx="139">
                  <c:v>Lesotho</c:v>
                </c:pt>
                <c:pt idx="140">
                  <c:v>Liberia</c:v>
                </c:pt>
                <c:pt idx="141">
                  <c:v>Libya</c:v>
                </c:pt>
                <c:pt idx="142">
                  <c:v>Liechtenstein</c:v>
                </c:pt>
                <c:pt idx="143">
                  <c:v>Lithuania</c:v>
                </c:pt>
                <c:pt idx="144">
                  <c:v>Luxembourg</c:v>
                </c:pt>
                <c:pt idx="145">
                  <c:v>Macau</c:v>
                </c:pt>
                <c:pt idx="146">
                  <c:v>Macedonia</c:v>
                </c:pt>
                <c:pt idx="147">
                  <c:v>Madagascar</c:v>
                </c:pt>
                <c:pt idx="148">
                  <c:v>Malawi</c:v>
                </c:pt>
                <c:pt idx="149">
                  <c:v>Malaysia</c:v>
                </c:pt>
                <c:pt idx="150">
                  <c:v>Maldives</c:v>
                </c:pt>
                <c:pt idx="151">
                  <c:v>Mali</c:v>
                </c:pt>
                <c:pt idx="152">
                  <c:v>Malta</c:v>
                </c:pt>
                <c:pt idx="153">
                  <c:v>Man Isle of</c:v>
                </c:pt>
                <c:pt idx="154">
                  <c:v>Marshall Islands</c:v>
                </c:pt>
                <c:pt idx="155">
                  <c:v>Martinique</c:v>
                </c:pt>
                <c:pt idx="156">
                  <c:v>Mauritania</c:v>
                </c:pt>
                <c:pt idx="157">
                  <c:v>Mauritius</c:v>
                </c:pt>
                <c:pt idx="158">
                  <c:v>Mayotte</c:v>
                </c:pt>
                <c:pt idx="159">
                  <c:v>Mexico</c:v>
                </c:pt>
                <c:pt idx="160">
                  <c:v>Micronesia Federated States of</c:v>
                </c:pt>
                <c:pt idx="161">
                  <c:v>Midway Islands</c:v>
                </c:pt>
                <c:pt idx="162">
                  <c:v>Moldova</c:v>
                </c:pt>
                <c:pt idx="163">
                  <c:v>Monaco</c:v>
                </c:pt>
                <c:pt idx="164">
                  <c:v>Mongolia</c:v>
                </c:pt>
                <c:pt idx="165">
                  <c:v>Montserrat</c:v>
                </c:pt>
                <c:pt idx="166">
                  <c:v>Morocco</c:v>
                </c:pt>
                <c:pt idx="167">
                  <c:v>Mozambique</c:v>
                </c:pt>
                <c:pt idx="168">
                  <c:v>Namibia</c:v>
                </c:pt>
                <c:pt idx="169">
                  <c:v>Nauru</c:v>
                </c:pt>
                <c:pt idx="170">
                  <c:v>Navassa Island</c:v>
                </c:pt>
                <c:pt idx="171">
                  <c:v>Nepal</c:v>
                </c:pt>
                <c:pt idx="172">
                  <c:v>Netherlands</c:v>
                </c:pt>
                <c:pt idx="173">
                  <c:v>Netherlands Antilles</c:v>
                </c:pt>
                <c:pt idx="174">
                  <c:v>New Caledonia</c:v>
                </c:pt>
                <c:pt idx="175">
                  <c:v>New Zealand</c:v>
                </c:pt>
                <c:pt idx="176">
                  <c:v>Nicaragua</c:v>
                </c:pt>
                <c:pt idx="177">
                  <c:v>Niger</c:v>
                </c:pt>
                <c:pt idx="178">
                  <c:v>Nigeria</c:v>
                </c:pt>
                <c:pt idx="179">
                  <c:v>Niue</c:v>
                </c:pt>
                <c:pt idx="180">
                  <c:v>Norfolk Island</c:v>
                </c:pt>
                <c:pt idx="181">
                  <c:v>Northern Mariana Islands</c:v>
                </c:pt>
                <c:pt idx="182">
                  <c:v>Norway</c:v>
                </c:pt>
                <c:pt idx="183">
                  <c:v>Oman</c:v>
                </c:pt>
                <c:pt idx="184">
                  <c:v>Pakistan</c:v>
                </c:pt>
                <c:pt idx="185">
                  <c:v>Palau</c:v>
                </c:pt>
                <c:pt idx="186">
                  <c:v>Palmyra Atoll</c:v>
                </c:pt>
                <c:pt idx="187">
                  <c:v>Panama</c:v>
                </c:pt>
                <c:pt idx="188">
                  <c:v>Papua New Guinea</c:v>
                </c:pt>
                <c:pt idx="189">
                  <c:v>Paraguay</c:v>
                </c:pt>
                <c:pt idx="190">
                  <c:v>Peru</c:v>
                </c:pt>
                <c:pt idx="191">
                  <c:v>Philippines</c:v>
                </c:pt>
                <c:pt idx="192">
                  <c:v>Pitcairn Islands</c:v>
                </c:pt>
                <c:pt idx="193">
                  <c:v>Poland</c:v>
                </c:pt>
                <c:pt idx="194">
                  <c:v>Portugal</c:v>
                </c:pt>
                <c:pt idx="195">
                  <c:v>Puerto Rico</c:v>
                </c:pt>
                <c:pt idx="196">
                  <c:v>Qatar</c:v>
                </c:pt>
                <c:pt idx="197">
                  <c:v>Reunion</c:v>
                </c:pt>
                <c:pt idx="198">
                  <c:v>Romania</c:v>
                </c:pt>
                <c:pt idx="199">
                  <c:v>Russia</c:v>
                </c:pt>
                <c:pt idx="200">
                  <c:v>Rwanda</c:v>
                </c:pt>
                <c:pt idx="201">
                  <c:v>Saint Helena</c:v>
                </c:pt>
                <c:pt idx="202">
                  <c:v>Saint Kitts and Nevis</c:v>
                </c:pt>
                <c:pt idx="203">
                  <c:v>Saint Lucia</c:v>
                </c:pt>
                <c:pt idx="204">
                  <c:v>Saint Pierre and Miquelon</c:v>
                </c:pt>
                <c:pt idx="205">
                  <c:v>Saint Vincent and the Grenadines</c:v>
                </c:pt>
                <c:pt idx="206">
                  <c:v>Samoa</c:v>
                </c:pt>
                <c:pt idx="207">
                  <c:v>San Marino</c:v>
                </c:pt>
                <c:pt idx="208">
                  <c:v>Sao Tome and Principe</c:v>
                </c:pt>
                <c:pt idx="209">
                  <c:v>Saudi Arabia</c:v>
                </c:pt>
                <c:pt idx="210">
                  <c:v>Senegal</c:v>
                </c:pt>
                <c:pt idx="211">
                  <c:v>Serbia and Montenegro</c:v>
                </c:pt>
                <c:pt idx="212">
                  <c:v>Seychelles</c:v>
                </c:pt>
                <c:pt idx="213">
                  <c:v>Sierra Leone</c:v>
                </c:pt>
                <c:pt idx="214">
                  <c:v>Singapore</c:v>
                </c:pt>
                <c:pt idx="215">
                  <c:v>Slovakia</c:v>
                </c:pt>
                <c:pt idx="216">
                  <c:v>Slovenia</c:v>
                </c:pt>
                <c:pt idx="217">
                  <c:v>Solomon Islands</c:v>
                </c:pt>
                <c:pt idx="218">
                  <c:v>Somalia</c:v>
                </c:pt>
                <c:pt idx="219">
                  <c:v>South Africa</c:v>
                </c:pt>
                <c:pt idx="220">
                  <c:v>South Georgia and the South Sandwich Islands</c:v>
                </c:pt>
                <c:pt idx="221">
                  <c:v>Spain</c:v>
                </c:pt>
                <c:pt idx="222">
                  <c:v>Spratly Islands</c:v>
                </c:pt>
                <c:pt idx="223">
                  <c:v>Sri Lanka</c:v>
                </c:pt>
                <c:pt idx="224">
                  <c:v>Sudan</c:v>
                </c:pt>
                <c:pt idx="225">
                  <c:v>Suriname</c:v>
                </c:pt>
                <c:pt idx="226">
                  <c:v>Svalbard</c:v>
                </c:pt>
                <c:pt idx="227">
                  <c:v>Swaziland</c:v>
                </c:pt>
                <c:pt idx="228">
                  <c:v>Sweden</c:v>
                </c:pt>
                <c:pt idx="229">
                  <c:v>Switzerland</c:v>
                </c:pt>
                <c:pt idx="230">
                  <c:v>Syria</c:v>
                </c:pt>
                <c:pt idx="231">
                  <c:v>Taiwan</c:v>
                </c:pt>
                <c:pt idx="232">
                  <c:v>Tajikistan</c:v>
                </c:pt>
                <c:pt idx="233">
                  <c:v>Tanzania</c:v>
                </c:pt>
                <c:pt idx="234">
                  <c:v>Thailand</c:v>
                </c:pt>
                <c:pt idx="235">
                  <c:v>Togo</c:v>
                </c:pt>
                <c:pt idx="236">
                  <c:v>Tokelau</c:v>
                </c:pt>
                <c:pt idx="237">
                  <c:v>Tonga</c:v>
                </c:pt>
                <c:pt idx="238">
                  <c:v>Trinidad and Tobago</c:v>
                </c:pt>
                <c:pt idx="239">
                  <c:v>Tromelin Island</c:v>
                </c:pt>
                <c:pt idx="240">
                  <c:v>Tunisia</c:v>
                </c:pt>
                <c:pt idx="241">
                  <c:v>Turkey</c:v>
                </c:pt>
                <c:pt idx="242">
                  <c:v>Turkmenistan</c:v>
                </c:pt>
                <c:pt idx="243">
                  <c:v>Turks and Caicos Islands</c:v>
                </c:pt>
                <c:pt idx="244">
                  <c:v>Tuvalu</c:v>
                </c:pt>
                <c:pt idx="245">
                  <c:v>Uganda</c:v>
                </c:pt>
                <c:pt idx="246">
                  <c:v>Ukraine</c:v>
                </c:pt>
                <c:pt idx="247">
                  <c:v>United Arab Emirates</c:v>
                </c:pt>
                <c:pt idx="248">
                  <c:v>United Kingdom</c:v>
                </c:pt>
                <c:pt idx="249">
                  <c:v>United States</c:v>
                </c:pt>
                <c:pt idx="250">
                  <c:v>Uruguay</c:v>
                </c:pt>
                <c:pt idx="251">
                  <c:v>Uzbekistan</c:v>
                </c:pt>
                <c:pt idx="252">
                  <c:v>Vanuatu</c:v>
                </c:pt>
                <c:pt idx="253">
                  <c:v>Venezuela</c:v>
                </c:pt>
                <c:pt idx="254">
                  <c:v>Vietnam</c:v>
                </c:pt>
                <c:pt idx="255">
                  <c:v>Virgin Islands</c:v>
                </c:pt>
                <c:pt idx="256">
                  <c:v>Wake Island</c:v>
                </c:pt>
                <c:pt idx="257">
                  <c:v>Wallis and Futuna</c:v>
                </c:pt>
                <c:pt idx="258">
                  <c:v>West Bank</c:v>
                </c:pt>
                <c:pt idx="259">
                  <c:v>Western Sahara</c:v>
                </c:pt>
                <c:pt idx="260">
                  <c:v>Yemen</c:v>
                </c:pt>
                <c:pt idx="261">
                  <c:v>Zambia</c:v>
                </c:pt>
                <c:pt idx="262">
                  <c:v>Zimbabwe</c:v>
                </c:pt>
              </c:strCache>
            </c:strRef>
          </c:cat>
          <c:val>
            <c:numRef>
              <c:f>'Analysis and visual 3'!$B$2:$B$265</c:f>
              <c:numCache>
                <c:formatCode>0</c:formatCode>
                <c:ptCount val="263"/>
                <c:pt idx="0">
                  <c:v>467700000000</c:v>
                </c:pt>
                <c:pt idx="1">
                  <c:v>220000000</c:v>
                </c:pt>
                <c:pt idx="3">
                  <c:v>30000000</c:v>
                </c:pt>
                <c:pt idx="4">
                  <c:v>22320000000</c:v>
                </c:pt>
                <c:pt idx="7">
                  <c:v>530000000</c:v>
                </c:pt>
                <c:pt idx="11">
                  <c:v>31100000000</c:v>
                </c:pt>
                <c:pt idx="12">
                  <c:v>1400000000</c:v>
                </c:pt>
                <c:pt idx="15">
                  <c:v>23330000000</c:v>
                </c:pt>
                <c:pt idx="16">
                  <c:v>7810000000</c:v>
                </c:pt>
                <c:pt idx="17">
                  <c:v>6720000000</c:v>
                </c:pt>
                <c:pt idx="19">
                  <c:v>32700000000</c:v>
                </c:pt>
                <c:pt idx="21">
                  <c:v>9900000000</c:v>
                </c:pt>
                <c:pt idx="22">
                  <c:v>29170000</c:v>
                </c:pt>
                <c:pt idx="24">
                  <c:v>18800000000</c:v>
                </c:pt>
                <c:pt idx="25">
                  <c:v>15500000000</c:v>
                </c:pt>
                <c:pt idx="30">
                  <c:v>1150000000</c:v>
                </c:pt>
                <c:pt idx="31">
                  <c:v>300000000</c:v>
                </c:pt>
                <c:pt idx="34">
                  <c:v>9590000000</c:v>
                </c:pt>
                <c:pt idx="37">
                  <c:v>1350000000</c:v>
                </c:pt>
                <c:pt idx="38">
                  <c:v>5804000000</c:v>
                </c:pt>
                <c:pt idx="40">
                  <c:v>1569000000</c:v>
                </c:pt>
                <c:pt idx="43">
                  <c:v>0</c:v>
                </c:pt>
                <c:pt idx="44">
                  <c:v>55800000000</c:v>
                </c:pt>
                <c:pt idx="49">
                  <c:v>6517000000</c:v>
                </c:pt>
                <c:pt idx="50">
                  <c:v>29180000000</c:v>
                </c:pt>
                <c:pt idx="54">
                  <c:v>5700000000</c:v>
                </c:pt>
                <c:pt idx="57">
                  <c:v>0</c:v>
                </c:pt>
                <c:pt idx="60">
                  <c:v>1350000000</c:v>
                </c:pt>
                <c:pt idx="61">
                  <c:v>2840000000</c:v>
                </c:pt>
                <c:pt idx="62">
                  <c:v>600000000</c:v>
                </c:pt>
                <c:pt idx="64">
                  <c:v>9892000000</c:v>
                </c:pt>
                <c:pt idx="65">
                  <c:v>5280000000</c:v>
                </c:pt>
                <c:pt idx="71">
                  <c:v>160000000</c:v>
                </c:pt>
                <c:pt idx="72">
                  <c:v>21200000000</c:v>
                </c:pt>
                <c:pt idx="74">
                  <c:v>20000000</c:v>
                </c:pt>
                <c:pt idx="76">
                  <c:v>1270000000</c:v>
                </c:pt>
                <c:pt idx="82">
                  <c:v>4557000000</c:v>
                </c:pt>
                <c:pt idx="83">
                  <c:v>42010000000</c:v>
                </c:pt>
                <c:pt idx="87">
                  <c:v>80000000</c:v>
                </c:pt>
                <c:pt idx="90">
                  <c:v>1160000000</c:v>
                </c:pt>
                <c:pt idx="91">
                  <c:v>99550000000</c:v>
                </c:pt>
                <c:pt idx="95">
                  <c:v>2021000000</c:v>
                </c:pt>
                <c:pt idx="109">
                  <c:v>680900000</c:v>
                </c:pt>
                <c:pt idx="111">
                  <c:v>13370000000</c:v>
                </c:pt>
                <c:pt idx="113">
                  <c:v>22750000000</c:v>
                </c:pt>
                <c:pt idx="114">
                  <c:v>55300000000</c:v>
                </c:pt>
                <c:pt idx="115">
                  <c:v>72400000000</c:v>
                </c:pt>
                <c:pt idx="116">
                  <c:v>2350000000</c:v>
                </c:pt>
                <c:pt idx="117">
                  <c:v>4199000000</c:v>
                </c:pt>
                <c:pt idx="118">
                  <c:v>10000000</c:v>
                </c:pt>
                <c:pt idx="119">
                  <c:v>71180000000</c:v>
                </c:pt>
                <c:pt idx="122">
                  <c:v>80420000000</c:v>
                </c:pt>
                <c:pt idx="126">
                  <c:v>290000000</c:v>
                </c:pt>
                <c:pt idx="128">
                  <c:v>14300000000</c:v>
                </c:pt>
                <c:pt idx="133">
                  <c:v>20920000000</c:v>
                </c:pt>
                <c:pt idx="134">
                  <c:v>8700000000</c:v>
                </c:pt>
                <c:pt idx="135">
                  <c:v>2016000000</c:v>
                </c:pt>
                <c:pt idx="137">
                  <c:v>1700000000</c:v>
                </c:pt>
                <c:pt idx="141">
                  <c:v>5410000000</c:v>
                </c:pt>
                <c:pt idx="143">
                  <c:v>2760000000</c:v>
                </c:pt>
                <c:pt idx="144">
                  <c:v>865000000</c:v>
                </c:pt>
                <c:pt idx="149">
                  <c:v>31250000000</c:v>
                </c:pt>
                <c:pt idx="159">
                  <c:v>55100000000</c:v>
                </c:pt>
                <c:pt idx="162">
                  <c:v>2050000000</c:v>
                </c:pt>
                <c:pt idx="166">
                  <c:v>50000000</c:v>
                </c:pt>
                <c:pt idx="167">
                  <c:v>60000000</c:v>
                </c:pt>
                <c:pt idx="172">
                  <c:v>49720000000</c:v>
                </c:pt>
                <c:pt idx="175">
                  <c:v>6504000000</c:v>
                </c:pt>
                <c:pt idx="178">
                  <c:v>7850000000</c:v>
                </c:pt>
                <c:pt idx="182">
                  <c:v>4100000000</c:v>
                </c:pt>
                <c:pt idx="183">
                  <c:v>6340000000</c:v>
                </c:pt>
                <c:pt idx="184">
                  <c:v>23400000000</c:v>
                </c:pt>
                <c:pt idx="188">
                  <c:v>110000000</c:v>
                </c:pt>
                <c:pt idx="190">
                  <c:v>910000000</c:v>
                </c:pt>
                <c:pt idx="191">
                  <c:v>25000000</c:v>
                </c:pt>
                <c:pt idx="193">
                  <c:v>13850000000</c:v>
                </c:pt>
                <c:pt idx="194">
                  <c:v>2542000000</c:v>
                </c:pt>
                <c:pt idx="195">
                  <c:v>630000000</c:v>
                </c:pt>
                <c:pt idx="196">
                  <c:v>15860000000</c:v>
                </c:pt>
                <c:pt idx="198">
                  <c:v>18500000000</c:v>
                </c:pt>
                <c:pt idx="199">
                  <c:v>405800000000</c:v>
                </c:pt>
                <c:pt idx="209">
                  <c:v>56400000000</c:v>
                </c:pt>
                <c:pt idx="210">
                  <c:v>50000000</c:v>
                </c:pt>
                <c:pt idx="211">
                  <c:v>602000000</c:v>
                </c:pt>
                <c:pt idx="214">
                  <c:v>2500000000</c:v>
                </c:pt>
                <c:pt idx="215">
                  <c:v>6800000000</c:v>
                </c:pt>
                <c:pt idx="216">
                  <c:v>1040000000</c:v>
                </c:pt>
                <c:pt idx="219">
                  <c:v>1800000000</c:v>
                </c:pt>
                <c:pt idx="221">
                  <c:v>17960000000</c:v>
                </c:pt>
                <c:pt idx="228">
                  <c:v>949000000</c:v>
                </c:pt>
                <c:pt idx="229">
                  <c:v>3093000000</c:v>
                </c:pt>
                <c:pt idx="230">
                  <c:v>5840000000</c:v>
                </c:pt>
                <c:pt idx="231">
                  <c:v>6640000000</c:v>
                </c:pt>
                <c:pt idx="232">
                  <c:v>1300000000</c:v>
                </c:pt>
                <c:pt idx="234">
                  <c:v>23930000000</c:v>
                </c:pt>
                <c:pt idx="238">
                  <c:v>13760000000</c:v>
                </c:pt>
                <c:pt idx="240">
                  <c:v>3830000000</c:v>
                </c:pt>
                <c:pt idx="241">
                  <c:v>15940000000</c:v>
                </c:pt>
                <c:pt idx="242">
                  <c:v>9600000000</c:v>
                </c:pt>
                <c:pt idx="246">
                  <c:v>79860000000</c:v>
                </c:pt>
                <c:pt idx="247">
                  <c:v>33700000000</c:v>
                </c:pt>
                <c:pt idx="248">
                  <c:v>92850000000</c:v>
                </c:pt>
                <c:pt idx="249">
                  <c:v>640900000000</c:v>
                </c:pt>
                <c:pt idx="250">
                  <c:v>64500000</c:v>
                </c:pt>
                <c:pt idx="251">
                  <c:v>45200000000</c:v>
                </c:pt>
                <c:pt idx="253">
                  <c:v>29400000000</c:v>
                </c:pt>
                <c:pt idx="254">
                  <c:v>1300000000</c:v>
                </c:pt>
                <c:pt idx="260">
                  <c:v>0</c:v>
                </c:pt>
              </c:numCache>
            </c:numRef>
          </c:val>
          <c:smooth val="0"/>
          <c:extLst>
            <c:ext xmlns:c16="http://schemas.microsoft.com/office/drawing/2014/chart" uri="{C3380CC4-5D6E-409C-BE32-E72D297353CC}">
              <c16:uniqueId val="{00000000-3B38-4A0B-9384-BAE6977F1F03}"/>
            </c:ext>
          </c:extLst>
        </c:ser>
        <c:ser>
          <c:idx val="1"/>
          <c:order val="1"/>
          <c:tx>
            <c:strRef>
              <c:f>'Analysis and visual 3'!$C$1</c:f>
              <c:strCache>
                <c:ptCount val="1"/>
                <c:pt idx="0">
                  <c:v>Sum of Natural gas - exports(cu 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 and visual 3'!$A$2:$A$265</c:f>
              <c:strCache>
                <c:ptCount val="263"/>
                <c:pt idx="0">
                  <c:v>#European Union</c:v>
                </c:pt>
                <c:pt idx="1">
                  <c:v>Afghanistan</c:v>
                </c:pt>
                <c:pt idx="2">
                  <c:v>Akrotiri</c:v>
                </c:pt>
                <c:pt idx="3">
                  <c:v>Albania</c:v>
                </c:pt>
                <c:pt idx="4">
                  <c:v>Algeria</c:v>
                </c:pt>
                <c:pt idx="5">
                  <c:v>American Samoa</c:v>
                </c:pt>
                <c:pt idx="6">
                  <c:v>Andorra</c:v>
                </c:pt>
                <c:pt idx="7">
                  <c:v>Angola</c:v>
                </c:pt>
                <c:pt idx="8">
                  <c:v>Anguilla</c:v>
                </c:pt>
                <c:pt idx="9">
                  <c:v>Antarctica</c:v>
                </c:pt>
                <c:pt idx="10">
                  <c:v>Antigua and Barbuda</c:v>
                </c:pt>
                <c:pt idx="11">
                  <c:v>Argentina</c:v>
                </c:pt>
                <c:pt idx="12">
                  <c:v>Armenia</c:v>
                </c:pt>
                <c:pt idx="13">
                  <c:v>Aruba</c:v>
                </c:pt>
                <c:pt idx="14">
                  <c:v>Ashmore and Cartier Islands</c:v>
                </c:pt>
                <c:pt idx="15">
                  <c:v>Australia</c:v>
                </c:pt>
                <c:pt idx="16">
                  <c:v>Austria</c:v>
                </c:pt>
                <c:pt idx="17">
                  <c:v>Azerbaijan</c:v>
                </c:pt>
                <c:pt idx="18">
                  <c:v>Bahamas The</c:v>
                </c:pt>
                <c:pt idx="19">
                  <c:v>Bahrain</c:v>
                </c:pt>
                <c:pt idx="20">
                  <c:v>Baker Island</c:v>
                </c:pt>
                <c:pt idx="21">
                  <c:v>Bangladesh</c:v>
                </c:pt>
                <c:pt idx="22">
                  <c:v>Barbados</c:v>
                </c:pt>
                <c:pt idx="23">
                  <c:v>Bassas da India</c:v>
                </c:pt>
                <c:pt idx="24">
                  <c:v>Belarus</c:v>
                </c:pt>
                <c:pt idx="25">
                  <c:v>Belgium</c:v>
                </c:pt>
                <c:pt idx="26">
                  <c:v>Belize</c:v>
                </c:pt>
                <c:pt idx="27">
                  <c:v>Benin</c:v>
                </c:pt>
                <c:pt idx="28">
                  <c:v>Bermuda</c:v>
                </c:pt>
                <c:pt idx="29">
                  <c:v>Bhutan</c:v>
                </c:pt>
                <c:pt idx="30">
                  <c:v>Bolivia</c:v>
                </c:pt>
                <c:pt idx="31">
                  <c:v>Bosnia and Herzegovina</c:v>
                </c:pt>
                <c:pt idx="32">
                  <c:v>Botswana</c:v>
                </c:pt>
                <c:pt idx="33">
                  <c:v>Bouvet Island</c:v>
                </c:pt>
                <c:pt idx="34">
                  <c:v>Brazil</c:v>
                </c:pt>
                <c:pt idx="35">
                  <c:v>British Indian Ocean Territory</c:v>
                </c:pt>
                <c:pt idx="36">
                  <c:v>British Virgin Islands</c:v>
                </c:pt>
                <c:pt idx="37">
                  <c:v>Brunei</c:v>
                </c:pt>
                <c:pt idx="38">
                  <c:v>Bulgaria</c:v>
                </c:pt>
                <c:pt idx="39">
                  <c:v>Burkina Faso</c:v>
                </c:pt>
                <c:pt idx="40">
                  <c:v>Burma</c:v>
                </c:pt>
                <c:pt idx="41">
                  <c:v>Burundi</c:v>
                </c:pt>
                <c:pt idx="42">
                  <c:v>Cambodia</c:v>
                </c:pt>
                <c:pt idx="43">
                  <c:v>Cameroon</c:v>
                </c:pt>
                <c:pt idx="44">
                  <c:v>Canada</c:v>
                </c:pt>
                <c:pt idx="45">
                  <c:v>Cape Verde</c:v>
                </c:pt>
                <c:pt idx="46">
                  <c:v>Cayman Islands</c:v>
                </c:pt>
                <c:pt idx="47">
                  <c:v>Central African Republic</c:v>
                </c:pt>
                <c:pt idx="48">
                  <c:v>Chad</c:v>
                </c:pt>
                <c:pt idx="49">
                  <c:v>Chile</c:v>
                </c:pt>
                <c:pt idx="50">
                  <c:v>China</c:v>
                </c:pt>
                <c:pt idx="51">
                  <c:v>Christmas Island</c:v>
                </c:pt>
                <c:pt idx="52">
                  <c:v>Clipperton Island</c:v>
                </c:pt>
                <c:pt idx="53">
                  <c:v>Cocos (Keeling) Islands</c:v>
                </c:pt>
                <c:pt idx="54">
                  <c:v>Colombia</c:v>
                </c:pt>
                <c:pt idx="55">
                  <c:v>Comoros</c:v>
                </c:pt>
                <c:pt idx="56">
                  <c:v>Congo Democratic Republic of the</c:v>
                </c:pt>
                <c:pt idx="57">
                  <c:v>Congo Republic of the</c:v>
                </c:pt>
                <c:pt idx="58">
                  <c:v>Cook Islands</c:v>
                </c:pt>
                <c:pt idx="59">
                  <c:v>Costa Rica</c:v>
                </c:pt>
                <c:pt idx="60">
                  <c:v>Cote d'Ivoire</c:v>
                </c:pt>
                <c:pt idx="61">
                  <c:v>Croatia</c:v>
                </c:pt>
                <c:pt idx="62">
                  <c:v>Cuba</c:v>
                </c:pt>
                <c:pt idx="63">
                  <c:v>Cyprus</c:v>
                </c:pt>
                <c:pt idx="64">
                  <c:v>Czech Republic</c:v>
                </c:pt>
                <c:pt idx="65">
                  <c:v>Denmark</c:v>
                </c:pt>
                <c:pt idx="66">
                  <c:v>Dhekelia</c:v>
                </c:pt>
                <c:pt idx="67">
                  <c:v>Djibouti</c:v>
                </c:pt>
                <c:pt idx="68">
                  <c:v>Dominica</c:v>
                </c:pt>
                <c:pt idx="69">
                  <c:v>Dominican Republic</c:v>
                </c:pt>
                <c:pt idx="70">
                  <c:v>East Timor</c:v>
                </c:pt>
                <c:pt idx="71">
                  <c:v>Ecuador</c:v>
                </c:pt>
                <c:pt idx="72">
                  <c:v>Egypt</c:v>
                </c:pt>
                <c:pt idx="73">
                  <c:v>El Salvador</c:v>
                </c:pt>
                <c:pt idx="74">
                  <c:v>Equatorial Guinea</c:v>
                </c:pt>
                <c:pt idx="75">
                  <c:v>Eritrea</c:v>
                </c:pt>
                <c:pt idx="76">
                  <c:v>Estonia</c:v>
                </c:pt>
                <c:pt idx="77">
                  <c:v>Ethiopia</c:v>
                </c:pt>
                <c:pt idx="78">
                  <c:v>Europa Island</c:v>
                </c:pt>
                <c:pt idx="79">
                  <c:v>Falkland Islands (Islas Malvinas)</c:v>
                </c:pt>
                <c:pt idx="80">
                  <c:v>Faroe Islands</c:v>
                </c:pt>
                <c:pt idx="81">
                  <c:v>Fiji</c:v>
                </c:pt>
                <c:pt idx="82">
                  <c:v>Finland</c:v>
                </c:pt>
                <c:pt idx="83">
                  <c:v>France</c:v>
                </c:pt>
                <c:pt idx="84">
                  <c:v>French Guiana</c:v>
                </c:pt>
                <c:pt idx="85">
                  <c:v>French Polynesia</c:v>
                </c:pt>
                <c:pt idx="86">
                  <c:v>French Southern and Antarctic Lands</c:v>
                </c:pt>
                <c:pt idx="87">
                  <c:v>Gabon</c:v>
                </c:pt>
                <c:pt idx="88">
                  <c:v>Gambia The</c:v>
                </c:pt>
                <c:pt idx="89">
                  <c:v>Gaza Strip</c:v>
                </c:pt>
                <c:pt idx="90">
                  <c:v>Georgia</c:v>
                </c:pt>
                <c:pt idx="91">
                  <c:v>Germany</c:v>
                </c:pt>
                <c:pt idx="92">
                  <c:v>Ghana</c:v>
                </c:pt>
                <c:pt idx="93">
                  <c:v>Gibraltar</c:v>
                </c:pt>
                <c:pt idx="94">
                  <c:v>Glorioso Islands</c:v>
                </c:pt>
                <c:pt idx="95">
                  <c:v>Greece</c:v>
                </c:pt>
                <c:pt idx="96">
                  <c:v>Greenland</c:v>
                </c:pt>
                <c:pt idx="97">
                  <c:v>Grenada</c:v>
                </c:pt>
                <c:pt idx="98">
                  <c:v>Guadeloupe</c:v>
                </c:pt>
                <c:pt idx="99">
                  <c:v>Guam</c:v>
                </c:pt>
                <c:pt idx="100">
                  <c:v>Guatemala</c:v>
                </c:pt>
                <c:pt idx="101">
                  <c:v>Guernsey</c:v>
                </c:pt>
                <c:pt idx="102">
                  <c:v>Guinea</c:v>
                </c:pt>
                <c:pt idx="103">
                  <c:v>Guinea-Bissau</c:v>
                </c:pt>
                <c:pt idx="104">
                  <c:v>Guyana</c:v>
                </c:pt>
                <c:pt idx="105">
                  <c:v>Haiti</c:v>
                </c:pt>
                <c:pt idx="106">
                  <c:v>Heard Island and McDonald Islands</c:v>
                </c:pt>
                <c:pt idx="107">
                  <c:v>Holy See (Vatican City)</c:v>
                </c:pt>
                <c:pt idx="108">
                  <c:v>Honduras</c:v>
                </c:pt>
                <c:pt idx="109">
                  <c:v>Hong Kong</c:v>
                </c:pt>
                <c:pt idx="110">
                  <c:v>Howland Island</c:v>
                </c:pt>
                <c:pt idx="111">
                  <c:v>Hungary</c:v>
                </c:pt>
                <c:pt idx="112">
                  <c:v>Iceland</c:v>
                </c:pt>
                <c:pt idx="113">
                  <c:v>India</c:v>
                </c:pt>
                <c:pt idx="114">
                  <c:v>Indonesia</c:v>
                </c:pt>
                <c:pt idx="115">
                  <c:v>Iran</c:v>
                </c:pt>
                <c:pt idx="116">
                  <c:v>Iraq</c:v>
                </c:pt>
                <c:pt idx="117">
                  <c:v>Ireland</c:v>
                </c:pt>
                <c:pt idx="118">
                  <c:v>Israel</c:v>
                </c:pt>
                <c:pt idx="119">
                  <c:v>Italy</c:v>
                </c:pt>
                <c:pt idx="120">
                  <c:v>Jamaica</c:v>
                </c:pt>
                <c:pt idx="121">
                  <c:v>Jan Mayen</c:v>
                </c:pt>
                <c:pt idx="122">
                  <c:v>Japan</c:v>
                </c:pt>
                <c:pt idx="123">
                  <c:v>Jarvis Island</c:v>
                </c:pt>
                <c:pt idx="124">
                  <c:v>Jersey</c:v>
                </c:pt>
                <c:pt idx="125">
                  <c:v>Johnston Atoll</c:v>
                </c:pt>
                <c:pt idx="126">
                  <c:v>Jordan</c:v>
                </c:pt>
                <c:pt idx="127">
                  <c:v>Juan de Nova Island</c:v>
                </c:pt>
                <c:pt idx="128">
                  <c:v>Kazakhstan</c:v>
                </c:pt>
                <c:pt idx="129">
                  <c:v>Kenya</c:v>
                </c:pt>
                <c:pt idx="130">
                  <c:v>Kingman Reef</c:v>
                </c:pt>
                <c:pt idx="131">
                  <c:v>Kiribati</c:v>
                </c:pt>
                <c:pt idx="132">
                  <c:v>Korea North</c:v>
                </c:pt>
                <c:pt idx="133">
                  <c:v>Korea South</c:v>
                </c:pt>
                <c:pt idx="134">
                  <c:v>Kuwait</c:v>
                </c:pt>
                <c:pt idx="135">
                  <c:v>Kyrgyzstan</c:v>
                </c:pt>
                <c:pt idx="136">
                  <c:v>Laos</c:v>
                </c:pt>
                <c:pt idx="137">
                  <c:v>Latvia</c:v>
                </c:pt>
                <c:pt idx="138">
                  <c:v>Lebanon</c:v>
                </c:pt>
                <c:pt idx="139">
                  <c:v>Lesotho</c:v>
                </c:pt>
                <c:pt idx="140">
                  <c:v>Liberia</c:v>
                </c:pt>
                <c:pt idx="141">
                  <c:v>Libya</c:v>
                </c:pt>
                <c:pt idx="142">
                  <c:v>Liechtenstein</c:v>
                </c:pt>
                <c:pt idx="143">
                  <c:v>Lithuania</c:v>
                </c:pt>
                <c:pt idx="144">
                  <c:v>Luxembourg</c:v>
                </c:pt>
                <c:pt idx="145">
                  <c:v>Macau</c:v>
                </c:pt>
                <c:pt idx="146">
                  <c:v>Macedonia</c:v>
                </c:pt>
                <c:pt idx="147">
                  <c:v>Madagascar</c:v>
                </c:pt>
                <c:pt idx="148">
                  <c:v>Malawi</c:v>
                </c:pt>
                <c:pt idx="149">
                  <c:v>Malaysia</c:v>
                </c:pt>
                <c:pt idx="150">
                  <c:v>Maldives</c:v>
                </c:pt>
                <c:pt idx="151">
                  <c:v>Mali</c:v>
                </c:pt>
                <c:pt idx="152">
                  <c:v>Malta</c:v>
                </c:pt>
                <c:pt idx="153">
                  <c:v>Man Isle of</c:v>
                </c:pt>
                <c:pt idx="154">
                  <c:v>Marshall Islands</c:v>
                </c:pt>
                <c:pt idx="155">
                  <c:v>Martinique</c:v>
                </c:pt>
                <c:pt idx="156">
                  <c:v>Mauritania</c:v>
                </c:pt>
                <c:pt idx="157">
                  <c:v>Mauritius</c:v>
                </c:pt>
                <c:pt idx="158">
                  <c:v>Mayotte</c:v>
                </c:pt>
                <c:pt idx="159">
                  <c:v>Mexico</c:v>
                </c:pt>
                <c:pt idx="160">
                  <c:v>Micronesia Federated States of</c:v>
                </c:pt>
                <c:pt idx="161">
                  <c:v>Midway Islands</c:v>
                </c:pt>
                <c:pt idx="162">
                  <c:v>Moldova</c:v>
                </c:pt>
                <c:pt idx="163">
                  <c:v>Monaco</c:v>
                </c:pt>
                <c:pt idx="164">
                  <c:v>Mongolia</c:v>
                </c:pt>
                <c:pt idx="165">
                  <c:v>Montserrat</c:v>
                </c:pt>
                <c:pt idx="166">
                  <c:v>Morocco</c:v>
                </c:pt>
                <c:pt idx="167">
                  <c:v>Mozambique</c:v>
                </c:pt>
                <c:pt idx="168">
                  <c:v>Namibia</c:v>
                </c:pt>
                <c:pt idx="169">
                  <c:v>Nauru</c:v>
                </c:pt>
                <c:pt idx="170">
                  <c:v>Navassa Island</c:v>
                </c:pt>
                <c:pt idx="171">
                  <c:v>Nepal</c:v>
                </c:pt>
                <c:pt idx="172">
                  <c:v>Netherlands</c:v>
                </c:pt>
                <c:pt idx="173">
                  <c:v>Netherlands Antilles</c:v>
                </c:pt>
                <c:pt idx="174">
                  <c:v>New Caledonia</c:v>
                </c:pt>
                <c:pt idx="175">
                  <c:v>New Zealand</c:v>
                </c:pt>
                <c:pt idx="176">
                  <c:v>Nicaragua</c:v>
                </c:pt>
                <c:pt idx="177">
                  <c:v>Niger</c:v>
                </c:pt>
                <c:pt idx="178">
                  <c:v>Nigeria</c:v>
                </c:pt>
                <c:pt idx="179">
                  <c:v>Niue</c:v>
                </c:pt>
                <c:pt idx="180">
                  <c:v>Norfolk Island</c:v>
                </c:pt>
                <c:pt idx="181">
                  <c:v>Northern Mariana Islands</c:v>
                </c:pt>
                <c:pt idx="182">
                  <c:v>Norway</c:v>
                </c:pt>
                <c:pt idx="183">
                  <c:v>Oman</c:v>
                </c:pt>
                <c:pt idx="184">
                  <c:v>Pakistan</c:v>
                </c:pt>
                <c:pt idx="185">
                  <c:v>Palau</c:v>
                </c:pt>
                <c:pt idx="186">
                  <c:v>Palmyra Atoll</c:v>
                </c:pt>
                <c:pt idx="187">
                  <c:v>Panama</c:v>
                </c:pt>
                <c:pt idx="188">
                  <c:v>Papua New Guinea</c:v>
                </c:pt>
                <c:pt idx="189">
                  <c:v>Paraguay</c:v>
                </c:pt>
                <c:pt idx="190">
                  <c:v>Peru</c:v>
                </c:pt>
                <c:pt idx="191">
                  <c:v>Philippines</c:v>
                </c:pt>
                <c:pt idx="192">
                  <c:v>Pitcairn Islands</c:v>
                </c:pt>
                <c:pt idx="193">
                  <c:v>Poland</c:v>
                </c:pt>
                <c:pt idx="194">
                  <c:v>Portugal</c:v>
                </c:pt>
                <c:pt idx="195">
                  <c:v>Puerto Rico</c:v>
                </c:pt>
                <c:pt idx="196">
                  <c:v>Qatar</c:v>
                </c:pt>
                <c:pt idx="197">
                  <c:v>Reunion</c:v>
                </c:pt>
                <c:pt idx="198">
                  <c:v>Romania</c:v>
                </c:pt>
                <c:pt idx="199">
                  <c:v>Russia</c:v>
                </c:pt>
                <c:pt idx="200">
                  <c:v>Rwanda</c:v>
                </c:pt>
                <c:pt idx="201">
                  <c:v>Saint Helena</c:v>
                </c:pt>
                <c:pt idx="202">
                  <c:v>Saint Kitts and Nevis</c:v>
                </c:pt>
                <c:pt idx="203">
                  <c:v>Saint Lucia</c:v>
                </c:pt>
                <c:pt idx="204">
                  <c:v>Saint Pierre and Miquelon</c:v>
                </c:pt>
                <c:pt idx="205">
                  <c:v>Saint Vincent and the Grenadines</c:v>
                </c:pt>
                <c:pt idx="206">
                  <c:v>Samoa</c:v>
                </c:pt>
                <c:pt idx="207">
                  <c:v>San Marino</c:v>
                </c:pt>
                <c:pt idx="208">
                  <c:v>Sao Tome and Principe</c:v>
                </c:pt>
                <c:pt idx="209">
                  <c:v>Saudi Arabia</c:v>
                </c:pt>
                <c:pt idx="210">
                  <c:v>Senegal</c:v>
                </c:pt>
                <c:pt idx="211">
                  <c:v>Serbia and Montenegro</c:v>
                </c:pt>
                <c:pt idx="212">
                  <c:v>Seychelles</c:v>
                </c:pt>
                <c:pt idx="213">
                  <c:v>Sierra Leone</c:v>
                </c:pt>
                <c:pt idx="214">
                  <c:v>Singapore</c:v>
                </c:pt>
                <c:pt idx="215">
                  <c:v>Slovakia</c:v>
                </c:pt>
                <c:pt idx="216">
                  <c:v>Slovenia</c:v>
                </c:pt>
                <c:pt idx="217">
                  <c:v>Solomon Islands</c:v>
                </c:pt>
                <c:pt idx="218">
                  <c:v>Somalia</c:v>
                </c:pt>
                <c:pt idx="219">
                  <c:v>South Africa</c:v>
                </c:pt>
                <c:pt idx="220">
                  <c:v>South Georgia and the South Sandwich Islands</c:v>
                </c:pt>
                <c:pt idx="221">
                  <c:v>Spain</c:v>
                </c:pt>
                <c:pt idx="222">
                  <c:v>Spratly Islands</c:v>
                </c:pt>
                <c:pt idx="223">
                  <c:v>Sri Lanka</c:v>
                </c:pt>
                <c:pt idx="224">
                  <c:v>Sudan</c:v>
                </c:pt>
                <c:pt idx="225">
                  <c:v>Suriname</c:v>
                </c:pt>
                <c:pt idx="226">
                  <c:v>Svalbard</c:v>
                </c:pt>
                <c:pt idx="227">
                  <c:v>Swaziland</c:v>
                </c:pt>
                <c:pt idx="228">
                  <c:v>Sweden</c:v>
                </c:pt>
                <c:pt idx="229">
                  <c:v>Switzerland</c:v>
                </c:pt>
                <c:pt idx="230">
                  <c:v>Syria</c:v>
                </c:pt>
                <c:pt idx="231">
                  <c:v>Taiwan</c:v>
                </c:pt>
                <c:pt idx="232">
                  <c:v>Tajikistan</c:v>
                </c:pt>
                <c:pt idx="233">
                  <c:v>Tanzania</c:v>
                </c:pt>
                <c:pt idx="234">
                  <c:v>Thailand</c:v>
                </c:pt>
                <c:pt idx="235">
                  <c:v>Togo</c:v>
                </c:pt>
                <c:pt idx="236">
                  <c:v>Tokelau</c:v>
                </c:pt>
                <c:pt idx="237">
                  <c:v>Tonga</c:v>
                </c:pt>
                <c:pt idx="238">
                  <c:v>Trinidad and Tobago</c:v>
                </c:pt>
                <c:pt idx="239">
                  <c:v>Tromelin Island</c:v>
                </c:pt>
                <c:pt idx="240">
                  <c:v>Tunisia</c:v>
                </c:pt>
                <c:pt idx="241">
                  <c:v>Turkey</c:v>
                </c:pt>
                <c:pt idx="242">
                  <c:v>Turkmenistan</c:v>
                </c:pt>
                <c:pt idx="243">
                  <c:v>Turks and Caicos Islands</c:v>
                </c:pt>
                <c:pt idx="244">
                  <c:v>Tuvalu</c:v>
                </c:pt>
                <c:pt idx="245">
                  <c:v>Uganda</c:v>
                </c:pt>
                <c:pt idx="246">
                  <c:v>Ukraine</c:v>
                </c:pt>
                <c:pt idx="247">
                  <c:v>United Arab Emirates</c:v>
                </c:pt>
                <c:pt idx="248">
                  <c:v>United Kingdom</c:v>
                </c:pt>
                <c:pt idx="249">
                  <c:v>United States</c:v>
                </c:pt>
                <c:pt idx="250">
                  <c:v>Uruguay</c:v>
                </c:pt>
                <c:pt idx="251">
                  <c:v>Uzbekistan</c:v>
                </c:pt>
                <c:pt idx="252">
                  <c:v>Vanuatu</c:v>
                </c:pt>
                <c:pt idx="253">
                  <c:v>Venezuela</c:v>
                </c:pt>
                <c:pt idx="254">
                  <c:v>Vietnam</c:v>
                </c:pt>
                <c:pt idx="255">
                  <c:v>Virgin Islands</c:v>
                </c:pt>
                <c:pt idx="256">
                  <c:v>Wake Island</c:v>
                </c:pt>
                <c:pt idx="257">
                  <c:v>Wallis and Futuna</c:v>
                </c:pt>
                <c:pt idx="258">
                  <c:v>West Bank</c:v>
                </c:pt>
                <c:pt idx="259">
                  <c:v>Western Sahara</c:v>
                </c:pt>
                <c:pt idx="260">
                  <c:v>Yemen</c:v>
                </c:pt>
                <c:pt idx="261">
                  <c:v>Zambia</c:v>
                </c:pt>
                <c:pt idx="262">
                  <c:v>Zimbabwe</c:v>
                </c:pt>
              </c:strCache>
            </c:strRef>
          </c:cat>
          <c:val>
            <c:numRef>
              <c:f>'Analysis and visual 3'!$C$2:$C$265</c:f>
              <c:numCache>
                <c:formatCode>General</c:formatCode>
                <c:ptCount val="263"/>
                <c:pt idx="0">
                  <c:v>78100000000</c:v>
                </c:pt>
                <c:pt idx="1">
                  <c:v>0</c:v>
                </c:pt>
                <c:pt idx="3">
                  <c:v>0</c:v>
                </c:pt>
                <c:pt idx="4">
                  <c:v>57980000000</c:v>
                </c:pt>
                <c:pt idx="7">
                  <c:v>0</c:v>
                </c:pt>
                <c:pt idx="11">
                  <c:v>6050000000</c:v>
                </c:pt>
                <c:pt idx="12">
                  <c:v>0</c:v>
                </c:pt>
                <c:pt idx="15">
                  <c:v>9744000000</c:v>
                </c:pt>
                <c:pt idx="16">
                  <c:v>403000000</c:v>
                </c:pt>
                <c:pt idx="17">
                  <c:v>0</c:v>
                </c:pt>
                <c:pt idx="19">
                  <c:v>0</c:v>
                </c:pt>
                <c:pt idx="21">
                  <c:v>0</c:v>
                </c:pt>
                <c:pt idx="22">
                  <c:v>0</c:v>
                </c:pt>
                <c:pt idx="24">
                  <c:v>0</c:v>
                </c:pt>
                <c:pt idx="25">
                  <c:v>0</c:v>
                </c:pt>
                <c:pt idx="30">
                  <c:v>2900000000</c:v>
                </c:pt>
                <c:pt idx="31">
                  <c:v>0</c:v>
                </c:pt>
                <c:pt idx="34">
                  <c:v>0</c:v>
                </c:pt>
                <c:pt idx="37">
                  <c:v>9000000000</c:v>
                </c:pt>
                <c:pt idx="38">
                  <c:v>0</c:v>
                </c:pt>
                <c:pt idx="40">
                  <c:v>8424000000</c:v>
                </c:pt>
                <c:pt idx="43">
                  <c:v>0</c:v>
                </c:pt>
                <c:pt idx="44">
                  <c:v>91520000000</c:v>
                </c:pt>
                <c:pt idx="49">
                  <c:v>0</c:v>
                </c:pt>
                <c:pt idx="50">
                  <c:v>0</c:v>
                </c:pt>
                <c:pt idx="54">
                  <c:v>0</c:v>
                </c:pt>
                <c:pt idx="57">
                  <c:v>0</c:v>
                </c:pt>
                <c:pt idx="60">
                  <c:v>0</c:v>
                </c:pt>
                <c:pt idx="61">
                  <c:v>0</c:v>
                </c:pt>
                <c:pt idx="62">
                  <c:v>0</c:v>
                </c:pt>
                <c:pt idx="64">
                  <c:v>1000000</c:v>
                </c:pt>
                <c:pt idx="65">
                  <c:v>3100000000</c:v>
                </c:pt>
                <c:pt idx="71">
                  <c:v>0</c:v>
                </c:pt>
                <c:pt idx="72">
                  <c:v>0</c:v>
                </c:pt>
                <c:pt idx="74">
                  <c:v>0</c:v>
                </c:pt>
                <c:pt idx="76">
                  <c:v>0</c:v>
                </c:pt>
                <c:pt idx="82">
                  <c:v>0</c:v>
                </c:pt>
                <c:pt idx="83">
                  <c:v>1725000000</c:v>
                </c:pt>
                <c:pt idx="87">
                  <c:v>0</c:v>
                </c:pt>
                <c:pt idx="90">
                  <c:v>0</c:v>
                </c:pt>
                <c:pt idx="91">
                  <c:v>7731000000</c:v>
                </c:pt>
                <c:pt idx="95">
                  <c:v>0</c:v>
                </c:pt>
                <c:pt idx="109">
                  <c:v>0</c:v>
                </c:pt>
                <c:pt idx="111">
                  <c:v>4000000</c:v>
                </c:pt>
                <c:pt idx="113">
                  <c:v>0</c:v>
                </c:pt>
                <c:pt idx="114">
                  <c:v>39700000000</c:v>
                </c:pt>
                <c:pt idx="115">
                  <c:v>3400000000</c:v>
                </c:pt>
                <c:pt idx="116">
                  <c:v>0</c:v>
                </c:pt>
                <c:pt idx="117">
                  <c:v>0</c:v>
                </c:pt>
                <c:pt idx="118">
                  <c:v>0</c:v>
                </c:pt>
                <c:pt idx="119">
                  <c:v>61000000</c:v>
                </c:pt>
                <c:pt idx="122">
                  <c:v>0</c:v>
                </c:pt>
                <c:pt idx="126">
                  <c:v>0</c:v>
                </c:pt>
                <c:pt idx="128">
                  <c:v>11010000000</c:v>
                </c:pt>
                <c:pt idx="133">
                  <c:v>0</c:v>
                </c:pt>
                <c:pt idx="134">
                  <c:v>0</c:v>
                </c:pt>
                <c:pt idx="135">
                  <c:v>0</c:v>
                </c:pt>
                <c:pt idx="137">
                  <c:v>0</c:v>
                </c:pt>
                <c:pt idx="141">
                  <c:v>770000000</c:v>
                </c:pt>
                <c:pt idx="143">
                  <c:v>0</c:v>
                </c:pt>
                <c:pt idx="144">
                  <c:v>0</c:v>
                </c:pt>
                <c:pt idx="149">
                  <c:v>22410000000</c:v>
                </c:pt>
                <c:pt idx="159">
                  <c:v>0</c:v>
                </c:pt>
                <c:pt idx="162">
                  <c:v>0</c:v>
                </c:pt>
                <c:pt idx="166">
                  <c:v>0</c:v>
                </c:pt>
                <c:pt idx="167">
                  <c:v>0</c:v>
                </c:pt>
                <c:pt idx="172">
                  <c:v>49280000000</c:v>
                </c:pt>
                <c:pt idx="175">
                  <c:v>0</c:v>
                </c:pt>
                <c:pt idx="178">
                  <c:v>7830000000</c:v>
                </c:pt>
                <c:pt idx="182">
                  <c:v>50500000000</c:v>
                </c:pt>
                <c:pt idx="183">
                  <c:v>7430000000</c:v>
                </c:pt>
                <c:pt idx="184">
                  <c:v>0</c:v>
                </c:pt>
                <c:pt idx="188">
                  <c:v>0</c:v>
                </c:pt>
                <c:pt idx="190">
                  <c:v>0</c:v>
                </c:pt>
                <c:pt idx="191">
                  <c:v>0</c:v>
                </c:pt>
                <c:pt idx="193">
                  <c:v>41000000</c:v>
                </c:pt>
                <c:pt idx="194">
                  <c:v>0</c:v>
                </c:pt>
                <c:pt idx="195">
                  <c:v>0</c:v>
                </c:pt>
                <c:pt idx="196">
                  <c:v>18200000000</c:v>
                </c:pt>
                <c:pt idx="198">
                  <c:v>0</c:v>
                </c:pt>
                <c:pt idx="199">
                  <c:v>171000000000</c:v>
                </c:pt>
                <c:pt idx="209">
                  <c:v>0</c:v>
                </c:pt>
                <c:pt idx="210">
                  <c:v>0</c:v>
                </c:pt>
                <c:pt idx="211">
                  <c:v>0</c:v>
                </c:pt>
                <c:pt idx="214">
                  <c:v>0</c:v>
                </c:pt>
                <c:pt idx="215">
                  <c:v>0</c:v>
                </c:pt>
                <c:pt idx="216">
                  <c:v>0</c:v>
                </c:pt>
                <c:pt idx="219">
                  <c:v>0</c:v>
                </c:pt>
                <c:pt idx="221">
                  <c:v>0</c:v>
                </c:pt>
                <c:pt idx="228">
                  <c:v>0</c:v>
                </c:pt>
                <c:pt idx="229">
                  <c:v>0</c:v>
                </c:pt>
                <c:pt idx="230">
                  <c:v>0</c:v>
                </c:pt>
                <c:pt idx="231">
                  <c:v>410000000</c:v>
                </c:pt>
                <c:pt idx="232">
                  <c:v>0</c:v>
                </c:pt>
                <c:pt idx="234">
                  <c:v>0</c:v>
                </c:pt>
                <c:pt idx="238">
                  <c:v>11790000000</c:v>
                </c:pt>
                <c:pt idx="240">
                  <c:v>0</c:v>
                </c:pt>
                <c:pt idx="241">
                  <c:v>0</c:v>
                </c:pt>
                <c:pt idx="242">
                  <c:v>43500000000</c:v>
                </c:pt>
                <c:pt idx="246">
                  <c:v>5800000000</c:v>
                </c:pt>
                <c:pt idx="247">
                  <c:v>7190000000</c:v>
                </c:pt>
                <c:pt idx="248">
                  <c:v>15750000000</c:v>
                </c:pt>
                <c:pt idx="249">
                  <c:v>11160000000</c:v>
                </c:pt>
                <c:pt idx="250">
                  <c:v>0</c:v>
                </c:pt>
                <c:pt idx="251">
                  <c:v>17900000000</c:v>
                </c:pt>
                <c:pt idx="253">
                  <c:v>0</c:v>
                </c:pt>
                <c:pt idx="254">
                  <c:v>0</c:v>
                </c:pt>
                <c:pt idx="260">
                  <c:v>0</c:v>
                </c:pt>
              </c:numCache>
            </c:numRef>
          </c:val>
          <c:smooth val="0"/>
          <c:extLst>
            <c:ext xmlns:c16="http://schemas.microsoft.com/office/drawing/2014/chart" uri="{C3380CC4-5D6E-409C-BE32-E72D297353CC}">
              <c16:uniqueId val="{00000001-3B38-4A0B-9384-BAE6977F1F03}"/>
            </c:ext>
          </c:extLst>
        </c:ser>
        <c:ser>
          <c:idx val="2"/>
          <c:order val="2"/>
          <c:tx>
            <c:strRef>
              <c:f>'Analysis and visual 3'!$D$1</c:f>
              <c:strCache>
                <c:ptCount val="1"/>
                <c:pt idx="0">
                  <c:v>Sum of Natural gas - imports(cu 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'Analysis and visual 3'!$A$2:$A$265</c:f>
              <c:strCache>
                <c:ptCount val="263"/>
                <c:pt idx="0">
                  <c:v>#European Union</c:v>
                </c:pt>
                <c:pt idx="1">
                  <c:v>Afghanistan</c:v>
                </c:pt>
                <c:pt idx="2">
                  <c:v>Akrotiri</c:v>
                </c:pt>
                <c:pt idx="3">
                  <c:v>Albania</c:v>
                </c:pt>
                <c:pt idx="4">
                  <c:v>Algeria</c:v>
                </c:pt>
                <c:pt idx="5">
                  <c:v>American Samoa</c:v>
                </c:pt>
                <c:pt idx="6">
                  <c:v>Andorra</c:v>
                </c:pt>
                <c:pt idx="7">
                  <c:v>Angola</c:v>
                </c:pt>
                <c:pt idx="8">
                  <c:v>Anguilla</c:v>
                </c:pt>
                <c:pt idx="9">
                  <c:v>Antarctica</c:v>
                </c:pt>
                <c:pt idx="10">
                  <c:v>Antigua and Barbuda</c:v>
                </c:pt>
                <c:pt idx="11">
                  <c:v>Argentina</c:v>
                </c:pt>
                <c:pt idx="12">
                  <c:v>Armenia</c:v>
                </c:pt>
                <c:pt idx="13">
                  <c:v>Aruba</c:v>
                </c:pt>
                <c:pt idx="14">
                  <c:v>Ashmore and Cartier Islands</c:v>
                </c:pt>
                <c:pt idx="15">
                  <c:v>Australia</c:v>
                </c:pt>
                <c:pt idx="16">
                  <c:v>Austria</c:v>
                </c:pt>
                <c:pt idx="17">
                  <c:v>Azerbaijan</c:v>
                </c:pt>
                <c:pt idx="18">
                  <c:v>Bahamas The</c:v>
                </c:pt>
                <c:pt idx="19">
                  <c:v>Bahrain</c:v>
                </c:pt>
                <c:pt idx="20">
                  <c:v>Baker Island</c:v>
                </c:pt>
                <c:pt idx="21">
                  <c:v>Bangladesh</c:v>
                </c:pt>
                <c:pt idx="22">
                  <c:v>Barbados</c:v>
                </c:pt>
                <c:pt idx="23">
                  <c:v>Bassas da India</c:v>
                </c:pt>
                <c:pt idx="24">
                  <c:v>Belarus</c:v>
                </c:pt>
                <c:pt idx="25">
                  <c:v>Belgium</c:v>
                </c:pt>
                <c:pt idx="26">
                  <c:v>Belize</c:v>
                </c:pt>
                <c:pt idx="27">
                  <c:v>Benin</c:v>
                </c:pt>
                <c:pt idx="28">
                  <c:v>Bermuda</c:v>
                </c:pt>
                <c:pt idx="29">
                  <c:v>Bhutan</c:v>
                </c:pt>
                <c:pt idx="30">
                  <c:v>Bolivia</c:v>
                </c:pt>
                <c:pt idx="31">
                  <c:v>Bosnia and Herzegovina</c:v>
                </c:pt>
                <c:pt idx="32">
                  <c:v>Botswana</c:v>
                </c:pt>
                <c:pt idx="33">
                  <c:v>Bouvet Island</c:v>
                </c:pt>
                <c:pt idx="34">
                  <c:v>Brazil</c:v>
                </c:pt>
                <c:pt idx="35">
                  <c:v>British Indian Ocean Territory</c:v>
                </c:pt>
                <c:pt idx="36">
                  <c:v>British Virgin Islands</c:v>
                </c:pt>
                <c:pt idx="37">
                  <c:v>Brunei</c:v>
                </c:pt>
                <c:pt idx="38">
                  <c:v>Bulgaria</c:v>
                </c:pt>
                <c:pt idx="39">
                  <c:v>Burkina Faso</c:v>
                </c:pt>
                <c:pt idx="40">
                  <c:v>Burma</c:v>
                </c:pt>
                <c:pt idx="41">
                  <c:v>Burundi</c:v>
                </c:pt>
                <c:pt idx="42">
                  <c:v>Cambodia</c:v>
                </c:pt>
                <c:pt idx="43">
                  <c:v>Cameroon</c:v>
                </c:pt>
                <c:pt idx="44">
                  <c:v>Canada</c:v>
                </c:pt>
                <c:pt idx="45">
                  <c:v>Cape Verde</c:v>
                </c:pt>
                <c:pt idx="46">
                  <c:v>Cayman Islands</c:v>
                </c:pt>
                <c:pt idx="47">
                  <c:v>Central African Republic</c:v>
                </c:pt>
                <c:pt idx="48">
                  <c:v>Chad</c:v>
                </c:pt>
                <c:pt idx="49">
                  <c:v>Chile</c:v>
                </c:pt>
                <c:pt idx="50">
                  <c:v>China</c:v>
                </c:pt>
                <c:pt idx="51">
                  <c:v>Christmas Island</c:v>
                </c:pt>
                <c:pt idx="52">
                  <c:v>Clipperton Island</c:v>
                </c:pt>
                <c:pt idx="53">
                  <c:v>Cocos (Keeling) Islands</c:v>
                </c:pt>
                <c:pt idx="54">
                  <c:v>Colombia</c:v>
                </c:pt>
                <c:pt idx="55">
                  <c:v>Comoros</c:v>
                </c:pt>
                <c:pt idx="56">
                  <c:v>Congo Democratic Republic of the</c:v>
                </c:pt>
                <c:pt idx="57">
                  <c:v>Congo Republic of the</c:v>
                </c:pt>
                <c:pt idx="58">
                  <c:v>Cook Islands</c:v>
                </c:pt>
                <c:pt idx="59">
                  <c:v>Costa Rica</c:v>
                </c:pt>
                <c:pt idx="60">
                  <c:v>Cote d'Ivoire</c:v>
                </c:pt>
                <c:pt idx="61">
                  <c:v>Croatia</c:v>
                </c:pt>
                <c:pt idx="62">
                  <c:v>Cuba</c:v>
                </c:pt>
                <c:pt idx="63">
                  <c:v>Cyprus</c:v>
                </c:pt>
                <c:pt idx="64">
                  <c:v>Czech Republic</c:v>
                </c:pt>
                <c:pt idx="65">
                  <c:v>Denmark</c:v>
                </c:pt>
                <c:pt idx="66">
                  <c:v>Dhekelia</c:v>
                </c:pt>
                <c:pt idx="67">
                  <c:v>Djibouti</c:v>
                </c:pt>
                <c:pt idx="68">
                  <c:v>Dominica</c:v>
                </c:pt>
                <c:pt idx="69">
                  <c:v>Dominican Republic</c:v>
                </c:pt>
                <c:pt idx="70">
                  <c:v>East Timor</c:v>
                </c:pt>
                <c:pt idx="71">
                  <c:v>Ecuador</c:v>
                </c:pt>
                <c:pt idx="72">
                  <c:v>Egypt</c:v>
                </c:pt>
                <c:pt idx="73">
                  <c:v>El Salvador</c:v>
                </c:pt>
                <c:pt idx="74">
                  <c:v>Equatorial Guinea</c:v>
                </c:pt>
                <c:pt idx="75">
                  <c:v>Eritrea</c:v>
                </c:pt>
                <c:pt idx="76">
                  <c:v>Estonia</c:v>
                </c:pt>
                <c:pt idx="77">
                  <c:v>Ethiopia</c:v>
                </c:pt>
                <c:pt idx="78">
                  <c:v>Europa Island</c:v>
                </c:pt>
                <c:pt idx="79">
                  <c:v>Falkland Islands (Islas Malvinas)</c:v>
                </c:pt>
                <c:pt idx="80">
                  <c:v>Faroe Islands</c:v>
                </c:pt>
                <c:pt idx="81">
                  <c:v>Fiji</c:v>
                </c:pt>
                <c:pt idx="82">
                  <c:v>Finland</c:v>
                </c:pt>
                <c:pt idx="83">
                  <c:v>France</c:v>
                </c:pt>
                <c:pt idx="84">
                  <c:v>French Guiana</c:v>
                </c:pt>
                <c:pt idx="85">
                  <c:v>French Polynesia</c:v>
                </c:pt>
                <c:pt idx="86">
                  <c:v>French Southern and Antarctic Lands</c:v>
                </c:pt>
                <c:pt idx="87">
                  <c:v>Gabon</c:v>
                </c:pt>
                <c:pt idx="88">
                  <c:v>Gambia The</c:v>
                </c:pt>
                <c:pt idx="89">
                  <c:v>Gaza Strip</c:v>
                </c:pt>
                <c:pt idx="90">
                  <c:v>Georgia</c:v>
                </c:pt>
                <c:pt idx="91">
                  <c:v>Germany</c:v>
                </c:pt>
                <c:pt idx="92">
                  <c:v>Ghana</c:v>
                </c:pt>
                <c:pt idx="93">
                  <c:v>Gibraltar</c:v>
                </c:pt>
                <c:pt idx="94">
                  <c:v>Glorioso Islands</c:v>
                </c:pt>
                <c:pt idx="95">
                  <c:v>Greece</c:v>
                </c:pt>
                <c:pt idx="96">
                  <c:v>Greenland</c:v>
                </c:pt>
                <c:pt idx="97">
                  <c:v>Grenada</c:v>
                </c:pt>
                <c:pt idx="98">
                  <c:v>Guadeloupe</c:v>
                </c:pt>
                <c:pt idx="99">
                  <c:v>Guam</c:v>
                </c:pt>
                <c:pt idx="100">
                  <c:v>Guatemala</c:v>
                </c:pt>
                <c:pt idx="101">
                  <c:v>Guernsey</c:v>
                </c:pt>
                <c:pt idx="102">
                  <c:v>Guinea</c:v>
                </c:pt>
                <c:pt idx="103">
                  <c:v>Guinea-Bissau</c:v>
                </c:pt>
                <c:pt idx="104">
                  <c:v>Guyana</c:v>
                </c:pt>
                <c:pt idx="105">
                  <c:v>Haiti</c:v>
                </c:pt>
                <c:pt idx="106">
                  <c:v>Heard Island and McDonald Islands</c:v>
                </c:pt>
                <c:pt idx="107">
                  <c:v>Holy See (Vatican City)</c:v>
                </c:pt>
                <c:pt idx="108">
                  <c:v>Honduras</c:v>
                </c:pt>
                <c:pt idx="109">
                  <c:v>Hong Kong</c:v>
                </c:pt>
                <c:pt idx="110">
                  <c:v>Howland Island</c:v>
                </c:pt>
                <c:pt idx="111">
                  <c:v>Hungary</c:v>
                </c:pt>
                <c:pt idx="112">
                  <c:v>Iceland</c:v>
                </c:pt>
                <c:pt idx="113">
                  <c:v>India</c:v>
                </c:pt>
                <c:pt idx="114">
                  <c:v>Indonesia</c:v>
                </c:pt>
                <c:pt idx="115">
                  <c:v>Iran</c:v>
                </c:pt>
                <c:pt idx="116">
                  <c:v>Iraq</c:v>
                </c:pt>
                <c:pt idx="117">
                  <c:v>Ireland</c:v>
                </c:pt>
                <c:pt idx="118">
                  <c:v>Israel</c:v>
                </c:pt>
                <c:pt idx="119">
                  <c:v>Italy</c:v>
                </c:pt>
                <c:pt idx="120">
                  <c:v>Jamaica</c:v>
                </c:pt>
                <c:pt idx="121">
                  <c:v>Jan Mayen</c:v>
                </c:pt>
                <c:pt idx="122">
                  <c:v>Japan</c:v>
                </c:pt>
                <c:pt idx="123">
                  <c:v>Jarvis Island</c:v>
                </c:pt>
                <c:pt idx="124">
                  <c:v>Jersey</c:v>
                </c:pt>
                <c:pt idx="125">
                  <c:v>Johnston Atoll</c:v>
                </c:pt>
                <c:pt idx="126">
                  <c:v>Jordan</c:v>
                </c:pt>
                <c:pt idx="127">
                  <c:v>Juan de Nova Island</c:v>
                </c:pt>
                <c:pt idx="128">
                  <c:v>Kazakhstan</c:v>
                </c:pt>
                <c:pt idx="129">
                  <c:v>Kenya</c:v>
                </c:pt>
                <c:pt idx="130">
                  <c:v>Kingman Reef</c:v>
                </c:pt>
                <c:pt idx="131">
                  <c:v>Kiribati</c:v>
                </c:pt>
                <c:pt idx="132">
                  <c:v>Korea North</c:v>
                </c:pt>
                <c:pt idx="133">
                  <c:v>Korea South</c:v>
                </c:pt>
                <c:pt idx="134">
                  <c:v>Kuwait</c:v>
                </c:pt>
                <c:pt idx="135">
                  <c:v>Kyrgyzstan</c:v>
                </c:pt>
                <c:pt idx="136">
                  <c:v>Laos</c:v>
                </c:pt>
                <c:pt idx="137">
                  <c:v>Latvia</c:v>
                </c:pt>
                <c:pt idx="138">
                  <c:v>Lebanon</c:v>
                </c:pt>
                <c:pt idx="139">
                  <c:v>Lesotho</c:v>
                </c:pt>
                <c:pt idx="140">
                  <c:v>Liberia</c:v>
                </c:pt>
                <c:pt idx="141">
                  <c:v>Libya</c:v>
                </c:pt>
                <c:pt idx="142">
                  <c:v>Liechtenstein</c:v>
                </c:pt>
                <c:pt idx="143">
                  <c:v>Lithuania</c:v>
                </c:pt>
                <c:pt idx="144">
                  <c:v>Luxembourg</c:v>
                </c:pt>
                <c:pt idx="145">
                  <c:v>Macau</c:v>
                </c:pt>
                <c:pt idx="146">
                  <c:v>Macedonia</c:v>
                </c:pt>
                <c:pt idx="147">
                  <c:v>Madagascar</c:v>
                </c:pt>
                <c:pt idx="148">
                  <c:v>Malawi</c:v>
                </c:pt>
                <c:pt idx="149">
                  <c:v>Malaysia</c:v>
                </c:pt>
                <c:pt idx="150">
                  <c:v>Maldives</c:v>
                </c:pt>
                <c:pt idx="151">
                  <c:v>Mali</c:v>
                </c:pt>
                <c:pt idx="152">
                  <c:v>Malta</c:v>
                </c:pt>
                <c:pt idx="153">
                  <c:v>Man Isle of</c:v>
                </c:pt>
                <c:pt idx="154">
                  <c:v>Marshall Islands</c:v>
                </c:pt>
                <c:pt idx="155">
                  <c:v>Martinique</c:v>
                </c:pt>
                <c:pt idx="156">
                  <c:v>Mauritania</c:v>
                </c:pt>
                <c:pt idx="157">
                  <c:v>Mauritius</c:v>
                </c:pt>
                <c:pt idx="158">
                  <c:v>Mayotte</c:v>
                </c:pt>
                <c:pt idx="159">
                  <c:v>Mexico</c:v>
                </c:pt>
                <c:pt idx="160">
                  <c:v>Micronesia Federated States of</c:v>
                </c:pt>
                <c:pt idx="161">
                  <c:v>Midway Islands</c:v>
                </c:pt>
                <c:pt idx="162">
                  <c:v>Moldova</c:v>
                </c:pt>
                <c:pt idx="163">
                  <c:v>Monaco</c:v>
                </c:pt>
                <c:pt idx="164">
                  <c:v>Mongolia</c:v>
                </c:pt>
                <c:pt idx="165">
                  <c:v>Montserrat</c:v>
                </c:pt>
                <c:pt idx="166">
                  <c:v>Morocco</c:v>
                </c:pt>
                <c:pt idx="167">
                  <c:v>Mozambique</c:v>
                </c:pt>
                <c:pt idx="168">
                  <c:v>Namibia</c:v>
                </c:pt>
                <c:pt idx="169">
                  <c:v>Nauru</c:v>
                </c:pt>
                <c:pt idx="170">
                  <c:v>Navassa Island</c:v>
                </c:pt>
                <c:pt idx="171">
                  <c:v>Nepal</c:v>
                </c:pt>
                <c:pt idx="172">
                  <c:v>Netherlands</c:v>
                </c:pt>
                <c:pt idx="173">
                  <c:v>Netherlands Antilles</c:v>
                </c:pt>
                <c:pt idx="174">
                  <c:v>New Caledonia</c:v>
                </c:pt>
                <c:pt idx="175">
                  <c:v>New Zealand</c:v>
                </c:pt>
                <c:pt idx="176">
                  <c:v>Nicaragua</c:v>
                </c:pt>
                <c:pt idx="177">
                  <c:v>Niger</c:v>
                </c:pt>
                <c:pt idx="178">
                  <c:v>Nigeria</c:v>
                </c:pt>
                <c:pt idx="179">
                  <c:v>Niue</c:v>
                </c:pt>
                <c:pt idx="180">
                  <c:v>Norfolk Island</c:v>
                </c:pt>
                <c:pt idx="181">
                  <c:v>Northern Mariana Islands</c:v>
                </c:pt>
                <c:pt idx="182">
                  <c:v>Norway</c:v>
                </c:pt>
                <c:pt idx="183">
                  <c:v>Oman</c:v>
                </c:pt>
                <c:pt idx="184">
                  <c:v>Pakistan</c:v>
                </c:pt>
                <c:pt idx="185">
                  <c:v>Palau</c:v>
                </c:pt>
                <c:pt idx="186">
                  <c:v>Palmyra Atoll</c:v>
                </c:pt>
                <c:pt idx="187">
                  <c:v>Panama</c:v>
                </c:pt>
                <c:pt idx="188">
                  <c:v>Papua New Guinea</c:v>
                </c:pt>
                <c:pt idx="189">
                  <c:v>Paraguay</c:v>
                </c:pt>
                <c:pt idx="190">
                  <c:v>Peru</c:v>
                </c:pt>
                <c:pt idx="191">
                  <c:v>Philippines</c:v>
                </c:pt>
                <c:pt idx="192">
                  <c:v>Pitcairn Islands</c:v>
                </c:pt>
                <c:pt idx="193">
                  <c:v>Poland</c:v>
                </c:pt>
                <c:pt idx="194">
                  <c:v>Portugal</c:v>
                </c:pt>
                <c:pt idx="195">
                  <c:v>Puerto Rico</c:v>
                </c:pt>
                <c:pt idx="196">
                  <c:v>Qatar</c:v>
                </c:pt>
                <c:pt idx="197">
                  <c:v>Reunion</c:v>
                </c:pt>
                <c:pt idx="198">
                  <c:v>Romania</c:v>
                </c:pt>
                <c:pt idx="199">
                  <c:v>Russia</c:v>
                </c:pt>
                <c:pt idx="200">
                  <c:v>Rwanda</c:v>
                </c:pt>
                <c:pt idx="201">
                  <c:v>Saint Helena</c:v>
                </c:pt>
                <c:pt idx="202">
                  <c:v>Saint Kitts and Nevis</c:v>
                </c:pt>
                <c:pt idx="203">
                  <c:v>Saint Lucia</c:v>
                </c:pt>
                <c:pt idx="204">
                  <c:v>Saint Pierre and Miquelon</c:v>
                </c:pt>
                <c:pt idx="205">
                  <c:v>Saint Vincent and the Grenadines</c:v>
                </c:pt>
                <c:pt idx="206">
                  <c:v>Samoa</c:v>
                </c:pt>
                <c:pt idx="207">
                  <c:v>San Marino</c:v>
                </c:pt>
                <c:pt idx="208">
                  <c:v>Sao Tome and Principe</c:v>
                </c:pt>
                <c:pt idx="209">
                  <c:v>Saudi Arabia</c:v>
                </c:pt>
                <c:pt idx="210">
                  <c:v>Senegal</c:v>
                </c:pt>
                <c:pt idx="211">
                  <c:v>Serbia and Montenegro</c:v>
                </c:pt>
                <c:pt idx="212">
                  <c:v>Seychelles</c:v>
                </c:pt>
                <c:pt idx="213">
                  <c:v>Sierra Leone</c:v>
                </c:pt>
                <c:pt idx="214">
                  <c:v>Singapore</c:v>
                </c:pt>
                <c:pt idx="215">
                  <c:v>Slovakia</c:v>
                </c:pt>
                <c:pt idx="216">
                  <c:v>Slovenia</c:v>
                </c:pt>
                <c:pt idx="217">
                  <c:v>Solomon Islands</c:v>
                </c:pt>
                <c:pt idx="218">
                  <c:v>Somalia</c:v>
                </c:pt>
                <c:pt idx="219">
                  <c:v>South Africa</c:v>
                </c:pt>
                <c:pt idx="220">
                  <c:v>South Georgia and the South Sandwich Islands</c:v>
                </c:pt>
                <c:pt idx="221">
                  <c:v>Spain</c:v>
                </c:pt>
                <c:pt idx="222">
                  <c:v>Spratly Islands</c:v>
                </c:pt>
                <c:pt idx="223">
                  <c:v>Sri Lanka</c:v>
                </c:pt>
                <c:pt idx="224">
                  <c:v>Sudan</c:v>
                </c:pt>
                <c:pt idx="225">
                  <c:v>Suriname</c:v>
                </c:pt>
                <c:pt idx="226">
                  <c:v>Svalbard</c:v>
                </c:pt>
                <c:pt idx="227">
                  <c:v>Swaziland</c:v>
                </c:pt>
                <c:pt idx="228">
                  <c:v>Sweden</c:v>
                </c:pt>
                <c:pt idx="229">
                  <c:v>Switzerland</c:v>
                </c:pt>
                <c:pt idx="230">
                  <c:v>Syria</c:v>
                </c:pt>
                <c:pt idx="231">
                  <c:v>Taiwan</c:v>
                </c:pt>
                <c:pt idx="232">
                  <c:v>Tajikistan</c:v>
                </c:pt>
                <c:pt idx="233">
                  <c:v>Tanzania</c:v>
                </c:pt>
                <c:pt idx="234">
                  <c:v>Thailand</c:v>
                </c:pt>
                <c:pt idx="235">
                  <c:v>Togo</c:v>
                </c:pt>
                <c:pt idx="236">
                  <c:v>Tokelau</c:v>
                </c:pt>
                <c:pt idx="237">
                  <c:v>Tonga</c:v>
                </c:pt>
                <c:pt idx="238">
                  <c:v>Trinidad and Tobago</c:v>
                </c:pt>
                <c:pt idx="239">
                  <c:v>Tromelin Island</c:v>
                </c:pt>
                <c:pt idx="240">
                  <c:v>Tunisia</c:v>
                </c:pt>
                <c:pt idx="241">
                  <c:v>Turkey</c:v>
                </c:pt>
                <c:pt idx="242">
                  <c:v>Turkmenistan</c:v>
                </c:pt>
                <c:pt idx="243">
                  <c:v>Turks and Caicos Islands</c:v>
                </c:pt>
                <c:pt idx="244">
                  <c:v>Tuvalu</c:v>
                </c:pt>
                <c:pt idx="245">
                  <c:v>Uganda</c:v>
                </c:pt>
                <c:pt idx="246">
                  <c:v>Ukraine</c:v>
                </c:pt>
                <c:pt idx="247">
                  <c:v>United Arab Emirates</c:v>
                </c:pt>
                <c:pt idx="248">
                  <c:v>United Kingdom</c:v>
                </c:pt>
                <c:pt idx="249">
                  <c:v>United States</c:v>
                </c:pt>
                <c:pt idx="250">
                  <c:v>Uruguay</c:v>
                </c:pt>
                <c:pt idx="251">
                  <c:v>Uzbekistan</c:v>
                </c:pt>
                <c:pt idx="252">
                  <c:v>Vanuatu</c:v>
                </c:pt>
                <c:pt idx="253">
                  <c:v>Venezuela</c:v>
                </c:pt>
                <c:pt idx="254">
                  <c:v>Vietnam</c:v>
                </c:pt>
                <c:pt idx="255">
                  <c:v>Virgin Islands</c:v>
                </c:pt>
                <c:pt idx="256">
                  <c:v>Wake Island</c:v>
                </c:pt>
                <c:pt idx="257">
                  <c:v>Wallis and Futuna</c:v>
                </c:pt>
                <c:pt idx="258">
                  <c:v>West Bank</c:v>
                </c:pt>
                <c:pt idx="259">
                  <c:v>Western Sahara</c:v>
                </c:pt>
                <c:pt idx="260">
                  <c:v>Yemen</c:v>
                </c:pt>
                <c:pt idx="261">
                  <c:v>Zambia</c:v>
                </c:pt>
                <c:pt idx="262">
                  <c:v>Zimbabwe</c:v>
                </c:pt>
              </c:strCache>
            </c:strRef>
          </c:cat>
          <c:val>
            <c:numRef>
              <c:f>'Analysis and visual 3'!$D$2:$D$265</c:f>
              <c:numCache>
                <c:formatCode>General</c:formatCode>
                <c:ptCount val="263"/>
                <c:pt idx="0">
                  <c:v>297800000000</c:v>
                </c:pt>
                <c:pt idx="1">
                  <c:v>0</c:v>
                </c:pt>
                <c:pt idx="3">
                  <c:v>0</c:v>
                </c:pt>
                <c:pt idx="4">
                  <c:v>0</c:v>
                </c:pt>
                <c:pt idx="7">
                  <c:v>0</c:v>
                </c:pt>
                <c:pt idx="11">
                  <c:v>0</c:v>
                </c:pt>
                <c:pt idx="12">
                  <c:v>1400000000</c:v>
                </c:pt>
                <c:pt idx="15">
                  <c:v>0</c:v>
                </c:pt>
                <c:pt idx="16">
                  <c:v>6033000000</c:v>
                </c:pt>
                <c:pt idx="17">
                  <c:v>1000000000</c:v>
                </c:pt>
                <c:pt idx="19">
                  <c:v>0</c:v>
                </c:pt>
                <c:pt idx="21">
                  <c:v>0</c:v>
                </c:pt>
                <c:pt idx="22">
                  <c:v>0</c:v>
                </c:pt>
                <c:pt idx="24">
                  <c:v>18500000000</c:v>
                </c:pt>
                <c:pt idx="25">
                  <c:v>15400000000</c:v>
                </c:pt>
                <c:pt idx="30">
                  <c:v>0</c:v>
                </c:pt>
                <c:pt idx="31">
                  <c:v>300000000</c:v>
                </c:pt>
                <c:pt idx="34">
                  <c:v>3640000000</c:v>
                </c:pt>
                <c:pt idx="37">
                  <c:v>0</c:v>
                </c:pt>
                <c:pt idx="38">
                  <c:v>5800000000</c:v>
                </c:pt>
                <c:pt idx="40">
                  <c:v>0</c:v>
                </c:pt>
                <c:pt idx="43">
                  <c:v>0</c:v>
                </c:pt>
                <c:pt idx="44">
                  <c:v>8730000000</c:v>
                </c:pt>
                <c:pt idx="49">
                  <c:v>5337000000</c:v>
                </c:pt>
                <c:pt idx="50">
                  <c:v>0</c:v>
                </c:pt>
                <c:pt idx="54">
                  <c:v>0</c:v>
                </c:pt>
                <c:pt idx="57">
                  <c:v>0</c:v>
                </c:pt>
                <c:pt idx="60">
                  <c:v>0</c:v>
                </c:pt>
                <c:pt idx="61">
                  <c:v>1080000000</c:v>
                </c:pt>
                <c:pt idx="62">
                  <c:v>0</c:v>
                </c:pt>
                <c:pt idx="64">
                  <c:v>9521000000</c:v>
                </c:pt>
                <c:pt idx="65">
                  <c:v>0</c:v>
                </c:pt>
                <c:pt idx="71">
                  <c:v>0</c:v>
                </c:pt>
                <c:pt idx="72">
                  <c:v>0</c:v>
                </c:pt>
                <c:pt idx="74">
                  <c:v>0</c:v>
                </c:pt>
                <c:pt idx="76">
                  <c:v>1270000000</c:v>
                </c:pt>
                <c:pt idx="82">
                  <c:v>4567000000</c:v>
                </c:pt>
                <c:pt idx="83">
                  <c:v>40260000000</c:v>
                </c:pt>
                <c:pt idx="87">
                  <c:v>0</c:v>
                </c:pt>
                <c:pt idx="90">
                  <c:v>1100000000</c:v>
                </c:pt>
                <c:pt idx="91">
                  <c:v>85020000000</c:v>
                </c:pt>
                <c:pt idx="95">
                  <c:v>2018000000</c:v>
                </c:pt>
                <c:pt idx="109">
                  <c:v>680900000</c:v>
                </c:pt>
                <c:pt idx="111">
                  <c:v>9587000000</c:v>
                </c:pt>
                <c:pt idx="113">
                  <c:v>0</c:v>
                </c:pt>
                <c:pt idx="114">
                  <c:v>0</c:v>
                </c:pt>
                <c:pt idx="115">
                  <c:v>4920000000</c:v>
                </c:pt>
                <c:pt idx="116">
                  <c:v>0</c:v>
                </c:pt>
                <c:pt idx="117">
                  <c:v>3384000000</c:v>
                </c:pt>
                <c:pt idx="118">
                  <c:v>0</c:v>
                </c:pt>
                <c:pt idx="119">
                  <c:v>54780000000</c:v>
                </c:pt>
                <c:pt idx="122">
                  <c:v>77730000000</c:v>
                </c:pt>
                <c:pt idx="126">
                  <c:v>0</c:v>
                </c:pt>
                <c:pt idx="128">
                  <c:v>8696000000</c:v>
                </c:pt>
                <c:pt idx="133">
                  <c:v>21110000000</c:v>
                </c:pt>
                <c:pt idx="134">
                  <c:v>0</c:v>
                </c:pt>
                <c:pt idx="135">
                  <c:v>2000000000</c:v>
                </c:pt>
                <c:pt idx="137">
                  <c:v>1700000000</c:v>
                </c:pt>
                <c:pt idx="141">
                  <c:v>0</c:v>
                </c:pt>
                <c:pt idx="143">
                  <c:v>2760000000</c:v>
                </c:pt>
                <c:pt idx="144">
                  <c:v>867000000</c:v>
                </c:pt>
                <c:pt idx="149">
                  <c:v>0</c:v>
                </c:pt>
                <c:pt idx="159">
                  <c:v>7850000000</c:v>
                </c:pt>
                <c:pt idx="162">
                  <c:v>2050000000</c:v>
                </c:pt>
                <c:pt idx="166">
                  <c:v>0</c:v>
                </c:pt>
                <c:pt idx="167">
                  <c:v>0</c:v>
                </c:pt>
                <c:pt idx="172">
                  <c:v>20780000000</c:v>
                </c:pt>
                <c:pt idx="175">
                  <c:v>0</c:v>
                </c:pt>
                <c:pt idx="178">
                  <c:v>0</c:v>
                </c:pt>
                <c:pt idx="182">
                  <c:v>0</c:v>
                </c:pt>
                <c:pt idx="183">
                  <c:v>0</c:v>
                </c:pt>
                <c:pt idx="184">
                  <c:v>0</c:v>
                </c:pt>
                <c:pt idx="188">
                  <c:v>0</c:v>
                </c:pt>
                <c:pt idx="190">
                  <c:v>0</c:v>
                </c:pt>
                <c:pt idx="191">
                  <c:v>0</c:v>
                </c:pt>
                <c:pt idx="193">
                  <c:v>8782000000</c:v>
                </c:pt>
                <c:pt idx="194">
                  <c:v>2553000000</c:v>
                </c:pt>
                <c:pt idx="195">
                  <c:v>630000000</c:v>
                </c:pt>
                <c:pt idx="196">
                  <c:v>0</c:v>
                </c:pt>
                <c:pt idx="198">
                  <c:v>5400000000</c:v>
                </c:pt>
                <c:pt idx="199">
                  <c:v>32700000000</c:v>
                </c:pt>
                <c:pt idx="209">
                  <c:v>0</c:v>
                </c:pt>
                <c:pt idx="210">
                  <c:v>0</c:v>
                </c:pt>
                <c:pt idx="211">
                  <c:v>0</c:v>
                </c:pt>
                <c:pt idx="214">
                  <c:v>2500000000</c:v>
                </c:pt>
                <c:pt idx="215">
                  <c:v>6600000000</c:v>
                </c:pt>
                <c:pt idx="216">
                  <c:v>1040000000</c:v>
                </c:pt>
                <c:pt idx="219">
                  <c:v>0</c:v>
                </c:pt>
                <c:pt idx="221">
                  <c:v>17260000000</c:v>
                </c:pt>
                <c:pt idx="228">
                  <c:v>968000000</c:v>
                </c:pt>
                <c:pt idx="229">
                  <c:v>3093000000</c:v>
                </c:pt>
                <c:pt idx="230">
                  <c:v>0</c:v>
                </c:pt>
                <c:pt idx="231">
                  <c:v>6300000000</c:v>
                </c:pt>
                <c:pt idx="232">
                  <c:v>1250000000</c:v>
                </c:pt>
                <c:pt idx="234">
                  <c:v>5200000000</c:v>
                </c:pt>
                <c:pt idx="238">
                  <c:v>0</c:v>
                </c:pt>
                <c:pt idx="240">
                  <c:v>1580000000</c:v>
                </c:pt>
                <c:pt idx="241">
                  <c:v>15750000000</c:v>
                </c:pt>
                <c:pt idx="242">
                  <c:v>0</c:v>
                </c:pt>
                <c:pt idx="246">
                  <c:v>60400000000</c:v>
                </c:pt>
                <c:pt idx="247">
                  <c:v>0</c:v>
                </c:pt>
                <c:pt idx="248">
                  <c:v>2700000000</c:v>
                </c:pt>
                <c:pt idx="249">
                  <c:v>114100000000</c:v>
                </c:pt>
                <c:pt idx="250">
                  <c:v>65000000</c:v>
                </c:pt>
                <c:pt idx="251">
                  <c:v>0</c:v>
                </c:pt>
                <c:pt idx="253">
                  <c:v>0</c:v>
                </c:pt>
                <c:pt idx="254">
                  <c:v>0</c:v>
                </c:pt>
                <c:pt idx="260">
                  <c:v>0</c:v>
                </c:pt>
              </c:numCache>
            </c:numRef>
          </c:val>
          <c:smooth val="0"/>
          <c:extLst>
            <c:ext xmlns:c16="http://schemas.microsoft.com/office/drawing/2014/chart" uri="{C3380CC4-5D6E-409C-BE32-E72D297353CC}">
              <c16:uniqueId val="{00000002-3B38-4A0B-9384-BAE6977F1F03}"/>
            </c:ext>
          </c:extLst>
        </c:ser>
        <c:ser>
          <c:idx val="3"/>
          <c:order val="3"/>
          <c:tx>
            <c:strRef>
              <c:f>'Analysis and visual 3'!$E$1</c:f>
              <c:strCache>
                <c:ptCount val="1"/>
                <c:pt idx="0">
                  <c:v>Sum of Natural gas - production(cu 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'Analysis and visual 3'!$A$2:$A$265</c:f>
              <c:strCache>
                <c:ptCount val="263"/>
                <c:pt idx="0">
                  <c:v>#European Union</c:v>
                </c:pt>
                <c:pt idx="1">
                  <c:v>Afghanistan</c:v>
                </c:pt>
                <c:pt idx="2">
                  <c:v>Akrotiri</c:v>
                </c:pt>
                <c:pt idx="3">
                  <c:v>Albania</c:v>
                </c:pt>
                <c:pt idx="4">
                  <c:v>Algeria</c:v>
                </c:pt>
                <c:pt idx="5">
                  <c:v>American Samoa</c:v>
                </c:pt>
                <c:pt idx="6">
                  <c:v>Andorra</c:v>
                </c:pt>
                <c:pt idx="7">
                  <c:v>Angola</c:v>
                </c:pt>
                <c:pt idx="8">
                  <c:v>Anguilla</c:v>
                </c:pt>
                <c:pt idx="9">
                  <c:v>Antarctica</c:v>
                </c:pt>
                <c:pt idx="10">
                  <c:v>Antigua and Barbuda</c:v>
                </c:pt>
                <c:pt idx="11">
                  <c:v>Argentina</c:v>
                </c:pt>
                <c:pt idx="12">
                  <c:v>Armenia</c:v>
                </c:pt>
                <c:pt idx="13">
                  <c:v>Aruba</c:v>
                </c:pt>
                <c:pt idx="14">
                  <c:v>Ashmore and Cartier Islands</c:v>
                </c:pt>
                <c:pt idx="15">
                  <c:v>Australia</c:v>
                </c:pt>
                <c:pt idx="16">
                  <c:v>Austria</c:v>
                </c:pt>
                <c:pt idx="17">
                  <c:v>Azerbaijan</c:v>
                </c:pt>
                <c:pt idx="18">
                  <c:v>Bahamas The</c:v>
                </c:pt>
                <c:pt idx="19">
                  <c:v>Bahrain</c:v>
                </c:pt>
                <c:pt idx="20">
                  <c:v>Baker Island</c:v>
                </c:pt>
                <c:pt idx="21">
                  <c:v>Bangladesh</c:v>
                </c:pt>
                <c:pt idx="22">
                  <c:v>Barbados</c:v>
                </c:pt>
                <c:pt idx="23">
                  <c:v>Bassas da India</c:v>
                </c:pt>
                <c:pt idx="24">
                  <c:v>Belarus</c:v>
                </c:pt>
                <c:pt idx="25">
                  <c:v>Belgium</c:v>
                </c:pt>
                <c:pt idx="26">
                  <c:v>Belize</c:v>
                </c:pt>
                <c:pt idx="27">
                  <c:v>Benin</c:v>
                </c:pt>
                <c:pt idx="28">
                  <c:v>Bermuda</c:v>
                </c:pt>
                <c:pt idx="29">
                  <c:v>Bhutan</c:v>
                </c:pt>
                <c:pt idx="30">
                  <c:v>Bolivia</c:v>
                </c:pt>
                <c:pt idx="31">
                  <c:v>Bosnia and Herzegovina</c:v>
                </c:pt>
                <c:pt idx="32">
                  <c:v>Botswana</c:v>
                </c:pt>
                <c:pt idx="33">
                  <c:v>Bouvet Island</c:v>
                </c:pt>
                <c:pt idx="34">
                  <c:v>Brazil</c:v>
                </c:pt>
                <c:pt idx="35">
                  <c:v>British Indian Ocean Territory</c:v>
                </c:pt>
                <c:pt idx="36">
                  <c:v>British Virgin Islands</c:v>
                </c:pt>
                <c:pt idx="37">
                  <c:v>Brunei</c:v>
                </c:pt>
                <c:pt idx="38">
                  <c:v>Bulgaria</c:v>
                </c:pt>
                <c:pt idx="39">
                  <c:v>Burkina Faso</c:v>
                </c:pt>
                <c:pt idx="40">
                  <c:v>Burma</c:v>
                </c:pt>
                <c:pt idx="41">
                  <c:v>Burundi</c:v>
                </c:pt>
                <c:pt idx="42">
                  <c:v>Cambodia</c:v>
                </c:pt>
                <c:pt idx="43">
                  <c:v>Cameroon</c:v>
                </c:pt>
                <c:pt idx="44">
                  <c:v>Canada</c:v>
                </c:pt>
                <c:pt idx="45">
                  <c:v>Cape Verde</c:v>
                </c:pt>
                <c:pt idx="46">
                  <c:v>Cayman Islands</c:v>
                </c:pt>
                <c:pt idx="47">
                  <c:v>Central African Republic</c:v>
                </c:pt>
                <c:pt idx="48">
                  <c:v>Chad</c:v>
                </c:pt>
                <c:pt idx="49">
                  <c:v>Chile</c:v>
                </c:pt>
                <c:pt idx="50">
                  <c:v>China</c:v>
                </c:pt>
                <c:pt idx="51">
                  <c:v>Christmas Island</c:v>
                </c:pt>
                <c:pt idx="52">
                  <c:v>Clipperton Island</c:v>
                </c:pt>
                <c:pt idx="53">
                  <c:v>Cocos (Keeling) Islands</c:v>
                </c:pt>
                <c:pt idx="54">
                  <c:v>Colombia</c:v>
                </c:pt>
                <c:pt idx="55">
                  <c:v>Comoros</c:v>
                </c:pt>
                <c:pt idx="56">
                  <c:v>Congo Democratic Republic of the</c:v>
                </c:pt>
                <c:pt idx="57">
                  <c:v>Congo Republic of the</c:v>
                </c:pt>
                <c:pt idx="58">
                  <c:v>Cook Islands</c:v>
                </c:pt>
                <c:pt idx="59">
                  <c:v>Costa Rica</c:v>
                </c:pt>
                <c:pt idx="60">
                  <c:v>Cote d'Ivoire</c:v>
                </c:pt>
                <c:pt idx="61">
                  <c:v>Croatia</c:v>
                </c:pt>
                <c:pt idx="62">
                  <c:v>Cuba</c:v>
                </c:pt>
                <c:pt idx="63">
                  <c:v>Cyprus</c:v>
                </c:pt>
                <c:pt idx="64">
                  <c:v>Czech Republic</c:v>
                </c:pt>
                <c:pt idx="65">
                  <c:v>Denmark</c:v>
                </c:pt>
                <c:pt idx="66">
                  <c:v>Dhekelia</c:v>
                </c:pt>
                <c:pt idx="67">
                  <c:v>Djibouti</c:v>
                </c:pt>
                <c:pt idx="68">
                  <c:v>Dominica</c:v>
                </c:pt>
                <c:pt idx="69">
                  <c:v>Dominican Republic</c:v>
                </c:pt>
                <c:pt idx="70">
                  <c:v>East Timor</c:v>
                </c:pt>
                <c:pt idx="71">
                  <c:v>Ecuador</c:v>
                </c:pt>
                <c:pt idx="72">
                  <c:v>Egypt</c:v>
                </c:pt>
                <c:pt idx="73">
                  <c:v>El Salvador</c:v>
                </c:pt>
                <c:pt idx="74">
                  <c:v>Equatorial Guinea</c:v>
                </c:pt>
                <c:pt idx="75">
                  <c:v>Eritrea</c:v>
                </c:pt>
                <c:pt idx="76">
                  <c:v>Estonia</c:v>
                </c:pt>
                <c:pt idx="77">
                  <c:v>Ethiopia</c:v>
                </c:pt>
                <c:pt idx="78">
                  <c:v>Europa Island</c:v>
                </c:pt>
                <c:pt idx="79">
                  <c:v>Falkland Islands (Islas Malvinas)</c:v>
                </c:pt>
                <c:pt idx="80">
                  <c:v>Faroe Islands</c:v>
                </c:pt>
                <c:pt idx="81">
                  <c:v>Fiji</c:v>
                </c:pt>
                <c:pt idx="82">
                  <c:v>Finland</c:v>
                </c:pt>
                <c:pt idx="83">
                  <c:v>France</c:v>
                </c:pt>
                <c:pt idx="84">
                  <c:v>French Guiana</c:v>
                </c:pt>
                <c:pt idx="85">
                  <c:v>French Polynesia</c:v>
                </c:pt>
                <c:pt idx="86">
                  <c:v>French Southern and Antarctic Lands</c:v>
                </c:pt>
                <c:pt idx="87">
                  <c:v>Gabon</c:v>
                </c:pt>
                <c:pt idx="88">
                  <c:v>Gambia The</c:v>
                </c:pt>
                <c:pt idx="89">
                  <c:v>Gaza Strip</c:v>
                </c:pt>
                <c:pt idx="90">
                  <c:v>Georgia</c:v>
                </c:pt>
                <c:pt idx="91">
                  <c:v>Germany</c:v>
                </c:pt>
                <c:pt idx="92">
                  <c:v>Ghana</c:v>
                </c:pt>
                <c:pt idx="93">
                  <c:v>Gibraltar</c:v>
                </c:pt>
                <c:pt idx="94">
                  <c:v>Glorioso Islands</c:v>
                </c:pt>
                <c:pt idx="95">
                  <c:v>Greece</c:v>
                </c:pt>
                <c:pt idx="96">
                  <c:v>Greenland</c:v>
                </c:pt>
                <c:pt idx="97">
                  <c:v>Grenada</c:v>
                </c:pt>
                <c:pt idx="98">
                  <c:v>Guadeloupe</c:v>
                </c:pt>
                <c:pt idx="99">
                  <c:v>Guam</c:v>
                </c:pt>
                <c:pt idx="100">
                  <c:v>Guatemala</c:v>
                </c:pt>
                <c:pt idx="101">
                  <c:v>Guernsey</c:v>
                </c:pt>
                <c:pt idx="102">
                  <c:v>Guinea</c:v>
                </c:pt>
                <c:pt idx="103">
                  <c:v>Guinea-Bissau</c:v>
                </c:pt>
                <c:pt idx="104">
                  <c:v>Guyana</c:v>
                </c:pt>
                <c:pt idx="105">
                  <c:v>Haiti</c:v>
                </c:pt>
                <c:pt idx="106">
                  <c:v>Heard Island and McDonald Islands</c:v>
                </c:pt>
                <c:pt idx="107">
                  <c:v>Holy See (Vatican City)</c:v>
                </c:pt>
                <c:pt idx="108">
                  <c:v>Honduras</c:v>
                </c:pt>
                <c:pt idx="109">
                  <c:v>Hong Kong</c:v>
                </c:pt>
                <c:pt idx="110">
                  <c:v>Howland Island</c:v>
                </c:pt>
                <c:pt idx="111">
                  <c:v>Hungary</c:v>
                </c:pt>
                <c:pt idx="112">
                  <c:v>Iceland</c:v>
                </c:pt>
                <c:pt idx="113">
                  <c:v>India</c:v>
                </c:pt>
                <c:pt idx="114">
                  <c:v>Indonesia</c:v>
                </c:pt>
                <c:pt idx="115">
                  <c:v>Iran</c:v>
                </c:pt>
                <c:pt idx="116">
                  <c:v>Iraq</c:v>
                </c:pt>
                <c:pt idx="117">
                  <c:v>Ireland</c:v>
                </c:pt>
                <c:pt idx="118">
                  <c:v>Israel</c:v>
                </c:pt>
                <c:pt idx="119">
                  <c:v>Italy</c:v>
                </c:pt>
                <c:pt idx="120">
                  <c:v>Jamaica</c:v>
                </c:pt>
                <c:pt idx="121">
                  <c:v>Jan Mayen</c:v>
                </c:pt>
                <c:pt idx="122">
                  <c:v>Japan</c:v>
                </c:pt>
                <c:pt idx="123">
                  <c:v>Jarvis Island</c:v>
                </c:pt>
                <c:pt idx="124">
                  <c:v>Jersey</c:v>
                </c:pt>
                <c:pt idx="125">
                  <c:v>Johnston Atoll</c:v>
                </c:pt>
                <c:pt idx="126">
                  <c:v>Jordan</c:v>
                </c:pt>
                <c:pt idx="127">
                  <c:v>Juan de Nova Island</c:v>
                </c:pt>
                <c:pt idx="128">
                  <c:v>Kazakhstan</c:v>
                </c:pt>
                <c:pt idx="129">
                  <c:v>Kenya</c:v>
                </c:pt>
                <c:pt idx="130">
                  <c:v>Kingman Reef</c:v>
                </c:pt>
                <c:pt idx="131">
                  <c:v>Kiribati</c:v>
                </c:pt>
                <c:pt idx="132">
                  <c:v>Korea North</c:v>
                </c:pt>
                <c:pt idx="133">
                  <c:v>Korea South</c:v>
                </c:pt>
                <c:pt idx="134">
                  <c:v>Kuwait</c:v>
                </c:pt>
                <c:pt idx="135">
                  <c:v>Kyrgyzstan</c:v>
                </c:pt>
                <c:pt idx="136">
                  <c:v>Laos</c:v>
                </c:pt>
                <c:pt idx="137">
                  <c:v>Latvia</c:v>
                </c:pt>
                <c:pt idx="138">
                  <c:v>Lebanon</c:v>
                </c:pt>
                <c:pt idx="139">
                  <c:v>Lesotho</c:v>
                </c:pt>
                <c:pt idx="140">
                  <c:v>Liberia</c:v>
                </c:pt>
                <c:pt idx="141">
                  <c:v>Libya</c:v>
                </c:pt>
                <c:pt idx="142">
                  <c:v>Liechtenstein</c:v>
                </c:pt>
                <c:pt idx="143">
                  <c:v>Lithuania</c:v>
                </c:pt>
                <c:pt idx="144">
                  <c:v>Luxembourg</c:v>
                </c:pt>
                <c:pt idx="145">
                  <c:v>Macau</c:v>
                </c:pt>
                <c:pt idx="146">
                  <c:v>Macedonia</c:v>
                </c:pt>
                <c:pt idx="147">
                  <c:v>Madagascar</c:v>
                </c:pt>
                <c:pt idx="148">
                  <c:v>Malawi</c:v>
                </c:pt>
                <c:pt idx="149">
                  <c:v>Malaysia</c:v>
                </c:pt>
                <c:pt idx="150">
                  <c:v>Maldives</c:v>
                </c:pt>
                <c:pt idx="151">
                  <c:v>Mali</c:v>
                </c:pt>
                <c:pt idx="152">
                  <c:v>Malta</c:v>
                </c:pt>
                <c:pt idx="153">
                  <c:v>Man Isle of</c:v>
                </c:pt>
                <c:pt idx="154">
                  <c:v>Marshall Islands</c:v>
                </c:pt>
                <c:pt idx="155">
                  <c:v>Martinique</c:v>
                </c:pt>
                <c:pt idx="156">
                  <c:v>Mauritania</c:v>
                </c:pt>
                <c:pt idx="157">
                  <c:v>Mauritius</c:v>
                </c:pt>
                <c:pt idx="158">
                  <c:v>Mayotte</c:v>
                </c:pt>
                <c:pt idx="159">
                  <c:v>Mexico</c:v>
                </c:pt>
                <c:pt idx="160">
                  <c:v>Micronesia Federated States of</c:v>
                </c:pt>
                <c:pt idx="161">
                  <c:v>Midway Islands</c:v>
                </c:pt>
                <c:pt idx="162">
                  <c:v>Moldova</c:v>
                </c:pt>
                <c:pt idx="163">
                  <c:v>Monaco</c:v>
                </c:pt>
                <c:pt idx="164">
                  <c:v>Mongolia</c:v>
                </c:pt>
                <c:pt idx="165">
                  <c:v>Montserrat</c:v>
                </c:pt>
                <c:pt idx="166">
                  <c:v>Morocco</c:v>
                </c:pt>
                <c:pt idx="167">
                  <c:v>Mozambique</c:v>
                </c:pt>
                <c:pt idx="168">
                  <c:v>Namibia</c:v>
                </c:pt>
                <c:pt idx="169">
                  <c:v>Nauru</c:v>
                </c:pt>
                <c:pt idx="170">
                  <c:v>Navassa Island</c:v>
                </c:pt>
                <c:pt idx="171">
                  <c:v>Nepal</c:v>
                </c:pt>
                <c:pt idx="172">
                  <c:v>Netherlands</c:v>
                </c:pt>
                <c:pt idx="173">
                  <c:v>Netherlands Antilles</c:v>
                </c:pt>
                <c:pt idx="174">
                  <c:v>New Caledonia</c:v>
                </c:pt>
                <c:pt idx="175">
                  <c:v>New Zealand</c:v>
                </c:pt>
                <c:pt idx="176">
                  <c:v>Nicaragua</c:v>
                </c:pt>
                <c:pt idx="177">
                  <c:v>Niger</c:v>
                </c:pt>
                <c:pt idx="178">
                  <c:v>Nigeria</c:v>
                </c:pt>
                <c:pt idx="179">
                  <c:v>Niue</c:v>
                </c:pt>
                <c:pt idx="180">
                  <c:v>Norfolk Island</c:v>
                </c:pt>
                <c:pt idx="181">
                  <c:v>Northern Mariana Islands</c:v>
                </c:pt>
                <c:pt idx="182">
                  <c:v>Norway</c:v>
                </c:pt>
                <c:pt idx="183">
                  <c:v>Oman</c:v>
                </c:pt>
                <c:pt idx="184">
                  <c:v>Pakistan</c:v>
                </c:pt>
                <c:pt idx="185">
                  <c:v>Palau</c:v>
                </c:pt>
                <c:pt idx="186">
                  <c:v>Palmyra Atoll</c:v>
                </c:pt>
                <c:pt idx="187">
                  <c:v>Panama</c:v>
                </c:pt>
                <c:pt idx="188">
                  <c:v>Papua New Guinea</c:v>
                </c:pt>
                <c:pt idx="189">
                  <c:v>Paraguay</c:v>
                </c:pt>
                <c:pt idx="190">
                  <c:v>Peru</c:v>
                </c:pt>
                <c:pt idx="191">
                  <c:v>Philippines</c:v>
                </c:pt>
                <c:pt idx="192">
                  <c:v>Pitcairn Islands</c:v>
                </c:pt>
                <c:pt idx="193">
                  <c:v>Poland</c:v>
                </c:pt>
                <c:pt idx="194">
                  <c:v>Portugal</c:v>
                </c:pt>
                <c:pt idx="195">
                  <c:v>Puerto Rico</c:v>
                </c:pt>
                <c:pt idx="196">
                  <c:v>Qatar</c:v>
                </c:pt>
                <c:pt idx="197">
                  <c:v>Reunion</c:v>
                </c:pt>
                <c:pt idx="198">
                  <c:v>Romania</c:v>
                </c:pt>
                <c:pt idx="199">
                  <c:v>Russia</c:v>
                </c:pt>
                <c:pt idx="200">
                  <c:v>Rwanda</c:v>
                </c:pt>
                <c:pt idx="201">
                  <c:v>Saint Helena</c:v>
                </c:pt>
                <c:pt idx="202">
                  <c:v>Saint Kitts and Nevis</c:v>
                </c:pt>
                <c:pt idx="203">
                  <c:v>Saint Lucia</c:v>
                </c:pt>
                <c:pt idx="204">
                  <c:v>Saint Pierre and Miquelon</c:v>
                </c:pt>
                <c:pt idx="205">
                  <c:v>Saint Vincent and the Grenadines</c:v>
                </c:pt>
                <c:pt idx="206">
                  <c:v>Samoa</c:v>
                </c:pt>
                <c:pt idx="207">
                  <c:v>San Marino</c:v>
                </c:pt>
                <c:pt idx="208">
                  <c:v>Sao Tome and Principe</c:v>
                </c:pt>
                <c:pt idx="209">
                  <c:v>Saudi Arabia</c:v>
                </c:pt>
                <c:pt idx="210">
                  <c:v>Senegal</c:v>
                </c:pt>
                <c:pt idx="211">
                  <c:v>Serbia and Montenegro</c:v>
                </c:pt>
                <c:pt idx="212">
                  <c:v>Seychelles</c:v>
                </c:pt>
                <c:pt idx="213">
                  <c:v>Sierra Leone</c:v>
                </c:pt>
                <c:pt idx="214">
                  <c:v>Singapore</c:v>
                </c:pt>
                <c:pt idx="215">
                  <c:v>Slovakia</c:v>
                </c:pt>
                <c:pt idx="216">
                  <c:v>Slovenia</c:v>
                </c:pt>
                <c:pt idx="217">
                  <c:v>Solomon Islands</c:v>
                </c:pt>
                <c:pt idx="218">
                  <c:v>Somalia</c:v>
                </c:pt>
                <c:pt idx="219">
                  <c:v>South Africa</c:v>
                </c:pt>
                <c:pt idx="220">
                  <c:v>South Georgia and the South Sandwich Islands</c:v>
                </c:pt>
                <c:pt idx="221">
                  <c:v>Spain</c:v>
                </c:pt>
                <c:pt idx="222">
                  <c:v>Spratly Islands</c:v>
                </c:pt>
                <c:pt idx="223">
                  <c:v>Sri Lanka</c:v>
                </c:pt>
                <c:pt idx="224">
                  <c:v>Sudan</c:v>
                </c:pt>
                <c:pt idx="225">
                  <c:v>Suriname</c:v>
                </c:pt>
                <c:pt idx="226">
                  <c:v>Svalbard</c:v>
                </c:pt>
                <c:pt idx="227">
                  <c:v>Swaziland</c:v>
                </c:pt>
                <c:pt idx="228">
                  <c:v>Sweden</c:v>
                </c:pt>
                <c:pt idx="229">
                  <c:v>Switzerland</c:v>
                </c:pt>
                <c:pt idx="230">
                  <c:v>Syria</c:v>
                </c:pt>
                <c:pt idx="231">
                  <c:v>Taiwan</c:v>
                </c:pt>
                <c:pt idx="232">
                  <c:v>Tajikistan</c:v>
                </c:pt>
                <c:pt idx="233">
                  <c:v>Tanzania</c:v>
                </c:pt>
                <c:pt idx="234">
                  <c:v>Thailand</c:v>
                </c:pt>
                <c:pt idx="235">
                  <c:v>Togo</c:v>
                </c:pt>
                <c:pt idx="236">
                  <c:v>Tokelau</c:v>
                </c:pt>
                <c:pt idx="237">
                  <c:v>Tonga</c:v>
                </c:pt>
                <c:pt idx="238">
                  <c:v>Trinidad and Tobago</c:v>
                </c:pt>
                <c:pt idx="239">
                  <c:v>Tromelin Island</c:v>
                </c:pt>
                <c:pt idx="240">
                  <c:v>Tunisia</c:v>
                </c:pt>
                <c:pt idx="241">
                  <c:v>Turkey</c:v>
                </c:pt>
                <c:pt idx="242">
                  <c:v>Turkmenistan</c:v>
                </c:pt>
                <c:pt idx="243">
                  <c:v>Turks and Caicos Islands</c:v>
                </c:pt>
                <c:pt idx="244">
                  <c:v>Tuvalu</c:v>
                </c:pt>
                <c:pt idx="245">
                  <c:v>Uganda</c:v>
                </c:pt>
                <c:pt idx="246">
                  <c:v>Ukraine</c:v>
                </c:pt>
                <c:pt idx="247">
                  <c:v>United Arab Emirates</c:v>
                </c:pt>
                <c:pt idx="248">
                  <c:v>United Kingdom</c:v>
                </c:pt>
                <c:pt idx="249">
                  <c:v>United States</c:v>
                </c:pt>
                <c:pt idx="250">
                  <c:v>Uruguay</c:v>
                </c:pt>
                <c:pt idx="251">
                  <c:v>Uzbekistan</c:v>
                </c:pt>
                <c:pt idx="252">
                  <c:v>Vanuatu</c:v>
                </c:pt>
                <c:pt idx="253">
                  <c:v>Venezuela</c:v>
                </c:pt>
                <c:pt idx="254">
                  <c:v>Vietnam</c:v>
                </c:pt>
                <c:pt idx="255">
                  <c:v>Virgin Islands</c:v>
                </c:pt>
                <c:pt idx="256">
                  <c:v>Wake Island</c:v>
                </c:pt>
                <c:pt idx="257">
                  <c:v>Wallis and Futuna</c:v>
                </c:pt>
                <c:pt idx="258">
                  <c:v>West Bank</c:v>
                </c:pt>
                <c:pt idx="259">
                  <c:v>Western Sahara</c:v>
                </c:pt>
                <c:pt idx="260">
                  <c:v>Yemen</c:v>
                </c:pt>
                <c:pt idx="261">
                  <c:v>Zambia</c:v>
                </c:pt>
                <c:pt idx="262">
                  <c:v>Zimbabwe</c:v>
                </c:pt>
              </c:strCache>
            </c:strRef>
          </c:cat>
          <c:val>
            <c:numRef>
              <c:f>'Analysis and visual 3'!$E$2:$E$265</c:f>
              <c:numCache>
                <c:formatCode>General</c:formatCode>
                <c:ptCount val="263"/>
                <c:pt idx="0">
                  <c:v>242600000000</c:v>
                </c:pt>
                <c:pt idx="1">
                  <c:v>220000000</c:v>
                </c:pt>
                <c:pt idx="3">
                  <c:v>30000000</c:v>
                </c:pt>
                <c:pt idx="4">
                  <c:v>80300000000</c:v>
                </c:pt>
                <c:pt idx="7">
                  <c:v>530000000</c:v>
                </c:pt>
                <c:pt idx="11">
                  <c:v>37150000000</c:v>
                </c:pt>
                <c:pt idx="12">
                  <c:v>0</c:v>
                </c:pt>
                <c:pt idx="15">
                  <c:v>33080000000</c:v>
                </c:pt>
                <c:pt idx="16">
                  <c:v>1731000000</c:v>
                </c:pt>
                <c:pt idx="17">
                  <c:v>5720000000</c:v>
                </c:pt>
                <c:pt idx="19">
                  <c:v>32700000000</c:v>
                </c:pt>
                <c:pt idx="21">
                  <c:v>9900000000</c:v>
                </c:pt>
                <c:pt idx="22">
                  <c:v>29170000</c:v>
                </c:pt>
                <c:pt idx="24">
                  <c:v>250000000</c:v>
                </c:pt>
                <c:pt idx="25">
                  <c:v>0</c:v>
                </c:pt>
                <c:pt idx="30">
                  <c:v>8440000000</c:v>
                </c:pt>
                <c:pt idx="31">
                  <c:v>0</c:v>
                </c:pt>
                <c:pt idx="34">
                  <c:v>5950000000</c:v>
                </c:pt>
                <c:pt idx="37">
                  <c:v>10350000000</c:v>
                </c:pt>
                <c:pt idx="38">
                  <c:v>4000000</c:v>
                </c:pt>
                <c:pt idx="40">
                  <c:v>9980000000</c:v>
                </c:pt>
                <c:pt idx="43">
                  <c:v>0</c:v>
                </c:pt>
                <c:pt idx="44">
                  <c:v>165800000000</c:v>
                </c:pt>
                <c:pt idx="49">
                  <c:v>1180000000</c:v>
                </c:pt>
                <c:pt idx="50">
                  <c:v>35000000000</c:v>
                </c:pt>
                <c:pt idx="54">
                  <c:v>5700000000</c:v>
                </c:pt>
                <c:pt idx="57">
                  <c:v>0</c:v>
                </c:pt>
                <c:pt idx="60">
                  <c:v>1350000000</c:v>
                </c:pt>
                <c:pt idx="61">
                  <c:v>1760000000</c:v>
                </c:pt>
                <c:pt idx="62">
                  <c:v>600000000</c:v>
                </c:pt>
                <c:pt idx="64">
                  <c:v>160000000</c:v>
                </c:pt>
                <c:pt idx="65">
                  <c:v>8380000000</c:v>
                </c:pt>
                <c:pt idx="71">
                  <c:v>160000000</c:v>
                </c:pt>
                <c:pt idx="72">
                  <c:v>21200000000</c:v>
                </c:pt>
                <c:pt idx="74">
                  <c:v>20000000</c:v>
                </c:pt>
                <c:pt idx="76">
                  <c:v>0</c:v>
                </c:pt>
                <c:pt idx="82">
                  <c:v>0</c:v>
                </c:pt>
                <c:pt idx="83">
                  <c:v>1898000000</c:v>
                </c:pt>
                <c:pt idx="87">
                  <c:v>80000000</c:v>
                </c:pt>
                <c:pt idx="90">
                  <c:v>60000000</c:v>
                </c:pt>
                <c:pt idx="91">
                  <c:v>21000000000</c:v>
                </c:pt>
                <c:pt idx="95">
                  <c:v>35000000</c:v>
                </c:pt>
                <c:pt idx="111">
                  <c:v>3231000000</c:v>
                </c:pt>
                <c:pt idx="113">
                  <c:v>22750000000</c:v>
                </c:pt>
                <c:pt idx="114">
                  <c:v>77600000000</c:v>
                </c:pt>
                <c:pt idx="115">
                  <c:v>79000000000</c:v>
                </c:pt>
                <c:pt idx="116">
                  <c:v>2350000000</c:v>
                </c:pt>
                <c:pt idx="117">
                  <c:v>815000000</c:v>
                </c:pt>
                <c:pt idx="118">
                  <c:v>10000000</c:v>
                </c:pt>
                <c:pt idx="119">
                  <c:v>15490000000</c:v>
                </c:pt>
                <c:pt idx="122">
                  <c:v>2519000000</c:v>
                </c:pt>
                <c:pt idx="126">
                  <c:v>290000000</c:v>
                </c:pt>
                <c:pt idx="128">
                  <c:v>11600000000</c:v>
                </c:pt>
                <c:pt idx="133">
                  <c:v>0</c:v>
                </c:pt>
                <c:pt idx="134">
                  <c:v>8700000000</c:v>
                </c:pt>
                <c:pt idx="135">
                  <c:v>16000000</c:v>
                </c:pt>
                <c:pt idx="137">
                  <c:v>0</c:v>
                </c:pt>
                <c:pt idx="141">
                  <c:v>6180000000</c:v>
                </c:pt>
                <c:pt idx="143">
                  <c:v>0</c:v>
                </c:pt>
                <c:pt idx="144">
                  <c:v>0</c:v>
                </c:pt>
                <c:pt idx="149">
                  <c:v>53660000000</c:v>
                </c:pt>
                <c:pt idx="159">
                  <c:v>47300000000</c:v>
                </c:pt>
                <c:pt idx="162">
                  <c:v>0</c:v>
                </c:pt>
                <c:pt idx="166">
                  <c:v>50000000</c:v>
                </c:pt>
                <c:pt idx="167">
                  <c:v>60000000</c:v>
                </c:pt>
                <c:pt idx="172">
                  <c:v>77750000000</c:v>
                </c:pt>
                <c:pt idx="175">
                  <c:v>6504000000</c:v>
                </c:pt>
                <c:pt idx="178">
                  <c:v>15680000000</c:v>
                </c:pt>
                <c:pt idx="182">
                  <c:v>54600000000</c:v>
                </c:pt>
                <c:pt idx="183">
                  <c:v>13770000000</c:v>
                </c:pt>
                <c:pt idx="184">
                  <c:v>23400000000</c:v>
                </c:pt>
                <c:pt idx="188">
                  <c:v>110000000</c:v>
                </c:pt>
                <c:pt idx="190">
                  <c:v>910000000</c:v>
                </c:pt>
                <c:pt idx="191">
                  <c:v>2500000</c:v>
                </c:pt>
                <c:pt idx="193">
                  <c:v>5471000000</c:v>
                </c:pt>
                <c:pt idx="194">
                  <c:v>0</c:v>
                </c:pt>
                <c:pt idx="195">
                  <c:v>0</c:v>
                </c:pt>
                <c:pt idx="196">
                  <c:v>32400000000</c:v>
                </c:pt>
                <c:pt idx="198">
                  <c:v>12600000000</c:v>
                </c:pt>
                <c:pt idx="199">
                  <c:v>578600000000</c:v>
                </c:pt>
                <c:pt idx="209">
                  <c:v>56400000000</c:v>
                </c:pt>
                <c:pt idx="210">
                  <c:v>50000000</c:v>
                </c:pt>
                <c:pt idx="211">
                  <c:v>602000000</c:v>
                </c:pt>
                <c:pt idx="214">
                  <c:v>0</c:v>
                </c:pt>
                <c:pt idx="215">
                  <c:v>190000000</c:v>
                </c:pt>
                <c:pt idx="216">
                  <c:v>0</c:v>
                </c:pt>
                <c:pt idx="219">
                  <c:v>1800000000</c:v>
                </c:pt>
                <c:pt idx="221">
                  <c:v>516000000</c:v>
                </c:pt>
                <c:pt idx="228">
                  <c:v>0</c:v>
                </c:pt>
                <c:pt idx="229">
                  <c:v>0</c:v>
                </c:pt>
                <c:pt idx="230">
                  <c:v>5840000000</c:v>
                </c:pt>
                <c:pt idx="231">
                  <c:v>750000000</c:v>
                </c:pt>
                <c:pt idx="232">
                  <c:v>50000000</c:v>
                </c:pt>
                <c:pt idx="234">
                  <c:v>18730000000</c:v>
                </c:pt>
                <c:pt idx="238">
                  <c:v>25000000000</c:v>
                </c:pt>
                <c:pt idx="240">
                  <c:v>2250000000</c:v>
                </c:pt>
                <c:pt idx="241">
                  <c:v>312000000</c:v>
                </c:pt>
                <c:pt idx="242">
                  <c:v>58570000000</c:v>
                </c:pt>
                <c:pt idx="246">
                  <c:v>19600000000</c:v>
                </c:pt>
                <c:pt idx="247">
                  <c:v>44400000000</c:v>
                </c:pt>
                <c:pt idx="248">
                  <c:v>105900000000</c:v>
                </c:pt>
                <c:pt idx="249">
                  <c:v>548100000000</c:v>
                </c:pt>
                <c:pt idx="250">
                  <c:v>0</c:v>
                </c:pt>
                <c:pt idx="251">
                  <c:v>63100000000</c:v>
                </c:pt>
                <c:pt idx="253">
                  <c:v>29400000000</c:v>
                </c:pt>
                <c:pt idx="254">
                  <c:v>1300000000</c:v>
                </c:pt>
                <c:pt idx="260">
                  <c:v>0</c:v>
                </c:pt>
              </c:numCache>
            </c:numRef>
          </c:val>
          <c:smooth val="0"/>
          <c:extLst>
            <c:ext xmlns:c16="http://schemas.microsoft.com/office/drawing/2014/chart" uri="{C3380CC4-5D6E-409C-BE32-E72D297353CC}">
              <c16:uniqueId val="{00000003-3B38-4A0B-9384-BAE6977F1F03}"/>
            </c:ext>
          </c:extLst>
        </c:ser>
        <c:ser>
          <c:idx val="4"/>
          <c:order val="4"/>
          <c:tx>
            <c:strRef>
              <c:f>'Analysis and visual 3'!$F$1</c:f>
              <c:strCache>
                <c:ptCount val="1"/>
                <c:pt idx="0">
                  <c:v>Sum of Natural gas - proved reserves(cu m)</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'Analysis and visual 3'!$A$2:$A$265</c:f>
              <c:strCache>
                <c:ptCount val="263"/>
                <c:pt idx="0">
                  <c:v>#European Union</c:v>
                </c:pt>
                <c:pt idx="1">
                  <c:v>Afghanistan</c:v>
                </c:pt>
                <c:pt idx="2">
                  <c:v>Akrotiri</c:v>
                </c:pt>
                <c:pt idx="3">
                  <c:v>Albania</c:v>
                </c:pt>
                <c:pt idx="4">
                  <c:v>Algeria</c:v>
                </c:pt>
                <c:pt idx="5">
                  <c:v>American Samoa</c:v>
                </c:pt>
                <c:pt idx="6">
                  <c:v>Andorra</c:v>
                </c:pt>
                <c:pt idx="7">
                  <c:v>Angola</c:v>
                </c:pt>
                <c:pt idx="8">
                  <c:v>Anguilla</c:v>
                </c:pt>
                <c:pt idx="9">
                  <c:v>Antarctica</c:v>
                </c:pt>
                <c:pt idx="10">
                  <c:v>Antigua and Barbuda</c:v>
                </c:pt>
                <c:pt idx="11">
                  <c:v>Argentina</c:v>
                </c:pt>
                <c:pt idx="12">
                  <c:v>Armenia</c:v>
                </c:pt>
                <c:pt idx="13">
                  <c:v>Aruba</c:v>
                </c:pt>
                <c:pt idx="14">
                  <c:v>Ashmore and Cartier Islands</c:v>
                </c:pt>
                <c:pt idx="15">
                  <c:v>Australia</c:v>
                </c:pt>
                <c:pt idx="16">
                  <c:v>Austria</c:v>
                </c:pt>
                <c:pt idx="17">
                  <c:v>Azerbaijan</c:v>
                </c:pt>
                <c:pt idx="18">
                  <c:v>Bahamas The</c:v>
                </c:pt>
                <c:pt idx="19">
                  <c:v>Bahrain</c:v>
                </c:pt>
                <c:pt idx="20">
                  <c:v>Baker Island</c:v>
                </c:pt>
                <c:pt idx="21">
                  <c:v>Bangladesh</c:v>
                </c:pt>
                <c:pt idx="22">
                  <c:v>Barbados</c:v>
                </c:pt>
                <c:pt idx="23">
                  <c:v>Bassas da India</c:v>
                </c:pt>
                <c:pt idx="24">
                  <c:v>Belarus</c:v>
                </c:pt>
                <c:pt idx="25">
                  <c:v>Belgium</c:v>
                </c:pt>
                <c:pt idx="26">
                  <c:v>Belize</c:v>
                </c:pt>
                <c:pt idx="27">
                  <c:v>Benin</c:v>
                </c:pt>
                <c:pt idx="28">
                  <c:v>Bermuda</c:v>
                </c:pt>
                <c:pt idx="29">
                  <c:v>Bhutan</c:v>
                </c:pt>
                <c:pt idx="30">
                  <c:v>Bolivia</c:v>
                </c:pt>
                <c:pt idx="31">
                  <c:v>Bosnia and Herzegovina</c:v>
                </c:pt>
                <c:pt idx="32">
                  <c:v>Botswana</c:v>
                </c:pt>
                <c:pt idx="33">
                  <c:v>Bouvet Island</c:v>
                </c:pt>
                <c:pt idx="34">
                  <c:v>Brazil</c:v>
                </c:pt>
                <c:pt idx="35">
                  <c:v>British Indian Ocean Territory</c:v>
                </c:pt>
                <c:pt idx="36">
                  <c:v>British Virgin Islands</c:v>
                </c:pt>
                <c:pt idx="37">
                  <c:v>Brunei</c:v>
                </c:pt>
                <c:pt idx="38">
                  <c:v>Bulgaria</c:v>
                </c:pt>
                <c:pt idx="39">
                  <c:v>Burkina Faso</c:v>
                </c:pt>
                <c:pt idx="40">
                  <c:v>Burma</c:v>
                </c:pt>
                <c:pt idx="41">
                  <c:v>Burundi</c:v>
                </c:pt>
                <c:pt idx="42">
                  <c:v>Cambodia</c:v>
                </c:pt>
                <c:pt idx="43">
                  <c:v>Cameroon</c:v>
                </c:pt>
                <c:pt idx="44">
                  <c:v>Canada</c:v>
                </c:pt>
                <c:pt idx="45">
                  <c:v>Cape Verde</c:v>
                </c:pt>
                <c:pt idx="46">
                  <c:v>Cayman Islands</c:v>
                </c:pt>
                <c:pt idx="47">
                  <c:v>Central African Republic</c:v>
                </c:pt>
                <c:pt idx="48">
                  <c:v>Chad</c:v>
                </c:pt>
                <c:pt idx="49">
                  <c:v>Chile</c:v>
                </c:pt>
                <c:pt idx="50">
                  <c:v>China</c:v>
                </c:pt>
                <c:pt idx="51">
                  <c:v>Christmas Island</c:v>
                </c:pt>
                <c:pt idx="52">
                  <c:v>Clipperton Island</c:v>
                </c:pt>
                <c:pt idx="53">
                  <c:v>Cocos (Keeling) Islands</c:v>
                </c:pt>
                <c:pt idx="54">
                  <c:v>Colombia</c:v>
                </c:pt>
                <c:pt idx="55">
                  <c:v>Comoros</c:v>
                </c:pt>
                <c:pt idx="56">
                  <c:v>Congo Democratic Republic of the</c:v>
                </c:pt>
                <c:pt idx="57">
                  <c:v>Congo Republic of the</c:v>
                </c:pt>
                <c:pt idx="58">
                  <c:v>Cook Islands</c:v>
                </c:pt>
                <c:pt idx="59">
                  <c:v>Costa Rica</c:v>
                </c:pt>
                <c:pt idx="60">
                  <c:v>Cote d'Ivoire</c:v>
                </c:pt>
                <c:pt idx="61">
                  <c:v>Croatia</c:v>
                </c:pt>
                <c:pt idx="62">
                  <c:v>Cuba</c:v>
                </c:pt>
                <c:pt idx="63">
                  <c:v>Cyprus</c:v>
                </c:pt>
                <c:pt idx="64">
                  <c:v>Czech Republic</c:v>
                </c:pt>
                <c:pt idx="65">
                  <c:v>Denmark</c:v>
                </c:pt>
                <c:pt idx="66">
                  <c:v>Dhekelia</c:v>
                </c:pt>
                <c:pt idx="67">
                  <c:v>Djibouti</c:v>
                </c:pt>
                <c:pt idx="68">
                  <c:v>Dominica</c:v>
                </c:pt>
                <c:pt idx="69">
                  <c:v>Dominican Republic</c:v>
                </c:pt>
                <c:pt idx="70">
                  <c:v>East Timor</c:v>
                </c:pt>
                <c:pt idx="71">
                  <c:v>Ecuador</c:v>
                </c:pt>
                <c:pt idx="72">
                  <c:v>Egypt</c:v>
                </c:pt>
                <c:pt idx="73">
                  <c:v>El Salvador</c:v>
                </c:pt>
                <c:pt idx="74">
                  <c:v>Equatorial Guinea</c:v>
                </c:pt>
                <c:pt idx="75">
                  <c:v>Eritrea</c:v>
                </c:pt>
                <c:pt idx="76">
                  <c:v>Estonia</c:v>
                </c:pt>
                <c:pt idx="77">
                  <c:v>Ethiopia</c:v>
                </c:pt>
                <c:pt idx="78">
                  <c:v>Europa Island</c:v>
                </c:pt>
                <c:pt idx="79">
                  <c:v>Falkland Islands (Islas Malvinas)</c:v>
                </c:pt>
                <c:pt idx="80">
                  <c:v>Faroe Islands</c:v>
                </c:pt>
                <c:pt idx="81">
                  <c:v>Fiji</c:v>
                </c:pt>
                <c:pt idx="82">
                  <c:v>Finland</c:v>
                </c:pt>
                <c:pt idx="83">
                  <c:v>France</c:v>
                </c:pt>
                <c:pt idx="84">
                  <c:v>French Guiana</c:v>
                </c:pt>
                <c:pt idx="85">
                  <c:v>French Polynesia</c:v>
                </c:pt>
                <c:pt idx="86">
                  <c:v>French Southern and Antarctic Lands</c:v>
                </c:pt>
                <c:pt idx="87">
                  <c:v>Gabon</c:v>
                </c:pt>
                <c:pt idx="88">
                  <c:v>Gambia The</c:v>
                </c:pt>
                <c:pt idx="89">
                  <c:v>Gaza Strip</c:v>
                </c:pt>
                <c:pt idx="90">
                  <c:v>Georgia</c:v>
                </c:pt>
                <c:pt idx="91">
                  <c:v>Germany</c:v>
                </c:pt>
                <c:pt idx="92">
                  <c:v>Ghana</c:v>
                </c:pt>
                <c:pt idx="93">
                  <c:v>Gibraltar</c:v>
                </c:pt>
                <c:pt idx="94">
                  <c:v>Glorioso Islands</c:v>
                </c:pt>
                <c:pt idx="95">
                  <c:v>Greece</c:v>
                </c:pt>
                <c:pt idx="96">
                  <c:v>Greenland</c:v>
                </c:pt>
                <c:pt idx="97">
                  <c:v>Grenada</c:v>
                </c:pt>
                <c:pt idx="98">
                  <c:v>Guadeloupe</c:v>
                </c:pt>
                <c:pt idx="99">
                  <c:v>Guam</c:v>
                </c:pt>
                <c:pt idx="100">
                  <c:v>Guatemala</c:v>
                </c:pt>
                <c:pt idx="101">
                  <c:v>Guernsey</c:v>
                </c:pt>
                <c:pt idx="102">
                  <c:v>Guinea</c:v>
                </c:pt>
                <c:pt idx="103">
                  <c:v>Guinea-Bissau</c:v>
                </c:pt>
                <c:pt idx="104">
                  <c:v>Guyana</c:v>
                </c:pt>
                <c:pt idx="105">
                  <c:v>Haiti</c:v>
                </c:pt>
                <c:pt idx="106">
                  <c:v>Heard Island and McDonald Islands</c:v>
                </c:pt>
                <c:pt idx="107">
                  <c:v>Holy See (Vatican City)</c:v>
                </c:pt>
                <c:pt idx="108">
                  <c:v>Honduras</c:v>
                </c:pt>
                <c:pt idx="109">
                  <c:v>Hong Kong</c:v>
                </c:pt>
                <c:pt idx="110">
                  <c:v>Howland Island</c:v>
                </c:pt>
                <c:pt idx="111">
                  <c:v>Hungary</c:v>
                </c:pt>
                <c:pt idx="112">
                  <c:v>Iceland</c:v>
                </c:pt>
                <c:pt idx="113">
                  <c:v>India</c:v>
                </c:pt>
                <c:pt idx="114">
                  <c:v>Indonesia</c:v>
                </c:pt>
                <c:pt idx="115">
                  <c:v>Iran</c:v>
                </c:pt>
                <c:pt idx="116">
                  <c:v>Iraq</c:v>
                </c:pt>
                <c:pt idx="117">
                  <c:v>Ireland</c:v>
                </c:pt>
                <c:pt idx="118">
                  <c:v>Israel</c:v>
                </c:pt>
                <c:pt idx="119">
                  <c:v>Italy</c:v>
                </c:pt>
                <c:pt idx="120">
                  <c:v>Jamaica</c:v>
                </c:pt>
                <c:pt idx="121">
                  <c:v>Jan Mayen</c:v>
                </c:pt>
                <c:pt idx="122">
                  <c:v>Japan</c:v>
                </c:pt>
                <c:pt idx="123">
                  <c:v>Jarvis Island</c:v>
                </c:pt>
                <c:pt idx="124">
                  <c:v>Jersey</c:v>
                </c:pt>
                <c:pt idx="125">
                  <c:v>Johnston Atoll</c:v>
                </c:pt>
                <c:pt idx="126">
                  <c:v>Jordan</c:v>
                </c:pt>
                <c:pt idx="127">
                  <c:v>Juan de Nova Island</c:v>
                </c:pt>
                <c:pt idx="128">
                  <c:v>Kazakhstan</c:v>
                </c:pt>
                <c:pt idx="129">
                  <c:v>Kenya</c:v>
                </c:pt>
                <c:pt idx="130">
                  <c:v>Kingman Reef</c:v>
                </c:pt>
                <c:pt idx="131">
                  <c:v>Kiribati</c:v>
                </c:pt>
                <c:pt idx="132">
                  <c:v>Korea North</c:v>
                </c:pt>
                <c:pt idx="133">
                  <c:v>Korea South</c:v>
                </c:pt>
                <c:pt idx="134">
                  <c:v>Kuwait</c:v>
                </c:pt>
                <c:pt idx="135">
                  <c:v>Kyrgyzstan</c:v>
                </c:pt>
                <c:pt idx="136">
                  <c:v>Laos</c:v>
                </c:pt>
                <c:pt idx="137">
                  <c:v>Latvia</c:v>
                </c:pt>
                <c:pt idx="138">
                  <c:v>Lebanon</c:v>
                </c:pt>
                <c:pt idx="139">
                  <c:v>Lesotho</c:v>
                </c:pt>
                <c:pt idx="140">
                  <c:v>Liberia</c:v>
                </c:pt>
                <c:pt idx="141">
                  <c:v>Libya</c:v>
                </c:pt>
                <c:pt idx="142">
                  <c:v>Liechtenstein</c:v>
                </c:pt>
                <c:pt idx="143">
                  <c:v>Lithuania</c:v>
                </c:pt>
                <c:pt idx="144">
                  <c:v>Luxembourg</c:v>
                </c:pt>
                <c:pt idx="145">
                  <c:v>Macau</c:v>
                </c:pt>
                <c:pt idx="146">
                  <c:v>Macedonia</c:v>
                </c:pt>
                <c:pt idx="147">
                  <c:v>Madagascar</c:v>
                </c:pt>
                <c:pt idx="148">
                  <c:v>Malawi</c:v>
                </c:pt>
                <c:pt idx="149">
                  <c:v>Malaysia</c:v>
                </c:pt>
                <c:pt idx="150">
                  <c:v>Maldives</c:v>
                </c:pt>
                <c:pt idx="151">
                  <c:v>Mali</c:v>
                </c:pt>
                <c:pt idx="152">
                  <c:v>Malta</c:v>
                </c:pt>
                <c:pt idx="153">
                  <c:v>Man Isle of</c:v>
                </c:pt>
                <c:pt idx="154">
                  <c:v>Marshall Islands</c:v>
                </c:pt>
                <c:pt idx="155">
                  <c:v>Martinique</c:v>
                </c:pt>
                <c:pt idx="156">
                  <c:v>Mauritania</c:v>
                </c:pt>
                <c:pt idx="157">
                  <c:v>Mauritius</c:v>
                </c:pt>
                <c:pt idx="158">
                  <c:v>Mayotte</c:v>
                </c:pt>
                <c:pt idx="159">
                  <c:v>Mexico</c:v>
                </c:pt>
                <c:pt idx="160">
                  <c:v>Micronesia Federated States of</c:v>
                </c:pt>
                <c:pt idx="161">
                  <c:v>Midway Islands</c:v>
                </c:pt>
                <c:pt idx="162">
                  <c:v>Moldova</c:v>
                </c:pt>
                <c:pt idx="163">
                  <c:v>Monaco</c:v>
                </c:pt>
                <c:pt idx="164">
                  <c:v>Mongolia</c:v>
                </c:pt>
                <c:pt idx="165">
                  <c:v>Montserrat</c:v>
                </c:pt>
                <c:pt idx="166">
                  <c:v>Morocco</c:v>
                </c:pt>
                <c:pt idx="167">
                  <c:v>Mozambique</c:v>
                </c:pt>
                <c:pt idx="168">
                  <c:v>Namibia</c:v>
                </c:pt>
                <c:pt idx="169">
                  <c:v>Nauru</c:v>
                </c:pt>
                <c:pt idx="170">
                  <c:v>Navassa Island</c:v>
                </c:pt>
                <c:pt idx="171">
                  <c:v>Nepal</c:v>
                </c:pt>
                <c:pt idx="172">
                  <c:v>Netherlands</c:v>
                </c:pt>
                <c:pt idx="173">
                  <c:v>Netherlands Antilles</c:v>
                </c:pt>
                <c:pt idx="174">
                  <c:v>New Caledonia</c:v>
                </c:pt>
                <c:pt idx="175">
                  <c:v>New Zealand</c:v>
                </c:pt>
                <c:pt idx="176">
                  <c:v>Nicaragua</c:v>
                </c:pt>
                <c:pt idx="177">
                  <c:v>Niger</c:v>
                </c:pt>
                <c:pt idx="178">
                  <c:v>Nigeria</c:v>
                </c:pt>
                <c:pt idx="179">
                  <c:v>Niue</c:v>
                </c:pt>
                <c:pt idx="180">
                  <c:v>Norfolk Island</c:v>
                </c:pt>
                <c:pt idx="181">
                  <c:v>Northern Mariana Islands</c:v>
                </c:pt>
                <c:pt idx="182">
                  <c:v>Norway</c:v>
                </c:pt>
                <c:pt idx="183">
                  <c:v>Oman</c:v>
                </c:pt>
                <c:pt idx="184">
                  <c:v>Pakistan</c:v>
                </c:pt>
                <c:pt idx="185">
                  <c:v>Palau</c:v>
                </c:pt>
                <c:pt idx="186">
                  <c:v>Palmyra Atoll</c:v>
                </c:pt>
                <c:pt idx="187">
                  <c:v>Panama</c:v>
                </c:pt>
                <c:pt idx="188">
                  <c:v>Papua New Guinea</c:v>
                </c:pt>
                <c:pt idx="189">
                  <c:v>Paraguay</c:v>
                </c:pt>
                <c:pt idx="190">
                  <c:v>Peru</c:v>
                </c:pt>
                <c:pt idx="191">
                  <c:v>Philippines</c:v>
                </c:pt>
                <c:pt idx="192">
                  <c:v>Pitcairn Islands</c:v>
                </c:pt>
                <c:pt idx="193">
                  <c:v>Poland</c:v>
                </c:pt>
                <c:pt idx="194">
                  <c:v>Portugal</c:v>
                </c:pt>
                <c:pt idx="195">
                  <c:v>Puerto Rico</c:v>
                </c:pt>
                <c:pt idx="196">
                  <c:v>Qatar</c:v>
                </c:pt>
                <c:pt idx="197">
                  <c:v>Reunion</c:v>
                </c:pt>
                <c:pt idx="198">
                  <c:v>Romania</c:v>
                </c:pt>
                <c:pt idx="199">
                  <c:v>Russia</c:v>
                </c:pt>
                <c:pt idx="200">
                  <c:v>Rwanda</c:v>
                </c:pt>
                <c:pt idx="201">
                  <c:v>Saint Helena</c:v>
                </c:pt>
                <c:pt idx="202">
                  <c:v>Saint Kitts and Nevis</c:v>
                </c:pt>
                <c:pt idx="203">
                  <c:v>Saint Lucia</c:v>
                </c:pt>
                <c:pt idx="204">
                  <c:v>Saint Pierre and Miquelon</c:v>
                </c:pt>
                <c:pt idx="205">
                  <c:v>Saint Vincent and the Grenadines</c:v>
                </c:pt>
                <c:pt idx="206">
                  <c:v>Samoa</c:v>
                </c:pt>
                <c:pt idx="207">
                  <c:v>San Marino</c:v>
                </c:pt>
                <c:pt idx="208">
                  <c:v>Sao Tome and Principe</c:v>
                </c:pt>
                <c:pt idx="209">
                  <c:v>Saudi Arabia</c:v>
                </c:pt>
                <c:pt idx="210">
                  <c:v>Senegal</c:v>
                </c:pt>
                <c:pt idx="211">
                  <c:v>Serbia and Montenegro</c:v>
                </c:pt>
                <c:pt idx="212">
                  <c:v>Seychelles</c:v>
                </c:pt>
                <c:pt idx="213">
                  <c:v>Sierra Leone</c:v>
                </c:pt>
                <c:pt idx="214">
                  <c:v>Singapore</c:v>
                </c:pt>
                <c:pt idx="215">
                  <c:v>Slovakia</c:v>
                </c:pt>
                <c:pt idx="216">
                  <c:v>Slovenia</c:v>
                </c:pt>
                <c:pt idx="217">
                  <c:v>Solomon Islands</c:v>
                </c:pt>
                <c:pt idx="218">
                  <c:v>Somalia</c:v>
                </c:pt>
                <c:pt idx="219">
                  <c:v>South Africa</c:v>
                </c:pt>
                <c:pt idx="220">
                  <c:v>South Georgia and the South Sandwich Islands</c:v>
                </c:pt>
                <c:pt idx="221">
                  <c:v>Spain</c:v>
                </c:pt>
                <c:pt idx="222">
                  <c:v>Spratly Islands</c:v>
                </c:pt>
                <c:pt idx="223">
                  <c:v>Sri Lanka</c:v>
                </c:pt>
                <c:pt idx="224">
                  <c:v>Sudan</c:v>
                </c:pt>
                <c:pt idx="225">
                  <c:v>Suriname</c:v>
                </c:pt>
                <c:pt idx="226">
                  <c:v>Svalbard</c:v>
                </c:pt>
                <c:pt idx="227">
                  <c:v>Swaziland</c:v>
                </c:pt>
                <c:pt idx="228">
                  <c:v>Sweden</c:v>
                </c:pt>
                <c:pt idx="229">
                  <c:v>Switzerland</c:v>
                </c:pt>
                <c:pt idx="230">
                  <c:v>Syria</c:v>
                </c:pt>
                <c:pt idx="231">
                  <c:v>Taiwan</c:v>
                </c:pt>
                <c:pt idx="232">
                  <c:v>Tajikistan</c:v>
                </c:pt>
                <c:pt idx="233">
                  <c:v>Tanzania</c:v>
                </c:pt>
                <c:pt idx="234">
                  <c:v>Thailand</c:v>
                </c:pt>
                <c:pt idx="235">
                  <c:v>Togo</c:v>
                </c:pt>
                <c:pt idx="236">
                  <c:v>Tokelau</c:v>
                </c:pt>
                <c:pt idx="237">
                  <c:v>Tonga</c:v>
                </c:pt>
                <c:pt idx="238">
                  <c:v>Trinidad and Tobago</c:v>
                </c:pt>
                <c:pt idx="239">
                  <c:v>Tromelin Island</c:v>
                </c:pt>
                <c:pt idx="240">
                  <c:v>Tunisia</c:v>
                </c:pt>
                <c:pt idx="241">
                  <c:v>Turkey</c:v>
                </c:pt>
                <c:pt idx="242">
                  <c:v>Turkmenistan</c:v>
                </c:pt>
                <c:pt idx="243">
                  <c:v>Turks and Caicos Islands</c:v>
                </c:pt>
                <c:pt idx="244">
                  <c:v>Tuvalu</c:v>
                </c:pt>
                <c:pt idx="245">
                  <c:v>Uganda</c:v>
                </c:pt>
                <c:pt idx="246">
                  <c:v>Ukraine</c:v>
                </c:pt>
                <c:pt idx="247">
                  <c:v>United Arab Emirates</c:v>
                </c:pt>
                <c:pt idx="248">
                  <c:v>United Kingdom</c:v>
                </c:pt>
                <c:pt idx="249">
                  <c:v>United States</c:v>
                </c:pt>
                <c:pt idx="250">
                  <c:v>Uruguay</c:v>
                </c:pt>
                <c:pt idx="251">
                  <c:v>Uzbekistan</c:v>
                </c:pt>
                <c:pt idx="252">
                  <c:v>Vanuatu</c:v>
                </c:pt>
                <c:pt idx="253">
                  <c:v>Venezuela</c:v>
                </c:pt>
                <c:pt idx="254">
                  <c:v>Vietnam</c:v>
                </c:pt>
                <c:pt idx="255">
                  <c:v>Virgin Islands</c:v>
                </c:pt>
                <c:pt idx="256">
                  <c:v>Wake Island</c:v>
                </c:pt>
                <c:pt idx="257">
                  <c:v>Wallis and Futuna</c:v>
                </c:pt>
                <c:pt idx="258">
                  <c:v>West Bank</c:v>
                </c:pt>
                <c:pt idx="259">
                  <c:v>Western Sahara</c:v>
                </c:pt>
                <c:pt idx="260">
                  <c:v>Yemen</c:v>
                </c:pt>
                <c:pt idx="261">
                  <c:v>Zambia</c:v>
                </c:pt>
                <c:pt idx="262">
                  <c:v>Zimbabwe</c:v>
                </c:pt>
              </c:strCache>
            </c:strRef>
          </c:cat>
          <c:val>
            <c:numRef>
              <c:f>'Analysis and visual 3'!$F$2:$F$265</c:f>
              <c:numCache>
                <c:formatCode>General</c:formatCode>
                <c:ptCount val="263"/>
                <c:pt idx="0">
                  <c:v>3256000000000</c:v>
                </c:pt>
                <c:pt idx="1">
                  <c:v>49980000000</c:v>
                </c:pt>
                <c:pt idx="3">
                  <c:v>3316000000</c:v>
                </c:pt>
                <c:pt idx="4">
                  <c:v>4739000000000</c:v>
                </c:pt>
                <c:pt idx="7">
                  <c:v>79570000000</c:v>
                </c:pt>
                <c:pt idx="11">
                  <c:v>768000000000</c:v>
                </c:pt>
                <c:pt idx="15">
                  <c:v>2407000000000</c:v>
                </c:pt>
                <c:pt idx="16">
                  <c:v>24900000000</c:v>
                </c:pt>
                <c:pt idx="17">
                  <c:v>62300000000</c:v>
                </c:pt>
                <c:pt idx="19">
                  <c:v>46000000000</c:v>
                </c:pt>
                <c:pt idx="21">
                  <c:v>150300000000</c:v>
                </c:pt>
                <c:pt idx="22">
                  <c:v>70790000</c:v>
                </c:pt>
                <c:pt idx="27">
                  <c:v>608800000</c:v>
                </c:pt>
                <c:pt idx="30">
                  <c:v>727200000000</c:v>
                </c:pt>
                <c:pt idx="34">
                  <c:v>221700000000</c:v>
                </c:pt>
                <c:pt idx="37">
                  <c:v>315000000000</c:v>
                </c:pt>
                <c:pt idx="38">
                  <c:v>3724000000</c:v>
                </c:pt>
                <c:pt idx="40">
                  <c:v>2460000000000</c:v>
                </c:pt>
                <c:pt idx="43">
                  <c:v>55220000000</c:v>
                </c:pt>
                <c:pt idx="44">
                  <c:v>1691000000000</c:v>
                </c:pt>
                <c:pt idx="49">
                  <c:v>99050000000</c:v>
                </c:pt>
                <c:pt idx="50">
                  <c:v>2230000000000</c:v>
                </c:pt>
                <c:pt idx="54">
                  <c:v>132000000000</c:v>
                </c:pt>
                <c:pt idx="56">
                  <c:v>104800000000</c:v>
                </c:pt>
                <c:pt idx="57">
                  <c:v>495500000</c:v>
                </c:pt>
                <c:pt idx="60">
                  <c:v>14870000000</c:v>
                </c:pt>
                <c:pt idx="61">
                  <c:v>34360000000</c:v>
                </c:pt>
                <c:pt idx="62">
                  <c:v>42620000000</c:v>
                </c:pt>
                <c:pt idx="64">
                  <c:v>3057000000</c:v>
                </c:pt>
                <c:pt idx="65">
                  <c:v>81980000000</c:v>
                </c:pt>
                <c:pt idx="71">
                  <c:v>106500000000</c:v>
                </c:pt>
                <c:pt idx="72">
                  <c:v>1264000000000</c:v>
                </c:pt>
                <c:pt idx="74">
                  <c:v>68530000000</c:v>
                </c:pt>
                <c:pt idx="77">
                  <c:v>12460000000</c:v>
                </c:pt>
                <c:pt idx="83">
                  <c:v>12860000000</c:v>
                </c:pt>
                <c:pt idx="87">
                  <c:v>66470000000</c:v>
                </c:pt>
                <c:pt idx="91">
                  <c:v>293000000000</c:v>
                </c:pt>
                <c:pt idx="92">
                  <c:v>11890000000</c:v>
                </c:pt>
                <c:pt idx="95">
                  <c:v>254900000</c:v>
                </c:pt>
                <c:pt idx="100">
                  <c:v>1543000000</c:v>
                </c:pt>
                <c:pt idx="111">
                  <c:v>50450000000</c:v>
                </c:pt>
                <c:pt idx="113">
                  <c:v>542400000000</c:v>
                </c:pt>
                <c:pt idx="114">
                  <c:v>2549000000000</c:v>
                </c:pt>
                <c:pt idx="115">
                  <c:v>26700000000000</c:v>
                </c:pt>
                <c:pt idx="116">
                  <c:v>3149000000000</c:v>
                </c:pt>
                <c:pt idx="117">
                  <c:v>9911000000</c:v>
                </c:pt>
                <c:pt idx="118">
                  <c:v>20810000000</c:v>
                </c:pt>
                <c:pt idx="119">
                  <c:v>209700000000</c:v>
                </c:pt>
                <c:pt idx="122">
                  <c:v>20020000000</c:v>
                </c:pt>
                <c:pt idx="126">
                  <c:v>3256000000</c:v>
                </c:pt>
                <c:pt idx="128">
                  <c:v>1800000000000</c:v>
                </c:pt>
                <c:pt idx="134">
                  <c:v>1548000000000</c:v>
                </c:pt>
                <c:pt idx="141">
                  <c:v>1321000000000</c:v>
                </c:pt>
                <c:pt idx="147">
                  <c:v>0</c:v>
                </c:pt>
                <c:pt idx="149">
                  <c:v>2230000000000</c:v>
                </c:pt>
                <c:pt idx="159">
                  <c:v>420000000000</c:v>
                </c:pt>
                <c:pt idx="166">
                  <c:v>665400000</c:v>
                </c:pt>
                <c:pt idx="167">
                  <c:v>63710000000</c:v>
                </c:pt>
                <c:pt idx="168">
                  <c:v>31150000000</c:v>
                </c:pt>
                <c:pt idx="172">
                  <c:v>1693000000000</c:v>
                </c:pt>
                <c:pt idx="175">
                  <c:v>58940000000</c:v>
                </c:pt>
                <c:pt idx="178">
                  <c:v>4007000000000</c:v>
                </c:pt>
                <c:pt idx="182">
                  <c:v>1716000000000</c:v>
                </c:pt>
                <c:pt idx="183">
                  <c:v>829700000000</c:v>
                </c:pt>
                <c:pt idx="184">
                  <c:v>695600000000</c:v>
                </c:pt>
                <c:pt idx="188">
                  <c:v>385500000000</c:v>
                </c:pt>
                <c:pt idx="190">
                  <c:v>245100000000</c:v>
                </c:pt>
                <c:pt idx="191">
                  <c:v>107600000000</c:v>
                </c:pt>
                <c:pt idx="193">
                  <c:v>154400000000</c:v>
                </c:pt>
                <c:pt idx="196">
                  <c:v>14410000000000</c:v>
                </c:pt>
                <c:pt idx="198">
                  <c:v>111100000000</c:v>
                </c:pt>
                <c:pt idx="199">
                  <c:v>47000000000000</c:v>
                </c:pt>
                <c:pt idx="200">
                  <c:v>28320000000</c:v>
                </c:pt>
                <c:pt idx="209">
                  <c:v>6339000000000</c:v>
                </c:pt>
                <c:pt idx="211">
                  <c:v>24070000000</c:v>
                </c:pt>
                <c:pt idx="215">
                  <c:v>7504000000</c:v>
                </c:pt>
                <c:pt idx="218">
                  <c:v>2832000000</c:v>
                </c:pt>
                <c:pt idx="219">
                  <c:v>14160000000</c:v>
                </c:pt>
                <c:pt idx="221">
                  <c:v>254900000</c:v>
                </c:pt>
                <c:pt idx="224">
                  <c:v>99110000000</c:v>
                </c:pt>
                <c:pt idx="225">
                  <c:v>0</c:v>
                </c:pt>
                <c:pt idx="230">
                  <c:v>240700000000</c:v>
                </c:pt>
                <c:pt idx="231">
                  <c:v>38230000000</c:v>
                </c:pt>
                <c:pt idx="233">
                  <c:v>11330000000</c:v>
                </c:pt>
                <c:pt idx="234">
                  <c:v>368200000000</c:v>
                </c:pt>
                <c:pt idx="238">
                  <c:v>589000000000</c:v>
                </c:pt>
                <c:pt idx="240">
                  <c:v>77160000000</c:v>
                </c:pt>
                <c:pt idx="241">
                  <c:v>8685000000</c:v>
                </c:pt>
                <c:pt idx="242">
                  <c:v>1430000000000</c:v>
                </c:pt>
                <c:pt idx="246">
                  <c:v>560700000000</c:v>
                </c:pt>
                <c:pt idx="247">
                  <c:v>6060000000000</c:v>
                </c:pt>
                <c:pt idx="248">
                  <c:v>714900000000</c:v>
                </c:pt>
                <c:pt idx="249">
                  <c:v>5195000000000</c:v>
                </c:pt>
                <c:pt idx="251">
                  <c:v>937300000000</c:v>
                </c:pt>
                <c:pt idx="253">
                  <c:v>4190000000000</c:v>
                </c:pt>
                <c:pt idx="254">
                  <c:v>192600000000</c:v>
                </c:pt>
                <c:pt idx="260">
                  <c:v>480000000000</c:v>
                </c:pt>
              </c:numCache>
            </c:numRef>
          </c:val>
          <c:smooth val="0"/>
          <c:extLst>
            <c:ext xmlns:c16="http://schemas.microsoft.com/office/drawing/2014/chart" uri="{C3380CC4-5D6E-409C-BE32-E72D297353CC}">
              <c16:uniqueId val="{00000004-3B38-4A0B-9384-BAE6977F1F03}"/>
            </c:ext>
          </c:extLst>
        </c:ser>
        <c:dLbls>
          <c:showLegendKey val="0"/>
          <c:showVal val="0"/>
          <c:showCatName val="0"/>
          <c:showSerName val="0"/>
          <c:showPercent val="0"/>
          <c:showBubbleSize val="0"/>
        </c:dLbls>
        <c:marker val="1"/>
        <c:smooth val="0"/>
        <c:axId val="951261440"/>
        <c:axId val="951258160"/>
      </c:lineChart>
      <c:catAx>
        <c:axId val="95126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258160"/>
        <c:crosses val="autoZero"/>
        <c:auto val="1"/>
        <c:lblAlgn val="ctr"/>
        <c:lblOffset val="100"/>
        <c:noMultiLvlLbl val="0"/>
      </c:catAx>
      <c:valAx>
        <c:axId val="951258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26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[factbook.xlsx]Analysis and visual 4!PivotTable5</c:name>
    <c:fmtId val="2"/>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
        <c:idx val="648"/>
        <c:spPr>
          <a:solidFill>
            <a:schemeClr val="accent1"/>
          </a:solidFill>
          <a:ln w="19050">
            <a:solidFill>
              <a:schemeClr val="lt1"/>
            </a:solidFill>
          </a:ln>
          <a:effectLst/>
        </c:spPr>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pivotFmt>
      <c:pivotFmt>
        <c:idx val="673"/>
        <c:spPr>
          <a:solidFill>
            <a:schemeClr val="accent1"/>
          </a:solidFill>
          <a:ln w="19050">
            <a:solidFill>
              <a:schemeClr val="lt1"/>
            </a:solidFill>
          </a:ln>
          <a:effectLst/>
        </c:spPr>
      </c:pivotFmt>
      <c:pivotFmt>
        <c:idx val="674"/>
        <c:spPr>
          <a:solidFill>
            <a:schemeClr val="accent1"/>
          </a:solidFill>
          <a:ln w="19050">
            <a:solidFill>
              <a:schemeClr val="lt1"/>
            </a:solidFill>
          </a:ln>
          <a:effectLst/>
        </c:spPr>
      </c:pivotFmt>
      <c:pivotFmt>
        <c:idx val="675"/>
        <c:spPr>
          <a:solidFill>
            <a:schemeClr val="accent1"/>
          </a:solidFill>
          <a:ln w="19050">
            <a:solidFill>
              <a:schemeClr val="lt1"/>
            </a:solidFill>
          </a:ln>
          <a:effectLst/>
        </c:spPr>
      </c:pivotFmt>
      <c:pivotFmt>
        <c:idx val="676"/>
        <c:spPr>
          <a:solidFill>
            <a:schemeClr val="accent1"/>
          </a:solidFill>
          <a:ln w="19050">
            <a:solidFill>
              <a:schemeClr val="lt1"/>
            </a:solidFill>
          </a:ln>
          <a:effectLst/>
        </c:spPr>
      </c:pivotFmt>
      <c:pivotFmt>
        <c:idx val="677"/>
        <c:spPr>
          <a:solidFill>
            <a:schemeClr val="accent1"/>
          </a:solidFill>
          <a:ln w="19050">
            <a:solidFill>
              <a:schemeClr val="lt1"/>
            </a:solidFill>
          </a:ln>
          <a:effectLst/>
        </c:spPr>
      </c:pivotFmt>
      <c:pivotFmt>
        <c:idx val="678"/>
        <c:spPr>
          <a:solidFill>
            <a:schemeClr val="accent1"/>
          </a:solidFill>
          <a:ln w="19050">
            <a:solidFill>
              <a:schemeClr val="lt1"/>
            </a:solidFill>
          </a:ln>
          <a:effectLst/>
        </c:spPr>
      </c:pivotFmt>
      <c:pivotFmt>
        <c:idx val="679"/>
        <c:spPr>
          <a:solidFill>
            <a:schemeClr val="accent1"/>
          </a:solidFill>
          <a:ln w="19050">
            <a:solidFill>
              <a:schemeClr val="lt1"/>
            </a:solidFill>
          </a:ln>
          <a:effectLst/>
        </c:spPr>
      </c:pivotFmt>
      <c:pivotFmt>
        <c:idx val="680"/>
        <c:spPr>
          <a:solidFill>
            <a:schemeClr val="accent1"/>
          </a:solidFill>
          <a:ln w="19050">
            <a:solidFill>
              <a:schemeClr val="lt1"/>
            </a:solidFill>
          </a:ln>
          <a:effectLst/>
        </c:spPr>
      </c:pivotFmt>
      <c:pivotFmt>
        <c:idx val="681"/>
        <c:spPr>
          <a:solidFill>
            <a:schemeClr val="accent1"/>
          </a:solidFill>
          <a:ln w="19050">
            <a:solidFill>
              <a:schemeClr val="lt1"/>
            </a:solidFill>
          </a:ln>
          <a:effectLst/>
        </c:spPr>
      </c:pivotFmt>
      <c:pivotFmt>
        <c:idx val="682"/>
        <c:spPr>
          <a:solidFill>
            <a:schemeClr val="accent1"/>
          </a:solidFill>
          <a:ln w="19050">
            <a:solidFill>
              <a:schemeClr val="lt1"/>
            </a:solidFill>
          </a:ln>
          <a:effectLst/>
        </c:spPr>
      </c:pivotFmt>
      <c:pivotFmt>
        <c:idx val="683"/>
        <c:spPr>
          <a:solidFill>
            <a:schemeClr val="accent1"/>
          </a:solidFill>
          <a:ln w="19050">
            <a:solidFill>
              <a:schemeClr val="lt1"/>
            </a:solidFill>
          </a:ln>
          <a:effectLst/>
        </c:spPr>
      </c:pivotFmt>
      <c:pivotFmt>
        <c:idx val="684"/>
        <c:spPr>
          <a:solidFill>
            <a:schemeClr val="accent1"/>
          </a:solidFill>
          <a:ln w="19050">
            <a:solidFill>
              <a:schemeClr val="lt1"/>
            </a:solidFill>
          </a:ln>
          <a:effectLst/>
        </c:spPr>
      </c:pivotFmt>
      <c:pivotFmt>
        <c:idx val="685"/>
        <c:spPr>
          <a:solidFill>
            <a:schemeClr val="accent1"/>
          </a:solidFill>
          <a:ln w="19050">
            <a:solidFill>
              <a:schemeClr val="lt1"/>
            </a:solidFill>
          </a:ln>
          <a:effectLst/>
        </c:spPr>
      </c:pivotFmt>
      <c:pivotFmt>
        <c:idx val="686"/>
        <c:spPr>
          <a:solidFill>
            <a:schemeClr val="accent1"/>
          </a:solidFill>
          <a:ln w="19050">
            <a:solidFill>
              <a:schemeClr val="lt1"/>
            </a:solidFill>
          </a:ln>
          <a:effectLst/>
        </c:spPr>
      </c:pivotFmt>
      <c:pivotFmt>
        <c:idx val="687"/>
        <c:spPr>
          <a:solidFill>
            <a:schemeClr val="accent1"/>
          </a:solidFill>
          <a:ln w="19050">
            <a:solidFill>
              <a:schemeClr val="lt1"/>
            </a:solidFill>
          </a:ln>
          <a:effectLst/>
        </c:spPr>
      </c:pivotFmt>
      <c:pivotFmt>
        <c:idx val="688"/>
        <c:spPr>
          <a:solidFill>
            <a:schemeClr val="accent1"/>
          </a:solidFill>
          <a:ln w="19050">
            <a:solidFill>
              <a:schemeClr val="lt1"/>
            </a:solidFill>
          </a:ln>
          <a:effectLst/>
        </c:spPr>
      </c:pivotFmt>
      <c:pivotFmt>
        <c:idx val="689"/>
        <c:spPr>
          <a:solidFill>
            <a:schemeClr val="accent1"/>
          </a:solidFill>
          <a:ln w="19050">
            <a:solidFill>
              <a:schemeClr val="lt1"/>
            </a:solidFill>
          </a:ln>
          <a:effectLst/>
        </c:spPr>
      </c:pivotFmt>
      <c:pivotFmt>
        <c:idx val="690"/>
        <c:spPr>
          <a:solidFill>
            <a:schemeClr val="accent1"/>
          </a:solidFill>
          <a:ln w="19050">
            <a:solidFill>
              <a:schemeClr val="lt1"/>
            </a:solidFill>
          </a:ln>
          <a:effectLst/>
        </c:spPr>
      </c:pivotFmt>
      <c:pivotFmt>
        <c:idx val="691"/>
        <c:spPr>
          <a:solidFill>
            <a:schemeClr val="accent1"/>
          </a:solidFill>
          <a:ln w="19050">
            <a:solidFill>
              <a:schemeClr val="lt1"/>
            </a:solidFill>
          </a:ln>
          <a:effectLst/>
        </c:spPr>
      </c:pivotFmt>
      <c:pivotFmt>
        <c:idx val="692"/>
        <c:spPr>
          <a:solidFill>
            <a:schemeClr val="accent1"/>
          </a:solidFill>
          <a:ln w="19050">
            <a:solidFill>
              <a:schemeClr val="lt1"/>
            </a:solidFill>
          </a:ln>
          <a:effectLst/>
        </c:spPr>
      </c:pivotFmt>
      <c:pivotFmt>
        <c:idx val="693"/>
        <c:spPr>
          <a:solidFill>
            <a:schemeClr val="accent1"/>
          </a:solidFill>
          <a:ln w="19050">
            <a:solidFill>
              <a:schemeClr val="lt1"/>
            </a:solidFill>
          </a:ln>
          <a:effectLst/>
        </c:spPr>
      </c:pivotFmt>
      <c:pivotFmt>
        <c:idx val="694"/>
        <c:spPr>
          <a:solidFill>
            <a:schemeClr val="accent1"/>
          </a:solidFill>
          <a:ln w="19050">
            <a:solidFill>
              <a:schemeClr val="lt1"/>
            </a:solidFill>
          </a:ln>
          <a:effectLst/>
        </c:spPr>
      </c:pivotFmt>
      <c:pivotFmt>
        <c:idx val="695"/>
        <c:spPr>
          <a:solidFill>
            <a:schemeClr val="accent1"/>
          </a:solidFill>
          <a:ln w="19050">
            <a:solidFill>
              <a:schemeClr val="lt1"/>
            </a:solidFill>
          </a:ln>
          <a:effectLst/>
        </c:spPr>
      </c:pivotFmt>
      <c:pivotFmt>
        <c:idx val="696"/>
        <c:spPr>
          <a:solidFill>
            <a:schemeClr val="accent1"/>
          </a:solidFill>
          <a:ln w="19050">
            <a:solidFill>
              <a:schemeClr val="lt1"/>
            </a:solidFill>
          </a:ln>
          <a:effectLst/>
        </c:spPr>
      </c:pivotFmt>
      <c:pivotFmt>
        <c:idx val="697"/>
        <c:spPr>
          <a:solidFill>
            <a:schemeClr val="accent1"/>
          </a:solidFill>
          <a:ln w="19050">
            <a:solidFill>
              <a:schemeClr val="lt1"/>
            </a:solidFill>
          </a:ln>
          <a:effectLst/>
        </c:spPr>
      </c:pivotFmt>
      <c:pivotFmt>
        <c:idx val="698"/>
        <c:spPr>
          <a:solidFill>
            <a:schemeClr val="accent1"/>
          </a:solidFill>
          <a:ln w="19050">
            <a:solidFill>
              <a:schemeClr val="lt1"/>
            </a:solidFill>
          </a:ln>
          <a:effectLst/>
        </c:spPr>
      </c:pivotFmt>
      <c:pivotFmt>
        <c:idx val="699"/>
        <c:spPr>
          <a:solidFill>
            <a:schemeClr val="accent1"/>
          </a:solidFill>
          <a:ln w="19050">
            <a:solidFill>
              <a:schemeClr val="lt1"/>
            </a:solidFill>
          </a:ln>
          <a:effectLst/>
        </c:spPr>
      </c:pivotFmt>
      <c:pivotFmt>
        <c:idx val="700"/>
        <c:spPr>
          <a:solidFill>
            <a:schemeClr val="accent1"/>
          </a:solidFill>
          <a:ln w="19050">
            <a:solidFill>
              <a:schemeClr val="lt1"/>
            </a:solidFill>
          </a:ln>
          <a:effectLst/>
        </c:spPr>
      </c:pivotFmt>
      <c:pivotFmt>
        <c:idx val="701"/>
        <c:spPr>
          <a:solidFill>
            <a:schemeClr val="accent1"/>
          </a:solidFill>
          <a:ln w="19050">
            <a:solidFill>
              <a:schemeClr val="lt1"/>
            </a:solidFill>
          </a:ln>
          <a:effectLst/>
        </c:spPr>
      </c:pivotFmt>
      <c:pivotFmt>
        <c:idx val="702"/>
        <c:spPr>
          <a:solidFill>
            <a:schemeClr val="accent1"/>
          </a:solidFill>
          <a:ln w="19050">
            <a:solidFill>
              <a:schemeClr val="lt1"/>
            </a:solidFill>
          </a:ln>
          <a:effectLst/>
        </c:spPr>
      </c:pivotFmt>
      <c:pivotFmt>
        <c:idx val="703"/>
        <c:spPr>
          <a:solidFill>
            <a:schemeClr val="accent1"/>
          </a:solidFill>
          <a:ln w="19050">
            <a:solidFill>
              <a:schemeClr val="lt1"/>
            </a:solidFill>
          </a:ln>
          <a:effectLst/>
        </c:spPr>
      </c:pivotFmt>
      <c:pivotFmt>
        <c:idx val="704"/>
        <c:spPr>
          <a:solidFill>
            <a:schemeClr val="accent1"/>
          </a:solidFill>
          <a:ln w="19050">
            <a:solidFill>
              <a:schemeClr val="lt1"/>
            </a:solidFill>
          </a:ln>
          <a:effectLst/>
        </c:spPr>
      </c:pivotFmt>
      <c:pivotFmt>
        <c:idx val="705"/>
        <c:spPr>
          <a:solidFill>
            <a:schemeClr val="accent1"/>
          </a:solidFill>
          <a:ln w="19050">
            <a:solidFill>
              <a:schemeClr val="lt1"/>
            </a:solidFill>
          </a:ln>
          <a:effectLst/>
        </c:spPr>
      </c:pivotFmt>
      <c:pivotFmt>
        <c:idx val="706"/>
        <c:spPr>
          <a:solidFill>
            <a:schemeClr val="accent1"/>
          </a:solidFill>
          <a:ln w="19050">
            <a:solidFill>
              <a:schemeClr val="lt1"/>
            </a:solidFill>
          </a:ln>
          <a:effectLst/>
        </c:spPr>
      </c:pivotFmt>
      <c:pivotFmt>
        <c:idx val="707"/>
        <c:spPr>
          <a:solidFill>
            <a:schemeClr val="accent1"/>
          </a:solidFill>
          <a:ln w="19050">
            <a:solidFill>
              <a:schemeClr val="lt1"/>
            </a:solidFill>
          </a:ln>
          <a:effectLst/>
        </c:spPr>
      </c:pivotFmt>
      <c:pivotFmt>
        <c:idx val="708"/>
        <c:spPr>
          <a:solidFill>
            <a:schemeClr val="accent1"/>
          </a:solidFill>
          <a:ln w="19050">
            <a:solidFill>
              <a:schemeClr val="lt1"/>
            </a:solidFill>
          </a:ln>
          <a:effectLst/>
        </c:spPr>
      </c:pivotFmt>
      <c:pivotFmt>
        <c:idx val="709"/>
        <c:spPr>
          <a:solidFill>
            <a:schemeClr val="accent1"/>
          </a:solidFill>
          <a:ln w="19050">
            <a:solidFill>
              <a:schemeClr val="lt1"/>
            </a:solidFill>
          </a:ln>
          <a:effectLst/>
        </c:spPr>
      </c:pivotFmt>
      <c:pivotFmt>
        <c:idx val="710"/>
        <c:spPr>
          <a:solidFill>
            <a:schemeClr val="accent1"/>
          </a:solidFill>
          <a:ln w="19050">
            <a:solidFill>
              <a:schemeClr val="lt1"/>
            </a:solidFill>
          </a:ln>
          <a:effectLst/>
        </c:spPr>
      </c:pivotFmt>
      <c:pivotFmt>
        <c:idx val="711"/>
        <c:spPr>
          <a:solidFill>
            <a:schemeClr val="accent1"/>
          </a:solidFill>
          <a:ln w="19050">
            <a:solidFill>
              <a:schemeClr val="lt1"/>
            </a:solidFill>
          </a:ln>
          <a:effectLst/>
        </c:spPr>
      </c:pivotFmt>
      <c:pivotFmt>
        <c:idx val="712"/>
        <c:spPr>
          <a:solidFill>
            <a:schemeClr val="accent1"/>
          </a:solidFill>
          <a:ln w="19050">
            <a:solidFill>
              <a:schemeClr val="lt1"/>
            </a:solidFill>
          </a:ln>
          <a:effectLst/>
        </c:spPr>
      </c:pivotFmt>
      <c:pivotFmt>
        <c:idx val="713"/>
        <c:spPr>
          <a:solidFill>
            <a:schemeClr val="accent1"/>
          </a:solidFill>
          <a:ln w="19050">
            <a:solidFill>
              <a:schemeClr val="lt1"/>
            </a:solidFill>
          </a:ln>
          <a:effectLst/>
        </c:spPr>
      </c:pivotFmt>
      <c:pivotFmt>
        <c:idx val="714"/>
        <c:spPr>
          <a:solidFill>
            <a:schemeClr val="accent1"/>
          </a:solidFill>
          <a:ln w="19050">
            <a:solidFill>
              <a:schemeClr val="lt1"/>
            </a:solidFill>
          </a:ln>
          <a:effectLst/>
        </c:spPr>
      </c:pivotFmt>
      <c:pivotFmt>
        <c:idx val="715"/>
        <c:spPr>
          <a:solidFill>
            <a:schemeClr val="accent1"/>
          </a:solidFill>
          <a:ln w="19050">
            <a:solidFill>
              <a:schemeClr val="lt1"/>
            </a:solidFill>
          </a:ln>
          <a:effectLst/>
        </c:spPr>
      </c:pivotFmt>
      <c:pivotFmt>
        <c:idx val="716"/>
        <c:spPr>
          <a:solidFill>
            <a:schemeClr val="accent1"/>
          </a:solidFill>
          <a:ln w="19050">
            <a:solidFill>
              <a:schemeClr val="lt1"/>
            </a:solidFill>
          </a:ln>
          <a:effectLst/>
        </c:spPr>
      </c:pivotFmt>
      <c:pivotFmt>
        <c:idx val="717"/>
        <c:spPr>
          <a:solidFill>
            <a:schemeClr val="accent1"/>
          </a:solidFill>
          <a:ln w="19050">
            <a:solidFill>
              <a:schemeClr val="lt1"/>
            </a:solidFill>
          </a:ln>
          <a:effectLst/>
        </c:spPr>
      </c:pivotFmt>
      <c:pivotFmt>
        <c:idx val="718"/>
        <c:spPr>
          <a:solidFill>
            <a:schemeClr val="accent1"/>
          </a:solidFill>
          <a:ln w="19050">
            <a:solidFill>
              <a:schemeClr val="lt1"/>
            </a:solidFill>
          </a:ln>
          <a:effectLst/>
        </c:spPr>
      </c:pivotFmt>
      <c:pivotFmt>
        <c:idx val="719"/>
        <c:spPr>
          <a:solidFill>
            <a:schemeClr val="accent1"/>
          </a:solidFill>
          <a:ln w="19050">
            <a:solidFill>
              <a:schemeClr val="lt1"/>
            </a:solidFill>
          </a:ln>
          <a:effectLst/>
        </c:spPr>
      </c:pivotFmt>
      <c:pivotFmt>
        <c:idx val="720"/>
        <c:spPr>
          <a:solidFill>
            <a:schemeClr val="accent1"/>
          </a:solidFill>
          <a:ln w="19050">
            <a:solidFill>
              <a:schemeClr val="lt1"/>
            </a:solidFill>
          </a:ln>
          <a:effectLst/>
        </c:spPr>
      </c:pivotFmt>
      <c:pivotFmt>
        <c:idx val="721"/>
        <c:spPr>
          <a:solidFill>
            <a:schemeClr val="accent1"/>
          </a:solidFill>
          <a:ln w="19050">
            <a:solidFill>
              <a:schemeClr val="lt1"/>
            </a:solidFill>
          </a:ln>
          <a:effectLst/>
        </c:spPr>
      </c:pivotFmt>
      <c:pivotFmt>
        <c:idx val="722"/>
        <c:spPr>
          <a:solidFill>
            <a:schemeClr val="accent1"/>
          </a:solidFill>
          <a:ln w="19050">
            <a:solidFill>
              <a:schemeClr val="lt1"/>
            </a:solidFill>
          </a:ln>
          <a:effectLst/>
        </c:spPr>
      </c:pivotFmt>
      <c:pivotFmt>
        <c:idx val="723"/>
        <c:spPr>
          <a:solidFill>
            <a:schemeClr val="accent1"/>
          </a:solidFill>
          <a:ln w="19050">
            <a:solidFill>
              <a:schemeClr val="lt1"/>
            </a:solidFill>
          </a:ln>
          <a:effectLst/>
        </c:spPr>
      </c:pivotFmt>
      <c:pivotFmt>
        <c:idx val="724"/>
        <c:spPr>
          <a:solidFill>
            <a:schemeClr val="accent1"/>
          </a:solidFill>
          <a:ln w="19050">
            <a:solidFill>
              <a:schemeClr val="lt1"/>
            </a:solidFill>
          </a:ln>
          <a:effectLst/>
        </c:spPr>
      </c:pivotFmt>
      <c:pivotFmt>
        <c:idx val="725"/>
        <c:spPr>
          <a:solidFill>
            <a:schemeClr val="accent1"/>
          </a:solidFill>
          <a:ln w="19050">
            <a:solidFill>
              <a:schemeClr val="lt1"/>
            </a:solidFill>
          </a:ln>
          <a:effectLst/>
        </c:spPr>
      </c:pivotFmt>
      <c:pivotFmt>
        <c:idx val="726"/>
        <c:spPr>
          <a:solidFill>
            <a:schemeClr val="accent1"/>
          </a:solidFill>
          <a:ln w="19050">
            <a:solidFill>
              <a:schemeClr val="lt1"/>
            </a:solidFill>
          </a:ln>
          <a:effectLst/>
        </c:spPr>
      </c:pivotFmt>
      <c:pivotFmt>
        <c:idx val="727"/>
        <c:spPr>
          <a:solidFill>
            <a:schemeClr val="accent1"/>
          </a:solidFill>
          <a:ln w="19050">
            <a:solidFill>
              <a:schemeClr val="lt1"/>
            </a:solidFill>
          </a:ln>
          <a:effectLst/>
        </c:spPr>
      </c:pivotFmt>
      <c:pivotFmt>
        <c:idx val="728"/>
        <c:spPr>
          <a:solidFill>
            <a:schemeClr val="accent1"/>
          </a:solidFill>
          <a:ln w="19050">
            <a:solidFill>
              <a:schemeClr val="lt1"/>
            </a:solidFill>
          </a:ln>
          <a:effectLst/>
        </c:spPr>
      </c:pivotFmt>
      <c:pivotFmt>
        <c:idx val="729"/>
        <c:spPr>
          <a:solidFill>
            <a:schemeClr val="accent1"/>
          </a:solidFill>
          <a:ln w="19050">
            <a:solidFill>
              <a:schemeClr val="lt1"/>
            </a:solidFill>
          </a:ln>
          <a:effectLst/>
        </c:spPr>
      </c:pivotFmt>
      <c:pivotFmt>
        <c:idx val="730"/>
        <c:spPr>
          <a:solidFill>
            <a:schemeClr val="accent1"/>
          </a:solidFill>
          <a:ln w="19050">
            <a:solidFill>
              <a:schemeClr val="lt1"/>
            </a:solidFill>
          </a:ln>
          <a:effectLst/>
        </c:spPr>
      </c:pivotFmt>
      <c:pivotFmt>
        <c:idx val="731"/>
        <c:spPr>
          <a:solidFill>
            <a:schemeClr val="accent1"/>
          </a:solidFill>
          <a:ln w="19050">
            <a:solidFill>
              <a:schemeClr val="lt1"/>
            </a:solidFill>
          </a:ln>
          <a:effectLst/>
        </c:spPr>
      </c:pivotFmt>
      <c:pivotFmt>
        <c:idx val="732"/>
        <c:spPr>
          <a:solidFill>
            <a:schemeClr val="accent1"/>
          </a:solidFill>
          <a:ln w="19050">
            <a:solidFill>
              <a:schemeClr val="lt1"/>
            </a:solidFill>
          </a:ln>
          <a:effectLst/>
        </c:spPr>
      </c:pivotFmt>
      <c:pivotFmt>
        <c:idx val="733"/>
        <c:spPr>
          <a:solidFill>
            <a:schemeClr val="accent1"/>
          </a:solidFill>
          <a:ln w="19050">
            <a:solidFill>
              <a:schemeClr val="lt1"/>
            </a:solidFill>
          </a:ln>
          <a:effectLst/>
        </c:spPr>
      </c:pivotFmt>
      <c:pivotFmt>
        <c:idx val="734"/>
        <c:spPr>
          <a:solidFill>
            <a:schemeClr val="accent1"/>
          </a:solidFill>
          <a:ln w="19050">
            <a:solidFill>
              <a:schemeClr val="lt1"/>
            </a:solidFill>
          </a:ln>
          <a:effectLst/>
        </c:spPr>
      </c:pivotFmt>
      <c:pivotFmt>
        <c:idx val="735"/>
        <c:spPr>
          <a:solidFill>
            <a:schemeClr val="accent1"/>
          </a:solidFill>
          <a:ln w="19050">
            <a:solidFill>
              <a:schemeClr val="lt1"/>
            </a:solidFill>
          </a:ln>
          <a:effectLst/>
        </c:spPr>
      </c:pivotFmt>
      <c:pivotFmt>
        <c:idx val="736"/>
        <c:spPr>
          <a:solidFill>
            <a:schemeClr val="accent1"/>
          </a:solidFill>
          <a:ln w="19050">
            <a:solidFill>
              <a:schemeClr val="lt1"/>
            </a:solidFill>
          </a:ln>
          <a:effectLst/>
        </c:spPr>
      </c:pivotFmt>
      <c:pivotFmt>
        <c:idx val="737"/>
        <c:spPr>
          <a:solidFill>
            <a:schemeClr val="accent1"/>
          </a:solidFill>
          <a:ln w="19050">
            <a:solidFill>
              <a:schemeClr val="lt1"/>
            </a:solidFill>
          </a:ln>
          <a:effectLst/>
        </c:spPr>
      </c:pivotFmt>
      <c:pivotFmt>
        <c:idx val="738"/>
        <c:spPr>
          <a:solidFill>
            <a:schemeClr val="accent1"/>
          </a:solidFill>
          <a:ln w="19050">
            <a:solidFill>
              <a:schemeClr val="lt1"/>
            </a:solidFill>
          </a:ln>
          <a:effectLst/>
        </c:spPr>
      </c:pivotFmt>
      <c:pivotFmt>
        <c:idx val="739"/>
        <c:spPr>
          <a:solidFill>
            <a:schemeClr val="accent1"/>
          </a:solidFill>
          <a:ln w="19050">
            <a:solidFill>
              <a:schemeClr val="lt1"/>
            </a:solidFill>
          </a:ln>
          <a:effectLst/>
        </c:spPr>
      </c:pivotFmt>
      <c:pivotFmt>
        <c:idx val="740"/>
        <c:spPr>
          <a:solidFill>
            <a:schemeClr val="accent1"/>
          </a:solidFill>
          <a:ln w="19050">
            <a:solidFill>
              <a:schemeClr val="lt1"/>
            </a:solidFill>
          </a:ln>
          <a:effectLst/>
        </c:spPr>
      </c:pivotFmt>
      <c:pivotFmt>
        <c:idx val="741"/>
        <c:spPr>
          <a:solidFill>
            <a:schemeClr val="accent1"/>
          </a:solidFill>
          <a:ln w="19050">
            <a:solidFill>
              <a:schemeClr val="lt1"/>
            </a:solidFill>
          </a:ln>
          <a:effectLst/>
        </c:spPr>
      </c:pivotFmt>
      <c:pivotFmt>
        <c:idx val="742"/>
        <c:spPr>
          <a:solidFill>
            <a:schemeClr val="accent1"/>
          </a:solidFill>
          <a:ln w="19050">
            <a:solidFill>
              <a:schemeClr val="lt1"/>
            </a:solidFill>
          </a:ln>
          <a:effectLst/>
        </c:spPr>
      </c:pivotFmt>
      <c:pivotFmt>
        <c:idx val="743"/>
        <c:spPr>
          <a:solidFill>
            <a:schemeClr val="accent1"/>
          </a:solidFill>
          <a:ln w="19050">
            <a:solidFill>
              <a:schemeClr val="lt1"/>
            </a:solidFill>
          </a:ln>
          <a:effectLst/>
        </c:spPr>
      </c:pivotFmt>
      <c:pivotFmt>
        <c:idx val="744"/>
        <c:spPr>
          <a:solidFill>
            <a:schemeClr val="accent1"/>
          </a:solidFill>
          <a:ln w="19050">
            <a:solidFill>
              <a:schemeClr val="lt1"/>
            </a:solidFill>
          </a:ln>
          <a:effectLst/>
        </c:spPr>
      </c:pivotFmt>
      <c:pivotFmt>
        <c:idx val="745"/>
        <c:spPr>
          <a:solidFill>
            <a:schemeClr val="accent1"/>
          </a:solidFill>
          <a:ln w="19050">
            <a:solidFill>
              <a:schemeClr val="lt1"/>
            </a:solidFill>
          </a:ln>
          <a:effectLst/>
        </c:spPr>
      </c:pivotFmt>
      <c:pivotFmt>
        <c:idx val="746"/>
        <c:spPr>
          <a:solidFill>
            <a:schemeClr val="accent1"/>
          </a:solidFill>
          <a:ln w="19050">
            <a:solidFill>
              <a:schemeClr val="lt1"/>
            </a:solidFill>
          </a:ln>
          <a:effectLst/>
        </c:spPr>
      </c:pivotFmt>
      <c:pivotFmt>
        <c:idx val="747"/>
        <c:spPr>
          <a:solidFill>
            <a:schemeClr val="accent1"/>
          </a:solidFill>
          <a:ln w="19050">
            <a:solidFill>
              <a:schemeClr val="lt1"/>
            </a:solidFill>
          </a:ln>
          <a:effectLst/>
        </c:spPr>
      </c:pivotFmt>
      <c:pivotFmt>
        <c:idx val="748"/>
        <c:spPr>
          <a:solidFill>
            <a:schemeClr val="accent1"/>
          </a:solidFill>
          <a:ln w="19050">
            <a:solidFill>
              <a:schemeClr val="lt1"/>
            </a:solidFill>
          </a:ln>
          <a:effectLst/>
        </c:spPr>
      </c:pivotFmt>
      <c:pivotFmt>
        <c:idx val="749"/>
        <c:spPr>
          <a:solidFill>
            <a:schemeClr val="accent1"/>
          </a:solidFill>
          <a:ln w="19050">
            <a:solidFill>
              <a:schemeClr val="lt1"/>
            </a:solidFill>
          </a:ln>
          <a:effectLst/>
        </c:spPr>
      </c:pivotFmt>
      <c:pivotFmt>
        <c:idx val="750"/>
        <c:spPr>
          <a:solidFill>
            <a:schemeClr val="accent1"/>
          </a:solidFill>
          <a:ln w="19050">
            <a:solidFill>
              <a:schemeClr val="lt1"/>
            </a:solidFill>
          </a:ln>
          <a:effectLst/>
        </c:spPr>
      </c:pivotFmt>
      <c:pivotFmt>
        <c:idx val="751"/>
        <c:spPr>
          <a:solidFill>
            <a:schemeClr val="accent1"/>
          </a:solidFill>
          <a:ln w="19050">
            <a:solidFill>
              <a:schemeClr val="lt1"/>
            </a:solidFill>
          </a:ln>
          <a:effectLst/>
        </c:spPr>
      </c:pivotFmt>
      <c:pivotFmt>
        <c:idx val="752"/>
        <c:spPr>
          <a:solidFill>
            <a:schemeClr val="accent1"/>
          </a:solidFill>
          <a:ln w="19050">
            <a:solidFill>
              <a:schemeClr val="lt1"/>
            </a:solidFill>
          </a:ln>
          <a:effectLst/>
        </c:spPr>
      </c:pivotFmt>
      <c:pivotFmt>
        <c:idx val="753"/>
        <c:spPr>
          <a:solidFill>
            <a:schemeClr val="accent1"/>
          </a:solidFill>
          <a:ln w="19050">
            <a:solidFill>
              <a:schemeClr val="lt1"/>
            </a:solidFill>
          </a:ln>
          <a:effectLst/>
        </c:spPr>
      </c:pivotFmt>
      <c:pivotFmt>
        <c:idx val="754"/>
        <c:spPr>
          <a:solidFill>
            <a:schemeClr val="accent1"/>
          </a:solidFill>
          <a:ln w="19050">
            <a:solidFill>
              <a:schemeClr val="lt1"/>
            </a:solidFill>
          </a:ln>
          <a:effectLst/>
        </c:spPr>
      </c:pivotFmt>
      <c:pivotFmt>
        <c:idx val="755"/>
        <c:spPr>
          <a:solidFill>
            <a:schemeClr val="accent1"/>
          </a:solidFill>
          <a:ln w="19050">
            <a:solidFill>
              <a:schemeClr val="lt1"/>
            </a:solidFill>
          </a:ln>
          <a:effectLst/>
        </c:spPr>
      </c:pivotFmt>
      <c:pivotFmt>
        <c:idx val="756"/>
        <c:spPr>
          <a:solidFill>
            <a:schemeClr val="accent1"/>
          </a:solidFill>
          <a:ln w="19050">
            <a:solidFill>
              <a:schemeClr val="lt1"/>
            </a:solidFill>
          </a:ln>
          <a:effectLst/>
        </c:spPr>
      </c:pivotFmt>
      <c:pivotFmt>
        <c:idx val="757"/>
        <c:spPr>
          <a:solidFill>
            <a:schemeClr val="accent1"/>
          </a:solidFill>
          <a:ln w="19050">
            <a:solidFill>
              <a:schemeClr val="lt1"/>
            </a:solidFill>
          </a:ln>
          <a:effectLst/>
        </c:spPr>
      </c:pivotFmt>
      <c:pivotFmt>
        <c:idx val="758"/>
        <c:spPr>
          <a:solidFill>
            <a:schemeClr val="accent1"/>
          </a:solidFill>
          <a:ln w="19050">
            <a:solidFill>
              <a:schemeClr val="lt1"/>
            </a:solidFill>
          </a:ln>
          <a:effectLst/>
        </c:spPr>
      </c:pivotFmt>
      <c:pivotFmt>
        <c:idx val="759"/>
        <c:spPr>
          <a:solidFill>
            <a:schemeClr val="accent1"/>
          </a:solidFill>
          <a:ln w="19050">
            <a:solidFill>
              <a:schemeClr val="lt1"/>
            </a:solidFill>
          </a:ln>
          <a:effectLst/>
        </c:spPr>
      </c:pivotFmt>
      <c:pivotFmt>
        <c:idx val="760"/>
        <c:spPr>
          <a:solidFill>
            <a:schemeClr val="accent1"/>
          </a:solidFill>
          <a:ln w="19050">
            <a:solidFill>
              <a:schemeClr val="lt1"/>
            </a:solidFill>
          </a:ln>
          <a:effectLst/>
        </c:spPr>
      </c:pivotFmt>
      <c:pivotFmt>
        <c:idx val="761"/>
        <c:spPr>
          <a:solidFill>
            <a:schemeClr val="accent1"/>
          </a:solidFill>
          <a:ln w="19050">
            <a:solidFill>
              <a:schemeClr val="lt1"/>
            </a:solidFill>
          </a:ln>
          <a:effectLst/>
        </c:spPr>
      </c:pivotFmt>
      <c:pivotFmt>
        <c:idx val="762"/>
        <c:spPr>
          <a:solidFill>
            <a:schemeClr val="accent1"/>
          </a:solidFill>
          <a:ln w="19050">
            <a:solidFill>
              <a:schemeClr val="lt1"/>
            </a:solidFill>
          </a:ln>
          <a:effectLst/>
        </c:spPr>
      </c:pivotFmt>
      <c:pivotFmt>
        <c:idx val="763"/>
        <c:spPr>
          <a:solidFill>
            <a:schemeClr val="accent1"/>
          </a:solidFill>
          <a:ln w="19050">
            <a:solidFill>
              <a:schemeClr val="lt1"/>
            </a:solidFill>
          </a:ln>
          <a:effectLst/>
        </c:spPr>
      </c:pivotFmt>
      <c:pivotFmt>
        <c:idx val="764"/>
        <c:spPr>
          <a:solidFill>
            <a:schemeClr val="accent1"/>
          </a:solidFill>
          <a:ln w="19050">
            <a:solidFill>
              <a:schemeClr val="lt1"/>
            </a:solidFill>
          </a:ln>
          <a:effectLst/>
        </c:spPr>
      </c:pivotFmt>
      <c:pivotFmt>
        <c:idx val="765"/>
        <c:spPr>
          <a:solidFill>
            <a:schemeClr val="accent1"/>
          </a:solidFill>
          <a:ln w="19050">
            <a:solidFill>
              <a:schemeClr val="lt1"/>
            </a:solidFill>
          </a:ln>
          <a:effectLst/>
        </c:spPr>
      </c:pivotFmt>
      <c:pivotFmt>
        <c:idx val="766"/>
        <c:spPr>
          <a:solidFill>
            <a:schemeClr val="accent1"/>
          </a:solidFill>
          <a:ln w="19050">
            <a:solidFill>
              <a:schemeClr val="lt1"/>
            </a:solidFill>
          </a:ln>
          <a:effectLst/>
        </c:spPr>
      </c:pivotFmt>
      <c:pivotFmt>
        <c:idx val="767"/>
        <c:spPr>
          <a:solidFill>
            <a:schemeClr val="accent1"/>
          </a:solidFill>
          <a:ln w="19050">
            <a:solidFill>
              <a:schemeClr val="lt1"/>
            </a:solidFill>
          </a:ln>
          <a:effectLst/>
        </c:spPr>
      </c:pivotFmt>
      <c:pivotFmt>
        <c:idx val="768"/>
        <c:spPr>
          <a:solidFill>
            <a:schemeClr val="accent1"/>
          </a:solidFill>
          <a:ln w="19050">
            <a:solidFill>
              <a:schemeClr val="lt1"/>
            </a:solidFill>
          </a:ln>
          <a:effectLst/>
        </c:spPr>
      </c:pivotFmt>
      <c:pivotFmt>
        <c:idx val="769"/>
        <c:spPr>
          <a:solidFill>
            <a:schemeClr val="accent1"/>
          </a:solidFill>
          <a:ln w="19050">
            <a:solidFill>
              <a:schemeClr val="lt1"/>
            </a:solidFill>
          </a:ln>
          <a:effectLst/>
        </c:spPr>
      </c:pivotFmt>
      <c:pivotFmt>
        <c:idx val="770"/>
        <c:spPr>
          <a:solidFill>
            <a:schemeClr val="accent1"/>
          </a:solidFill>
          <a:ln w="19050">
            <a:solidFill>
              <a:schemeClr val="lt1"/>
            </a:solidFill>
          </a:ln>
          <a:effectLst/>
        </c:spPr>
      </c:pivotFmt>
      <c:pivotFmt>
        <c:idx val="771"/>
        <c:spPr>
          <a:solidFill>
            <a:schemeClr val="accent1"/>
          </a:solidFill>
          <a:ln w="19050">
            <a:solidFill>
              <a:schemeClr val="lt1"/>
            </a:solidFill>
          </a:ln>
          <a:effectLst/>
        </c:spPr>
      </c:pivotFmt>
      <c:pivotFmt>
        <c:idx val="772"/>
        <c:spPr>
          <a:solidFill>
            <a:schemeClr val="accent1"/>
          </a:solidFill>
          <a:ln w="19050">
            <a:solidFill>
              <a:schemeClr val="lt1"/>
            </a:solidFill>
          </a:ln>
          <a:effectLst/>
        </c:spPr>
      </c:pivotFmt>
      <c:pivotFmt>
        <c:idx val="773"/>
        <c:spPr>
          <a:solidFill>
            <a:schemeClr val="accent1"/>
          </a:solidFill>
          <a:ln w="19050">
            <a:solidFill>
              <a:schemeClr val="lt1"/>
            </a:solidFill>
          </a:ln>
          <a:effectLst/>
        </c:spPr>
      </c:pivotFmt>
      <c:pivotFmt>
        <c:idx val="774"/>
        <c:spPr>
          <a:solidFill>
            <a:schemeClr val="accent1"/>
          </a:solidFill>
          <a:ln w="19050">
            <a:solidFill>
              <a:schemeClr val="lt1"/>
            </a:solidFill>
          </a:ln>
          <a:effectLst/>
        </c:spPr>
      </c:pivotFmt>
      <c:pivotFmt>
        <c:idx val="775"/>
        <c:spPr>
          <a:solidFill>
            <a:schemeClr val="accent1"/>
          </a:solidFill>
          <a:ln w="19050">
            <a:solidFill>
              <a:schemeClr val="lt1"/>
            </a:solidFill>
          </a:ln>
          <a:effectLst/>
        </c:spPr>
      </c:pivotFmt>
      <c:pivotFmt>
        <c:idx val="776"/>
        <c:spPr>
          <a:solidFill>
            <a:schemeClr val="accent1"/>
          </a:solidFill>
          <a:ln w="19050">
            <a:solidFill>
              <a:schemeClr val="lt1"/>
            </a:solidFill>
          </a:ln>
          <a:effectLst/>
        </c:spPr>
      </c:pivotFmt>
      <c:pivotFmt>
        <c:idx val="777"/>
        <c:spPr>
          <a:solidFill>
            <a:schemeClr val="accent1"/>
          </a:solidFill>
          <a:ln w="19050">
            <a:solidFill>
              <a:schemeClr val="lt1"/>
            </a:solidFill>
          </a:ln>
          <a:effectLst/>
        </c:spPr>
      </c:pivotFmt>
      <c:pivotFmt>
        <c:idx val="778"/>
        <c:spPr>
          <a:solidFill>
            <a:schemeClr val="accent1"/>
          </a:solidFill>
          <a:ln w="19050">
            <a:solidFill>
              <a:schemeClr val="lt1"/>
            </a:solidFill>
          </a:ln>
          <a:effectLst/>
        </c:spPr>
      </c:pivotFmt>
      <c:pivotFmt>
        <c:idx val="779"/>
        <c:spPr>
          <a:solidFill>
            <a:schemeClr val="accent1"/>
          </a:solidFill>
          <a:ln w="19050">
            <a:solidFill>
              <a:schemeClr val="lt1"/>
            </a:solidFill>
          </a:ln>
          <a:effectLst/>
        </c:spPr>
      </c:pivotFmt>
      <c:pivotFmt>
        <c:idx val="780"/>
        <c:spPr>
          <a:solidFill>
            <a:schemeClr val="accent1"/>
          </a:solidFill>
          <a:ln w="19050">
            <a:solidFill>
              <a:schemeClr val="lt1"/>
            </a:solidFill>
          </a:ln>
          <a:effectLst/>
        </c:spPr>
      </c:pivotFmt>
      <c:pivotFmt>
        <c:idx val="781"/>
        <c:spPr>
          <a:solidFill>
            <a:schemeClr val="accent1"/>
          </a:solidFill>
          <a:ln w="19050">
            <a:solidFill>
              <a:schemeClr val="lt1"/>
            </a:solidFill>
          </a:ln>
          <a:effectLst/>
        </c:spPr>
      </c:pivotFmt>
      <c:pivotFmt>
        <c:idx val="782"/>
        <c:spPr>
          <a:solidFill>
            <a:schemeClr val="accent1"/>
          </a:solidFill>
          <a:ln w="19050">
            <a:solidFill>
              <a:schemeClr val="lt1"/>
            </a:solidFill>
          </a:ln>
          <a:effectLst/>
        </c:spPr>
      </c:pivotFmt>
      <c:pivotFmt>
        <c:idx val="783"/>
        <c:spPr>
          <a:solidFill>
            <a:schemeClr val="accent1"/>
          </a:solidFill>
          <a:ln w="19050">
            <a:solidFill>
              <a:schemeClr val="lt1"/>
            </a:solidFill>
          </a:ln>
          <a:effectLst/>
        </c:spPr>
      </c:pivotFmt>
      <c:pivotFmt>
        <c:idx val="784"/>
        <c:spPr>
          <a:solidFill>
            <a:schemeClr val="accent1"/>
          </a:solidFill>
          <a:ln w="19050">
            <a:solidFill>
              <a:schemeClr val="lt1"/>
            </a:solidFill>
          </a:ln>
          <a:effectLst/>
        </c:spPr>
      </c:pivotFmt>
      <c:pivotFmt>
        <c:idx val="785"/>
        <c:spPr>
          <a:solidFill>
            <a:schemeClr val="accent1"/>
          </a:solidFill>
          <a:ln w="19050">
            <a:solidFill>
              <a:schemeClr val="lt1"/>
            </a:solidFill>
          </a:ln>
          <a:effectLst/>
        </c:spPr>
      </c:pivotFmt>
      <c:pivotFmt>
        <c:idx val="786"/>
        <c:spPr>
          <a:solidFill>
            <a:schemeClr val="accent1"/>
          </a:solidFill>
          <a:ln w="19050">
            <a:solidFill>
              <a:schemeClr val="lt1"/>
            </a:solidFill>
          </a:ln>
          <a:effectLst/>
        </c:spPr>
      </c:pivotFmt>
      <c:pivotFmt>
        <c:idx val="787"/>
        <c:spPr>
          <a:solidFill>
            <a:schemeClr val="accent1"/>
          </a:solidFill>
          <a:ln w="19050">
            <a:solidFill>
              <a:schemeClr val="lt1"/>
            </a:solidFill>
          </a:ln>
          <a:effectLst/>
        </c:spPr>
      </c:pivotFmt>
      <c:pivotFmt>
        <c:idx val="788"/>
        <c:spPr>
          <a:solidFill>
            <a:schemeClr val="accent1"/>
          </a:solidFill>
          <a:ln w="19050">
            <a:solidFill>
              <a:schemeClr val="lt1"/>
            </a:solidFill>
          </a:ln>
          <a:effectLst/>
        </c:spPr>
      </c:pivotFmt>
      <c:pivotFmt>
        <c:idx val="789"/>
        <c:spPr>
          <a:solidFill>
            <a:schemeClr val="accent1"/>
          </a:solidFill>
          <a:ln w="19050">
            <a:solidFill>
              <a:schemeClr val="lt1"/>
            </a:solidFill>
          </a:ln>
          <a:effectLst/>
        </c:spPr>
      </c:pivotFmt>
      <c:pivotFmt>
        <c:idx val="790"/>
        <c:spPr>
          <a:solidFill>
            <a:schemeClr val="accent1"/>
          </a:solidFill>
          <a:ln w="19050">
            <a:solidFill>
              <a:schemeClr val="lt1"/>
            </a:solidFill>
          </a:ln>
          <a:effectLst/>
        </c:spPr>
      </c:pivotFmt>
      <c:pivotFmt>
        <c:idx val="791"/>
        <c:spPr>
          <a:solidFill>
            <a:schemeClr val="accent1"/>
          </a:solidFill>
          <a:ln w="19050">
            <a:solidFill>
              <a:schemeClr val="lt1"/>
            </a:solidFill>
          </a:ln>
          <a:effectLst/>
        </c:spPr>
      </c:pivotFmt>
      <c:pivotFmt>
        <c:idx val="792"/>
        <c:spPr>
          <a:solidFill>
            <a:schemeClr val="accent1"/>
          </a:solidFill>
          <a:ln w="19050">
            <a:solidFill>
              <a:schemeClr val="lt1"/>
            </a:solidFill>
          </a:ln>
          <a:effectLst/>
        </c:spPr>
      </c:pivotFmt>
      <c:pivotFmt>
        <c:idx val="793"/>
        <c:spPr>
          <a:solidFill>
            <a:schemeClr val="accent1"/>
          </a:solidFill>
          <a:ln w="19050">
            <a:solidFill>
              <a:schemeClr val="lt1"/>
            </a:solidFill>
          </a:ln>
          <a:effectLst/>
        </c:spPr>
      </c:pivotFmt>
      <c:pivotFmt>
        <c:idx val="7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5"/>
        <c:spPr>
          <a:solidFill>
            <a:schemeClr val="accent1"/>
          </a:solidFill>
          <a:ln w="19050">
            <a:solidFill>
              <a:schemeClr val="lt1"/>
            </a:solidFill>
          </a:ln>
          <a:effectLst/>
        </c:spPr>
      </c:pivotFmt>
      <c:pivotFmt>
        <c:idx val="796"/>
        <c:spPr>
          <a:solidFill>
            <a:schemeClr val="accent1"/>
          </a:solidFill>
          <a:ln w="19050">
            <a:solidFill>
              <a:schemeClr val="lt1"/>
            </a:solidFill>
          </a:ln>
          <a:effectLst/>
        </c:spPr>
      </c:pivotFmt>
      <c:pivotFmt>
        <c:idx val="797"/>
        <c:spPr>
          <a:solidFill>
            <a:schemeClr val="accent1"/>
          </a:solidFill>
          <a:ln w="19050">
            <a:solidFill>
              <a:schemeClr val="lt1"/>
            </a:solidFill>
          </a:ln>
          <a:effectLst/>
        </c:spPr>
      </c:pivotFmt>
      <c:pivotFmt>
        <c:idx val="798"/>
        <c:spPr>
          <a:solidFill>
            <a:schemeClr val="accent1"/>
          </a:solidFill>
          <a:ln w="19050">
            <a:solidFill>
              <a:schemeClr val="lt1"/>
            </a:solidFill>
          </a:ln>
          <a:effectLst/>
        </c:spPr>
      </c:pivotFmt>
      <c:pivotFmt>
        <c:idx val="799"/>
        <c:spPr>
          <a:solidFill>
            <a:schemeClr val="accent1"/>
          </a:solidFill>
          <a:ln w="19050">
            <a:solidFill>
              <a:schemeClr val="lt1"/>
            </a:solidFill>
          </a:ln>
          <a:effectLst/>
        </c:spPr>
      </c:pivotFmt>
      <c:pivotFmt>
        <c:idx val="800"/>
        <c:spPr>
          <a:solidFill>
            <a:schemeClr val="accent1"/>
          </a:solidFill>
          <a:ln w="19050">
            <a:solidFill>
              <a:schemeClr val="lt1"/>
            </a:solidFill>
          </a:ln>
          <a:effectLst/>
        </c:spPr>
      </c:pivotFmt>
      <c:pivotFmt>
        <c:idx val="801"/>
        <c:spPr>
          <a:solidFill>
            <a:schemeClr val="accent1"/>
          </a:solidFill>
          <a:ln w="19050">
            <a:solidFill>
              <a:schemeClr val="lt1"/>
            </a:solidFill>
          </a:ln>
          <a:effectLst/>
        </c:spPr>
      </c:pivotFmt>
      <c:pivotFmt>
        <c:idx val="802"/>
        <c:spPr>
          <a:solidFill>
            <a:schemeClr val="accent1"/>
          </a:solidFill>
          <a:ln w="19050">
            <a:solidFill>
              <a:schemeClr val="lt1"/>
            </a:solidFill>
          </a:ln>
          <a:effectLst/>
        </c:spPr>
      </c:pivotFmt>
      <c:pivotFmt>
        <c:idx val="803"/>
        <c:spPr>
          <a:solidFill>
            <a:schemeClr val="accent1"/>
          </a:solidFill>
          <a:ln w="19050">
            <a:solidFill>
              <a:schemeClr val="lt1"/>
            </a:solidFill>
          </a:ln>
          <a:effectLst/>
        </c:spPr>
      </c:pivotFmt>
      <c:pivotFmt>
        <c:idx val="804"/>
        <c:spPr>
          <a:solidFill>
            <a:schemeClr val="accent1"/>
          </a:solidFill>
          <a:ln w="19050">
            <a:solidFill>
              <a:schemeClr val="lt1"/>
            </a:solidFill>
          </a:ln>
          <a:effectLst/>
        </c:spPr>
      </c:pivotFmt>
      <c:pivotFmt>
        <c:idx val="805"/>
        <c:spPr>
          <a:solidFill>
            <a:schemeClr val="accent1"/>
          </a:solidFill>
          <a:ln w="19050">
            <a:solidFill>
              <a:schemeClr val="lt1"/>
            </a:solidFill>
          </a:ln>
          <a:effectLst/>
        </c:spPr>
      </c:pivotFmt>
      <c:pivotFmt>
        <c:idx val="806"/>
        <c:spPr>
          <a:solidFill>
            <a:schemeClr val="accent1"/>
          </a:solidFill>
          <a:ln w="19050">
            <a:solidFill>
              <a:schemeClr val="lt1"/>
            </a:solidFill>
          </a:ln>
          <a:effectLst/>
        </c:spPr>
      </c:pivotFmt>
      <c:pivotFmt>
        <c:idx val="807"/>
        <c:spPr>
          <a:solidFill>
            <a:schemeClr val="accent1"/>
          </a:solidFill>
          <a:ln w="19050">
            <a:solidFill>
              <a:schemeClr val="lt1"/>
            </a:solidFill>
          </a:ln>
          <a:effectLst/>
        </c:spPr>
      </c:pivotFmt>
      <c:pivotFmt>
        <c:idx val="808"/>
        <c:spPr>
          <a:solidFill>
            <a:schemeClr val="accent1"/>
          </a:solidFill>
          <a:ln w="19050">
            <a:solidFill>
              <a:schemeClr val="lt1"/>
            </a:solidFill>
          </a:ln>
          <a:effectLst/>
        </c:spPr>
      </c:pivotFmt>
      <c:pivotFmt>
        <c:idx val="809"/>
        <c:spPr>
          <a:solidFill>
            <a:schemeClr val="accent1"/>
          </a:solidFill>
          <a:ln w="19050">
            <a:solidFill>
              <a:schemeClr val="lt1"/>
            </a:solidFill>
          </a:ln>
          <a:effectLst/>
        </c:spPr>
      </c:pivotFmt>
      <c:pivotFmt>
        <c:idx val="810"/>
        <c:spPr>
          <a:solidFill>
            <a:schemeClr val="accent1"/>
          </a:solidFill>
          <a:ln w="19050">
            <a:solidFill>
              <a:schemeClr val="lt1"/>
            </a:solidFill>
          </a:ln>
          <a:effectLst/>
        </c:spPr>
      </c:pivotFmt>
      <c:pivotFmt>
        <c:idx val="811"/>
        <c:spPr>
          <a:solidFill>
            <a:schemeClr val="accent1"/>
          </a:solidFill>
          <a:ln w="19050">
            <a:solidFill>
              <a:schemeClr val="lt1"/>
            </a:solidFill>
          </a:ln>
          <a:effectLst/>
        </c:spPr>
      </c:pivotFmt>
      <c:pivotFmt>
        <c:idx val="812"/>
        <c:spPr>
          <a:solidFill>
            <a:schemeClr val="accent1"/>
          </a:solidFill>
          <a:ln w="19050">
            <a:solidFill>
              <a:schemeClr val="lt1"/>
            </a:solidFill>
          </a:ln>
          <a:effectLst/>
        </c:spPr>
      </c:pivotFmt>
      <c:pivotFmt>
        <c:idx val="813"/>
        <c:spPr>
          <a:solidFill>
            <a:schemeClr val="accent1"/>
          </a:solidFill>
          <a:ln w="19050">
            <a:solidFill>
              <a:schemeClr val="lt1"/>
            </a:solidFill>
          </a:ln>
          <a:effectLst/>
        </c:spPr>
      </c:pivotFmt>
      <c:pivotFmt>
        <c:idx val="814"/>
        <c:spPr>
          <a:solidFill>
            <a:schemeClr val="accent1"/>
          </a:solidFill>
          <a:ln w="19050">
            <a:solidFill>
              <a:schemeClr val="lt1"/>
            </a:solidFill>
          </a:ln>
          <a:effectLst/>
        </c:spPr>
      </c:pivotFmt>
      <c:pivotFmt>
        <c:idx val="815"/>
        <c:spPr>
          <a:solidFill>
            <a:schemeClr val="accent1"/>
          </a:solidFill>
          <a:ln w="19050">
            <a:solidFill>
              <a:schemeClr val="lt1"/>
            </a:solidFill>
          </a:ln>
          <a:effectLst/>
        </c:spPr>
      </c:pivotFmt>
      <c:pivotFmt>
        <c:idx val="816"/>
        <c:spPr>
          <a:solidFill>
            <a:schemeClr val="accent1"/>
          </a:solidFill>
          <a:ln w="19050">
            <a:solidFill>
              <a:schemeClr val="lt1"/>
            </a:solidFill>
          </a:ln>
          <a:effectLst/>
        </c:spPr>
      </c:pivotFmt>
      <c:pivotFmt>
        <c:idx val="817"/>
        <c:spPr>
          <a:solidFill>
            <a:schemeClr val="accent1"/>
          </a:solidFill>
          <a:ln w="19050">
            <a:solidFill>
              <a:schemeClr val="lt1"/>
            </a:solidFill>
          </a:ln>
          <a:effectLst/>
        </c:spPr>
      </c:pivotFmt>
      <c:pivotFmt>
        <c:idx val="818"/>
        <c:spPr>
          <a:solidFill>
            <a:schemeClr val="accent1"/>
          </a:solidFill>
          <a:ln w="19050">
            <a:solidFill>
              <a:schemeClr val="lt1"/>
            </a:solidFill>
          </a:ln>
          <a:effectLst/>
        </c:spPr>
      </c:pivotFmt>
      <c:pivotFmt>
        <c:idx val="819"/>
        <c:spPr>
          <a:solidFill>
            <a:schemeClr val="accent1"/>
          </a:solidFill>
          <a:ln w="19050">
            <a:solidFill>
              <a:schemeClr val="lt1"/>
            </a:solidFill>
          </a:ln>
          <a:effectLst/>
        </c:spPr>
      </c:pivotFmt>
      <c:pivotFmt>
        <c:idx val="820"/>
        <c:spPr>
          <a:solidFill>
            <a:schemeClr val="accent1"/>
          </a:solidFill>
          <a:ln w="19050">
            <a:solidFill>
              <a:schemeClr val="lt1"/>
            </a:solidFill>
          </a:ln>
          <a:effectLst/>
        </c:spPr>
      </c:pivotFmt>
      <c:pivotFmt>
        <c:idx val="821"/>
        <c:spPr>
          <a:solidFill>
            <a:schemeClr val="accent1"/>
          </a:solidFill>
          <a:ln w="19050">
            <a:solidFill>
              <a:schemeClr val="lt1"/>
            </a:solidFill>
          </a:ln>
          <a:effectLst/>
        </c:spPr>
      </c:pivotFmt>
      <c:pivotFmt>
        <c:idx val="822"/>
        <c:spPr>
          <a:solidFill>
            <a:schemeClr val="accent1"/>
          </a:solidFill>
          <a:ln w="19050">
            <a:solidFill>
              <a:schemeClr val="lt1"/>
            </a:solidFill>
          </a:ln>
          <a:effectLst/>
        </c:spPr>
      </c:pivotFmt>
      <c:pivotFmt>
        <c:idx val="823"/>
        <c:spPr>
          <a:solidFill>
            <a:schemeClr val="accent1"/>
          </a:solidFill>
          <a:ln w="19050">
            <a:solidFill>
              <a:schemeClr val="lt1"/>
            </a:solidFill>
          </a:ln>
          <a:effectLst/>
        </c:spPr>
      </c:pivotFmt>
      <c:pivotFmt>
        <c:idx val="824"/>
        <c:spPr>
          <a:solidFill>
            <a:schemeClr val="accent1"/>
          </a:solidFill>
          <a:ln w="19050">
            <a:solidFill>
              <a:schemeClr val="lt1"/>
            </a:solidFill>
          </a:ln>
          <a:effectLst/>
        </c:spPr>
      </c:pivotFmt>
      <c:pivotFmt>
        <c:idx val="825"/>
        <c:spPr>
          <a:solidFill>
            <a:schemeClr val="accent1"/>
          </a:solidFill>
          <a:ln w="19050">
            <a:solidFill>
              <a:schemeClr val="lt1"/>
            </a:solidFill>
          </a:ln>
          <a:effectLst/>
        </c:spPr>
      </c:pivotFmt>
      <c:pivotFmt>
        <c:idx val="826"/>
        <c:spPr>
          <a:solidFill>
            <a:schemeClr val="accent1"/>
          </a:solidFill>
          <a:ln w="19050">
            <a:solidFill>
              <a:schemeClr val="lt1"/>
            </a:solidFill>
          </a:ln>
          <a:effectLst/>
        </c:spPr>
      </c:pivotFmt>
      <c:pivotFmt>
        <c:idx val="827"/>
        <c:spPr>
          <a:solidFill>
            <a:schemeClr val="accent1"/>
          </a:solidFill>
          <a:ln w="19050">
            <a:solidFill>
              <a:schemeClr val="lt1"/>
            </a:solidFill>
          </a:ln>
          <a:effectLst/>
        </c:spPr>
      </c:pivotFmt>
      <c:pivotFmt>
        <c:idx val="828"/>
        <c:spPr>
          <a:solidFill>
            <a:schemeClr val="accent1"/>
          </a:solidFill>
          <a:ln w="19050">
            <a:solidFill>
              <a:schemeClr val="lt1"/>
            </a:solidFill>
          </a:ln>
          <a:effectLst/>
        </c:spPr>
      </c:pivotFmt>
      <c:pivotFmt>
        <c:idx val="829"/>
        <c:spPr>
          <a:solidFill>
            <a:schemeClr val="accent1"/>
          </a:solidFill>
          <a:ln w="19050">
            <a:solidFill>
              <a:schemeClr val="lt1"/>
            </a:solidFill>
          </a:ln>
          <a:effectLst/>
        </c:spPr>
      </c:pivotFmt>
      <c:pivotFmt>
        <c:idx val="830"/>
        <c:spPr>
          <a:solidFill>
            <a:schemeClr val="accent1"/>
          </a:solidFill>
          <a:ln w="19050">
            <a:solidFill>
              <a:schemeClr val="lt1"/>
            </a:solidFill>
          </a:ln>
          <a:effectLst/>
        </c:spPr>
      </c:pivotFmt>
      <c:pivotFmt>
        <c:idx val="831"/>
        <c:spPr>
          <a:solidFill>
            <a:schemeClr val="accent1"/>
          </a:solidFill>
          <a:ln w="19050">
            <a:solidFill>
              <a:schemeClr val="lt1"/>
            </a:solidFill>
          </a:ln>
          <a:effectLst/>
        </c:spPr>
      </c:pivotFmt>
      <c:pivotFmt>
        <c:idx val="832"/>
        <c:spPr>
          <a:solidFill>
            <a:schemeClr val="accent1"/>
          </a:solidFill>
          <a:ln w="19050">
            <a:solidFill>
              <a:schemeClr val="lt1"/>
            </a:solidFill>
          </a:ln>
          <a:effectLst/>
        </c:spPr>
      </c:pivotFmt>
      <c:pivotFmt>
        <c:idx val="833"/>
        <c:spPr>
          <a:solidFill>
            <a:schemeClr val="accent1"/>
          </a:solidFill>
          <a:ln w="19050">
            <a:solidFill>
              <a:schemeClr val="lt1"/>
            </a:solidFill>
          </a:ln>
          <a:effectLst/>
        </c:spPr>
      </c:pivotFmt>
      <c:pivotFmt>
        <c:idx val="834"/>
        <c:spPr>
          <a:solidFill>
            <a:schemeClr val="accent1"/>
          </a:solidFill>
          <a:ln w="19050">
            <a:solidFill>
              <a:schemeClr val="lt1"/>
            </a:solidFill>
          </a:ln>
          <a:effectLst/>
        </c:spPr>
      </c:pivotFmt>
      <c:pivotFmt>
        <c:idx val="835"/>
        <c:spPr>
          <a:solidFill>
            <a:schemeClr val="accent1"/>
          </a:solidFill>
          <a:ln w="19050">
            <a:solidFill>
              <a:schemeClr val="lt1"/>
            </a:solidFill>
          </a:ln>
          <a:effectLst/>
        </c:spPr>
      </c:pivotFmt>
      <c:pivotFmt>
        <c:idx val="836"/>
        <c:spPr>
          <a:solidFill>
            <a:schemeClr val="accent1"/>
          </a:solidFill>
          <a:ln w="19050">
            <a:solidFill>
              <a:schemeClr val="lt1"/>
            </a:solidFill>
          </a:ln>
          <a:effectLst/>
        </c:spPr>
      </c:pivotFmt>
      <c:pivotFmt>
        <c:idx val="837"/>
        <c:spPr>
          <a:solidFill>
            <a:schemeClr val="accent1"/>
          </a:solidFill>
          <a:ln w="19050">
            <a:solidFill>
              <a:schemeClr val="lt1"/>
            </a:solidFill>
          </a:ln>
          <a:effectLst/>
        </c:spPr>
      </c:pivotFmt>
      <c:pivotFmt>
        <c:idx val="838"/>
        <c:spPr>
          <a:solidFill>
            <a:schemeClr val="accent1"/>
          </a:solidFill>
          <a:ln w="19050">
            <a:solidFill>
              <a:schemeClr val="lt1"/>
            </a:solidFill>
          </a:ln>
          <a:effectLst/>
        </c:spPr>
      </c:pivotFmt>
      <c:pivotFmt>
        <c:idx val="839"/>
        <c:spPr>
          <a:solidFill>
            <a:schemeClr val="accent1"/>
          </a:solidFill>
          <a:ln w="19050">
            <a:solidFill>
              <a:schemeClr val="lt1"/>
            </a:solidFill>
          </a:ln>
          <a:effectLst/>
        </c:spPr>
      </c:pivotFmt>
      <c:pivotFmt>
        <c:idx val="840"/>
        <c:spPr>
          <a:solidFill>
            <a:schemeClr val="accent1"/>
          </a:solidFill>
          <a:ln w="19050">
            <a:solidFill>
              <a:schemeClr val="lt1"/>
            </a:solidFill>
          </a:ln>
          <a:effectLst/>
        </c:spPr>
      </c:pivotFmt>
      <c:pivotFmt>
        <c:idx val="841"/>
        <c:spPr>
          <a:solidFill>
            <a:schemeClr val="accent1"/>
          </a:solidFill>
          <a:ln w="19050">
            <a:solidFill>
              <a:schemeClr val="lt1"/>
            </a:solidFill>
          </a:ln>
          <a:effectLst/>
        </c:spPr>
      </c:pivotFmt>
      <c:pivotFmt>
        <c:idx val="842"/>
        <c:spPr>
          <a:solidFill>
            <a:schemeClr val="accent1"/>
          </a:solidFill>
          <a:ln w="19050">
            <a:solidFill>
              <a:schemeClr val="lt1"/>
            </a:solidFill>
          </a:ln>
          <a:effectLst/>
        </c:spPr>
      </c:pivotFmt>
      <c:pivotFmt>
        <c:idx val="843"/>
        <c:spPr>
          <a:solidFill>
            <a:schemeClr val="accent1"/>
          </a:solidFill>
          <a:ln w="19050">
            <a:solidFill>
              <a:schemeClr val="lt1"/>
            </a:solidFill>
          </a:ln>
          <a:effectLst/>
        </c:spPr>
      </c:pivotFmt>
      <c:pivotFmt>
        <c:idx val="844"/>
        <c:spPr>
          <a:solidFill>
            <a:schemeClr val="accent1"/>
          </a:solidFill>
          <a:ln w="19050">
            <a:solidFill>
              <a:schemeClr val="lt1"/>
            </a:solidFill>
          </a:ln>
          <a:effectLst/>
        </c:spPr>
      </c:pivotFmt>
      <c:pivotFmt>
        <c:idx val="845"/>
        <c:spPr>
          <a:solidFill>
            <a:schemeClr val="accent1"/>
          </a:solidFill>
          <a:ln w="19050">
            <a:solidFill>
              <a:schemeClr val="lt1"/>
            </a:solidFill>
          </a:ln>
          <a:effectLst/>
        </c:spPr>
      </c:pivotFmt>
      <c:pivotFmt>
        <c:idx val="846"/>
        <c:spPr>
          <a:solidFill>
            <a:schemeClr val="accent1"/>
          </a:solidFill>
          <a:ln w="19050">
            <a:solidFill>
              <a:schemeClr val="lt1"/>
            </a:solidFill>
          </a:ln>
          <a:effectLst/>
        </c:spPr>
      </c:pivotFmt>
      <c:pivotFmt>
        <c:idx val="847"/>
        <c:spPr>
          <a:solidFill>
            <a:schemeClr val="accent1"/>
          </a:solidFill>
          <a:ln w="19050">
            <a:solidFill>
              <a:schemeClr val="lt1"/>
            </a:solidFill>
          </a:ln>
          <a:effectLst/>
        </c:spPr>
      </c:pivotFmt>
      <c:pivotFmt>
        <c:idx val="848"/>
        <c:spPr>
          <a:solidFill>
            <a:schemeClr val="accent1"/>
          </a:solidFill>
          <a:ln w="19050">
            <a:solidFill>
              <a:schemeClr val="lt1"/>
            </a:solidFill>
          </a:ln>
          <a:effectLst/>
        </c:spPr>
      </c:pivotFmt>
      <c:pivotFmt>
        <c:idx val="849"/>
        <c:spPr>
          <a:solidFill>
            <a:schemeClr val="accent1"/>
          </a:solidFill>
          <a:ln w="19050">
            <a:solidFill>
              <a:schemeClr val="lt1"/>
            </a:solidFill>
          </a:ln>
          <a:effectLst/>
        </c:spPr>
      </c:pivotFmt>
      <c:pivotFmt>
        <c:idx val="850"/>
        <c:spPr>
          <a:solidFill>
            <a:schemeClr val="accent1"/>
          </a:solidFill>
          <a:ln w="19050">
            <a:solidFill>
              <a:schemeClr val="lt1"/>
            </a:solidFill>
          </a:ln>
          <a:effectLst/>
        </c:spPr>
      </c:pivotFmt>
      <c:pivotFmt>
        <c:idx val="851"/>
        <c:spPr>
          <a:solidFill>
            <a:schemeClr val="accent1"/>
          </a:solidFill>
          <a:ln w="19050">
            <a:solidFill>
              <a:schemeClr val="lt1"/>
            </a:solidFill>
          </a:ln>
          <a:effectLst/>
        </c:spPr>
      </c:pivotFmt>
      <c:pivotFmt>
        <c:idx val="852"/>
        <c:spPr>
          <a:solidFill>
            <a:schemeClr val="accent1"/>
          </a:solidFill>
          <a:ln w="19050">
            <a:solidFill>
              <a:schemeClr val="lt1"/>
            </a:solidFill>
          </a:ln>
          <a:effectLst/>
        </c:spPr>
      </c:pivotFmt>
      <c:pivotFmt>
        <c:idx val="853"/>
        <c:spPr>
          <a:solidFill>
            <a:schemeClr val="accent1"/>
          </a:solidFill>
          <a:ln w="19050">
            <a:solidFill>
              <a:schemeClr val="lt1"/>
            </a:solidFill>
          </a:ln>
          <a:effectLst/>
        </c:spPr>
      </c:pivotFmt>
      <c:pivotFmt>
        <c:idx val="854"/>
        <c:spPr>
          <a:solidFill>
            <a:schemeClr val="accent1"/>
          </a:solidFill>
          <a:ln w="19050">
            <a:solidFill>
              <a:schemeClr val="lt1"/>
            </a:solidFill>
          </a:ln>
          <a:effectLst/>
        </c:spPr>
      </c:pivotFmt>
      <c:pivotFmt>
        <c:idx val="855"/>
        <c:spPr>
          <a:solidFill>
            <a:schemeClr val="accent1"/>
          </a:solidFill>
          <a:ln w="19050">
            <a:solidFill>
              <a:schemeClr val="lt1"/>
            </a:solidFill>
          </a:ln>
          <a:effectLst/>
        </c:spPr>
      </c:pivotFmt>
      <c:pivotFmt>
        <c:idx val="856"/>
        <c:spPr>
          <a:solidFill>
            <a:schemeClr val="accent1"/>
          </a:solidFill>
          <a:ln w="19050">
            <a:solidFill>
              <a:schemeClr val="lt1"/>
            </a:solidFill>
          </a:ln>
          <a:effectLst/>
        </c:spPr>
      </c:pivotFmt>
      <c:pivotFmt>
        <c:idx val="857"/>
        <c:spPr>
          <a:solidFill>
            <a:schemeClr val="accent1"/>
          </a:solidFill>
          <a:ln w="19050">
            <a:solidFill>
              <a:schemeClr val="lt1"/>
            </a:solidFill>
          </a:ln>
          <a:effectLst/>
        </c:spPr>
      </c:pivotFmt>
      <c:pivotFmt>
        <c:idx val="858"/>
        <c:spPr>
          <a:solidFill>
            <a:schemeClr val="accent1"/>
          </a:solidFill>
          <a:ln w="19050">
            <a:solidFill>
              <a:schemeClr val="lt1"/>
            </a:solidFill>
          </a:ln>
          <a:effectLst/>
        </c:spPr>
      </c:pivotFmt>
      <c:pivotFmt>
        <c:idx val="859"/>
        <c:spPr>
          <a:solidFill>
            <a:schemeClr val="accent1"/>
          </a:solidFill>
          <a:ln w="19050">
            <a:solidFill>
              <a:schemeClr val="lt1"/>
            </a:solidFill>
          </a:ln>
          <a:effectLst/>
        </c:spPr>
      </c:pivotFmt>
      <c:pivotFmt>
        <c:idx val="860"/>
        <c:spPr>
          <a:solidFill>
            <a:schemeClr val="accent1"/>
          </a:solidFill>
          <a:ln w="19050">
            <a:solidFill>
              <a:schemeClr val="lt1"/>
            </a:solidFill>
          </a:ln>
          <a:effectLst/>
        </c:spPr>
      </c:pivotFmt>
      <c:pivotFmt>
        <c:idx val="861"/>
        <c:spPr>
          <a:solidFill>
            <a:schemeClr val="accent1"/>
          </a:solidFill>
          <a:ln w="19050">
            <a:solidFill>
              <a:schemeClr val="lt1"/>
            </a:solidFill>
          </a:ln>
          <a:effectLst/>
        </c:spPr>
      </c:pivotFmt>
      <c:pivotFmt>
        <c:idx val="862"/>
        <c:spPr>
          <a:solidFill>
            <a:schemeClr val="accent1"/>
          </a:solidFill>
          <a:ln w="19050">
            <a:solidFill>
              <a:schemeClr val="lt1"/>
            </a:solidFill>
          </a:ln>
          <a:effectLst/>
        </c:spPr>
      </c:pivotFmt>
      <c:pivotFmt>
        <c:idx val="863"/>
        <c:spPr>
          <a:solidFill>
            <a:schemeClr val="accent1"/>
          </a:solidFill>
          <a:ln w="19050">
            <a:solidFill>
              <a:schemeClr val="lt1"/>
            </a:solidFill>
          </a:ln>
          <a:effectLst/>
        </c:spPr>
      </c:pivotFmt>
      <c:pivotFmt>
        <c:idx val="864"/>
        <c:spPr>
          <a:solidFill>
            <a:schemeClr val="accent1"/>
          </a:solidFill>
          <a:ln w="19050">
            <a:solidFill>
              <a:schemeClr val="lt1"/>
            </a:solidFill>
          </a:ln>
          <a:effectLst/>
        </c:spPr>
      </c:pivotFmt>
      <c:pivotFmt>
        <c:idx val="865"/>
        <c:spPr>
          <a:solidFill>
            <a:schemeClr val="accent1"/>
          </a:solidFill>
          <a:ln w="19050">
            <a:solidFill>
              <a:schemeClr val="lt1"/>
            </a:solidFill>
          </a:ln>
          <a:effectLst/>
        </c:spPr>
      </c:pivotFmt>
      <c:pivotFmt>
        <c:idx val="866"/>
        <c:spPr>
          <a:solidFill>
            <a:schemeClr val="accent1"/>
          </a:solidFill>
          <a:ln w="19050">
            <a:solidFill>
              <a:schemeClr val="lt1"/>
            </a:solidFill>
          </a:ln>
          <a:effectLst/>
        </c:spPr>
      </c:pivotFmt>
      <c:pivotFmt>
        <c:idx val="867"/>
        <c:spPr>
          <a:solidFill>
            <a:schemeClr val="accent1"/>
          </a:solidFill>
          <a:ln w="19050">
            <a:solidFill>
              <a:schemeClr val="lt1"/>
            </a:solidFill>
          </a:ln>
          <a:effectLst/>
        </c:spPr>
      </c:pivotFmt>
      <c:pivotFmt>
        <c:idx val="868"/>
        <c:spPr>
          <a:solidFill>
            <a:schemeClr val="accent1"/>
          </a:solidFill>
          <a:ln w="19050">
            <a:solidFill>
              <a:schemeClr val="lt1"/>
            </a:solidFill>
          </a:ln>
          <a:effectLst/>
        </c:spPr>
      </c:pivotFmt>
      <c:pivotFmt>
        <c:idx val="869"/>
        <c:spPr>
          <a:solidFill>
            <a:schemeClr val="accent1"/>
          </a:solidFill>
          <a:ln w="19050">
            <a:solidFill>
              <a:schemeClr val="lt1"/>
            </a:solidFill>
          </a:ln>
          <a:effectLst/>
        </c:spPr>
      </c:pivotFmt>
      <c:pivotFmt>
        <c:idx val="870"/>
        <c:spPr>
          <a:solidFill>
            <a:schemeClr val="accent1"/>
          </a:solidFill>
          <a:ln w="19050">
            <a:solidFill>
              <a:schemeClr val="lt1"/>
            </a:solidFill>
          </a:ln>
          <a:effectLst/>
        </c:spPr>
      </c:pivotFmt>
      <c:pivotFmt>
        <c:idx val="871"/>
        <c:spPr>
          <a:solidFill>
            <a:schemeClr val="accent1"/>
          </a:solidFill>
          <a:ln w="19050">
            <a:solidFill>
              <a:schemeClr val="lt1"/>
            </a:solidFill>
          </a:ln>
          <a:effectLst/>
        </c:spPr>
      </c:pivotFmt>
      <c:pivotFmt>
        <c:idx val="872"/>
        <c:spPr>
          <a:solidFill>
            <a:schemeClr val="accent1"/>
          </a:solidFill>
          <a:ln w="19050">
            <a:solidFill>
              <a:schemeClr val="lt1"/>
            </a:solidFill>
          </a:ln>
          <a:effectLst/>
        </c:spPr>
      </c:pivotFmt>
      <c:pivotFmt>
        <c:idx val="873"/>
        <c:spPr>
          <a:solidFill>
            <a:schemeClr val="accent1"/>
          </a:solidFill>
          <a:ln w="19050">
            <a:solidFill>
              <a:schemeClr val="lt1"/>
            </a:solidFill>
          </a:ln>
          <a:effectLst/>
        </c:spPr>
      </c:pivotFmt>
      <c:pivotFmt>
        <c:idx val="874"/>
        <c:spPr>
          <a:solidFill>
            <a:schemeClr val="accent1"/>
          </a:solidFill>
          <a:ln w="19050">
            <a:solidFill>
              <a:schemeClr val="lt1"/>
            </a:solidFill>
          </a:ln>
          <a:effectLst/>
        </c:spPr>
      </c:pivotFmt>
      <c:pivotFmt>
        <c:idx val="875"/>
        <c:spPr>
          <a:solidFill>
            <a:schemeClr val="accent1"/>
          </a:solidFill>
          <a:ln w="19050">
            <a:solidFill>
              <a:schemeClr val="lt1"/>
            </a:solidFill>
          </a:ln>
          <a:effectLst/>
        </c:spPr>
      </c:pivotFmt>
      <c:pivotFmt>
        <c:idx val="876"/>
        <c:spPr>
          <a:solidFill>
            <a:schemeClr val="accent1"/>
          </a:solidFill>
          <a:ln w="19050">
            <a:solidFill>
              <a:schemeClr val="lt1"/>
            </a:solidFill>
          </a:ln>
          <a:effectLst/>
        </c:spPr>
      </c:pivotFmt>
      <c:pivotFmt>
        <c:idx val="877"/>
        <c:spPr>
          <a:solidFill>
            <a:schemeClr val="accent1"/>
          </a:solidFill>
          <a:ln w="19050">
            <a:solidFill>
              <a:schemeClr val="lt1"/>
            </a:solidFill>
          </a:ln>
          <a:effectLst/>
        </c:spPr>
      </c:pivotFmt>
      <c:pivotFmt>
        <c:idx val="878"/>
        <c:spPr>
          <a:solidFill>
            <a:schemeClr val="accent1"/>
          </a:solidFill>
          <a:ln w="19050">
            <a:solidFill>
              <a:schemeClr val="lt1"/>
            </a:solidFill>
          </a:ln>
          <a:effectLst/>
        </c:spPr>
      </c:pivotFmt>
      <c:pivotFmt>
        <c:idx val="879"/>
        <c:spPr>
          <a:solidFill>
            <a:schemeClr val="accent1"/>
          </a:solidFill>
          <a:ln w="19050">
            <a:solidFill>
              <a:schemeClr val="lt1"/>
            </a:solidFill>
          </a:ln>
          <a:effectLst/>
        </c:spPr>
      </c:pivotFmt>
      <c:pivotFmt>
        <c:idx val="880"/>
        <c:spPr>
          <a:solidFill>
            <a:schemeClr val="accent1"/>
          </a:solidFill>
          <a:ln w="19050">
            <a:solidFill>
              <a:schemeClr val="lt1"/>
            </a:solidFill>
          </a:ln>
          <a:effectLst/>
        </c:spPr>
      </c:pivotFmt>
      <c:pivotFmt>
        <c:idx val="881"/>
        <c:spPr>
          <a:solidFill>
            <a:schemeClr val="accent1"/>
          </a:solidFill>
          <a:ln w="19050">
            <a:solidFill>
              <a:schemeClr val="lt1"/>
            </a:solidFill>
          </a:ln>
          <a:effectLst/>
        </c:spPr>
      </c:pivotFmt>
      <c:pivotFmt>
        <c:idx val="882"/>
        <c:spPr>
          <a:solidFill>
            <a:schemeClr val="accent1"/>
          </a:solidFill>
          <a:ln w="19050">
            <a:solidFill>
              <a:schemeClr val="lt1"/>
            </a:solidFill>
          </a:ln>
          <a:effectLst/>
        </c:spPr>
      </c:pivotFmt>
      <c:pivotFmt>
        <c:idx val="883"/>
        <c:spPr>
          <a:solidFill>
            <a:schemeClr val="accent1"/>
          </a:solidFill>
          <a:ln w="19050">
            <a:solidFill>
              <a:schemeClr val="lt1"/>
            </a:solidFill>
          </a:ln>
          <a:effectLst/>
        </c:spPr>
      </c:pivotFmt>
      <c:pivotFmt>
        <c:idx val="884"/>
        <c:spPr>
          <a:solidFill>
            <a:schemeClr val="accent1"/>
          </a:solidFill>
          <a:ln w="19050">
            <a:solidFill>
              <a:schemeClr val="lt1"/>
            </a:solidFill>
          </a:ln>
          <a:effectLst/>
        </c:spPr>
      </c:pivotFmt>
      <c:pivotFmt>
        <c:idx val="885"/>
        <c:spPr>
          <a:solidFill>
            <a:schemeClr val="accent1"/>
          </a:solidFill>
          <a:ln w="19050">
            <a:solidFill>
              <a:schemeClr val="lt1"/>
            </a:solidFill>
          </a:ln>
          <a:effectLst/>
        </c:spPr>
      </c:pivotFmt>
      <c:pivotFmt>
        <c:idx val="886"/>
        <c:spPr>
          <a:solidFill>
            <a:schemeClr val="accent1"/>
          </a:solidFill>
          <a:ln w="19050">
            <a:solidFill>
              <a:schemeClr val="lt1"/>
            </a:solidFill>
          </a:ln>
          <a:effectLst/>
        </c:spPr>
      </c:pivotFmt>
      <c:pivotFmt>
        <c:idx val="887"/>
        <c:spPr>
          <a:solidFill>
            <a:schemeClr val="accent1"/>
          </a:solidFill>
          <a:ln w="19050">
            <a:solidFill>
              <a:schemeClr val="lt1"/>
            </a:solidFill>
          </a:ln>
          <a:effectLst/>
        </c:spPr>
      </c:pivotFmt>
      <c:pivotFmt>
        <c:idx val="888"/>
        <c:spPr>
          <a:solidFill>
            <a:schemeClr val="accent1"/>
          </a:solidFill>
          <a:ln w="19050">
            <a:solidFill>
              <a:schemeClr val="lt1"/>
            </a:solidFill>
          </a:ln>
          <a:effectLst/>
        </c:spPr>
      </c:pivotFmt>
      <c:pivotFmt>
        <c:idx val="889"/>
        <c:spPr>
          <a:solidFill>
            <a:schemeClr val="accent1"/>
          </a:solidFill>
          <a:ln w="19050">
            <a:solidFill>
              <a:schemeClr val="lt1"/>
            </a:solidFill>
          </a:ln>
          <a:effectLst/>
        </c:spPr>
      </c:pivotFmt>
      <c:pivotFmt>
        <c:idx val="890"/>
        <c:spPr>
          <a:solidFill>
            <a:schemeClr val="accent1"/>
          </a:solidFill>
          <a:ln w="19050">
            <a:solidFill>
              <a:schemeClr val="lt1"/>
            </a:solidFill>
          </a:ln>
          <a:effectLst/>
        </c:spPr>
      </c:pivotFmt>
      <c:pivotFmt>
        <c:idx val="891"/>
        <c:spPr>
          <a:solidFill>
            <a:schemeClr val="accent1"/>
          </a:solidFill>
          <a:ln w="19050">
            <a:solidFill>
              <a:schemeClr val="lt1"/>
            </a:solidFill>
          </a:ln>
          <a:effectLst/>
        </c:spPr>
      </c:pivotFmt>
      <c:pivotFmt>
        <c:idx val="892"/>
        <c:spPr>
          <a:solidFill>
            <a:schemeClr val="accent1"/>
          </a:solidFill>
          <a:ln w="19050">
            <a:solidFill>
              <a:schemeClr val="lt1"/>
            </a:solidFill>
          </a:ln>
          <a:effectLst/>
        </c:spPr>
      </c:pivotFmt>
      <c:pivotFmt>
        <c:idx val="893"/>
        <c:spPr>
          <a:solidFill>
            <a:schemeClr val="accent1"/>
          </a:solidFill>
          <a:ln w="19050">
            <a:solidFill>
              <a:schemeClr val="lt1"/>
            </a:solidFill>
          </a:ln>
          <a:effectLst/>
        </c:spPr>
      </c:pivotFmt>
      <c:pivotFmt>
        <c:idx val="894"/>
        <c:spPr>
          <a:solidFill>
            <a:schemeClr val="accent1"/>
          </a:solidFill>
          <a:ln w="19050">
            <a:solidFill>
              <a:schemeClr val="lt1"/>
            </a:solidFill>
          </a:ln>
          <a:effectLst/>
        </c:spPr>
      </c:pivotFmt>
      <c:pivotFmt>
        <c:idx val="895"/>
        <c:spPr>
          <a:solidFill>
            <a:schemeClr val="accent1"/>
          </a:solidFill>
          <a:ln w="19050">
            <a:solidFill>
              <a:schemeClr val="lt1"/>
            </a:solidFill>
          </a:ln>
          <a:effectLst/>
        </c:spPr>
      </c:pivotFmt>
      <c:pivotFmt>
        <c:idx val="896"/>
        <c:spPr>
          <a:solidFill>
            <a:schemeClr val="accent1"/>
          </a:solidFill>
          <a:ln w="19050">
            <a:solidFill>
              <a:schemeClr val="lt1"/>
            </a:solidFill>
          </a:ln>
          <a:effectLst/>
        </c:spPr>
      </c:pivotFmt>
      <c:pivotFmt>
        <c:idx val="897"/>
        <c:spPr>
          <a:solidFill>
            <a:schemeClr val="accent1"/>
          </a:solidFill>
          <a:ln w="19050">
            <a:solidFill>
              <a:schemeClr val="lt1"/>
            </a:solidFill>
          </a:ln>
          <a:effectLst/>
        </c:spPr>
      </c:pivotFmt>
      <c:pivotFmt>
        <c:idx val="898"/>
        <c:spPr>
          <a:solidFill>
            <a:schemeClr val="accent1"/>
          </a:solidFill>
          <a:ln w="19050">
            <a:solidFill>
              <a:schemeClr val="lt1"/>
            </a:solidFill>
          </a:ln>
          <a:effectLst/>
        </c:spPr>
      </c:pivotFmt>
      <c:pivotFmt>
        <c:idx val="899"/>
        <c:spPr>
          <a:solidFill>
            <a:schemeClr val="accent1"/>
          </a:solidFill>
          <a:ln w="19050">
            <a:solidFill>
              <a:schemeClr val="lt1"/>
            </a:solidFill>
          </a:ln>
          <a:effectLst/>
        </c:spPr>
      </c:pivotFmt>
      <c:pivotFmt>
        <c:idx val="900"/>
        <c:spPr>
          <a:solidFill>
            <a:schemeClr val="accent1"/>
          </a:solidFill>
          <a:ln w="19050">
            <a:solidFill>
              <a:schemeClr val="lt1"/>
            </a:solidFill>
          </a:ln>
          <a:effectLst/>
        </c:spPr>
      </c:pivotFmt>
      <c:pivotFmt>
        <c:idx val="901"/>
        <c:spPr>
          <a:solidFill>
            <a:schemeClr val="accent1"/>
          </a:solidFill>
          <a:ln w="19050">
            <a:solidFill>
              <a:schemeClr val="lt1"/>
            </a:solidFill>
          </a:ln>
          <a:effectLst/>
        </c:spPr>
      </c:pivotFmt>
      <c:pivotFmt>
        <c:idx val="902"/>
        <c:spPr>
          <a:solidFill>
            <a:schemeClr val="accent1"/>
          </a:solidFill>
          <a:ln w="19050">
            <a:solidFill>
              <a:schemeClr val="lt1"/>
            </a:solidFill>
          </a:ln>
          <a:effectLst/>
        </c:spPr>
      </c:pivotFmt>
      <c:pivotFmt>
        <c:idx val="903"/>
        <c:spPr>
          <a:solidFill>
            <a:schemeClr val="accent1"/>
          </a:solidFill>
          <a:ln w="19050">
            <a:solidFill>
              <a:schemeClr val="lt1"/>
            </a:solidFill>
          </a:ln>
          <a:effectLst/>
        </c:spPr>
      </c:pivotFmt>
      <c:pivotFmt>
        <c:idx val="904"/>
        <c:spPr>
          <a:solidFill>
            <a:schemeClr val="accent1"/>
          </a:solidFill>
          <a:ln w="19050">
            <a:solidFill>
              <a:schemeClr val="lt1"/>
            </a:solidFill>
          </a:ln>
          <a:effectLst/>
        </c:spPr>
      </c:pivotFmt>
      <c:pivotFmt>
        <c:idx val="905"/>
        <c:spPr>
          <a:solidFill>
            <a:schemeClr val="accent1"/>
          </a:solidFill>
          <a:ln w="19050">
            <a:solidFill>
              <a:schemeClr val="lt1"/>
            </a:solidFill>
          </a:ln>
          <a:effectLst/>
        </c:spPr>
      </c:pivotFmt>
      <c:pivotFmt>
        <c:idx val="906"/>
        <c:spPr>
          <a:solidFill>
            <a:schemeClr val="accent1"/>
          </a:solidFill>
          <a:ln w="19050">
            <a:solidFill>
              <a:schemeClr val="lt1"/>
            </a:solidFill>
          </a:ln>
          <a:effectLst/>
        </c:spPr>
      </c:pivotFmt>
      <c:pivotFmt>
        <c:idx val="907"/>
        <c:spPr>
          <a:solidFill>
            <a:schemeClr val="accent1"/>
          </a:solidFill>
          <a:ln w="19050">
            <a:solidFill>
              <a:schemeClr val="lt1"/>
            </a:solidFill>
          </a:ln>
          <a:effectLst/>
        </c:spPr>
      </c:pivotFmt>
      <c:pivotFmt>
        <c:idx val="908"/>
        <c:spPr>
          <a:solidFill>
            <a:schemeClr val="accent1"/>
          </a:solidFill>
          <a:ln w="19050">
            <a:solidFill>
              <a:schemeClr val="lt1"/>
            </a:solidFill>
          </a:ln>
          <a:effectLst/>
        </c:spPr>
      </c:pivotFmt>
      <c:pivotFmt>
        <c:idx val="909"/>
        <c:spPr>
          <a:solidFill>
            <a:schemeClr val="accent1"/>
          </a:solidFill>
          <a:ln w="19050">
            <a:solidFill>
              <a:schemeClr val="lt1"/>
            </a:solidFill>
          </a:ln>
          <a:effectLst/>
        </c:spPr>
      </c:pivotFmt>
      <c:pivotFmt>
        <c:idx val="910"/>
        <c:spPr>
          <a:solidFill>
            <a:schemeClr val="accent1"/>
          </a:solidFill>
          <a:ln w="19050">
            <a:solidFill>
              <a:schemeClr val="lt1"/>
            </a:solidFill>
          </a:ln>
          <a:effectLst/>
        </c:spPr>
      </c:pivotFmt>
      <c:pivotFmt>
        <c:idx val="911"/>
        <c:spPr>
          <a:solidFill>
            <a:schemeClr val="accent1"/>
          </a:solidFill>
          <a:ln w="19050">
            <a:solidFill>
              <a:schemeClr val="lt1"/>
            </a:solidFill>
          </a:ln>
          <a:effectLst/>
        </c:spPr>
      </c:pivotFmt>
      <c:pivotFmt>
        <c:idx val="912"/>
        <c:spPr>
          <a:solidFill>
            <a:schemeClr val="accent1"/>
          </a:solidFill>
          <a:ln w="19050">
            <a:solidFill>
              <a:schemeClr val="lt1"/>
            </a:solidFill>
          </a:ln>
          <a:effectLst/>
        </c:spPr>
      </c:pivotFmt>
      <c:pivotFmt>
        <c:idx val="913"/>
        <c:spPr>
          <a:solidFill>
            <a:schemeClr val="accent1"/>
          </a:solidFill>
          <a:ln w="19050">
            <a:solidFill>
              <a:schemeClr val="lt1"/>
            </a:solidFill>
          </a:ln>
          <a:effectLst/>
        </c:spPr>
      </c:pivotFmt>
      <c:pivotFmt>
        <c:idx val="914"/>
        <c:spPr>
          <a:solidFill>
            <a:schemeClr val="accent1"/>
          </a:solidFill>
          <a:ln w="19050">
            <a:solidFill>
              <a:schemeClr val="lt1"/>
            </a:solidFill>
          </a:ln>
          <a:effectLst/>
        </c:spPr>
      </c:pivotFmt>
      <c:pivotFmt>
        <c:idx val="915"/>
        <c:spPr>
          <a:solidFill>
            <a:schemeClr val="accent1"/>
          </a:solidFill>
          <a:ln w="19050">
            <a:solidFill>
              <a:schemeClr val="lt1"/>
            </a:solidFill>
          </a:ln>
          <a:effectLst/>
        </c:spPr>
      </c:pivotFmt>
      <c:pivotFmt>
        <c:idx val="916"/>
        <c:spPr>
          <a:solidFill>
            <a:schemeClr val="accent1"/>
          </a:solidFill>
          <a:ln w="19050">
            <a:solidFill>
              <a:schemeClr val="lt1"/>
            </a:solidFill>
          </a:ln>
          <a:effectLst/>
        </c:spPr>
      </c:pivotFmt>
      <c:pivotFmt>
        <c:idx val="917"/>
        <c:spPr>
          <a:solidFill>
            <a:schemeClr val="accent1"/>
          </a:solidFill>
          <a:ln w="19050">
            <a:solidFill>
              <a:schemeClr val="lt1"/>
            </a:solidFill>
          </a:ln>
          <a:effectLst/>
        </c:spPr>
      </c:pivotFmt>
      <c:pivotFmt>
        <c:idx val="918"/>
        <c:spPr>
          <a:solidFill>
            <a:schemeClr val="accent1"/>
          </a:solidFill>
          <a:ln w="19050">
            <a:solidFill>
              <a:schemeClr val="lt1"/>
            </a:solidFill>
          </a:ln>
          <a:effectLst/>
        </c:spPr>
      </c:pivotFmt>
      <c:pivotFmt>
        <c:idx val="919"/>
        <c:spPr>
          <a:solidFill>
            <a:schemeClr val="accent1"/>
          </a:solidFill>
          <a:ln w="19050">
            <a:solidFill>
              <a:schemeClr val="lt1"/>
            </a:solidFill>
          </a:ln>
          <a:effectLst/>
        </c:spPr>
      </c:pivotFmt>
      <c:pivotFmt>
        <c:idx val="920"/>
        <c:spPr>
          <a:solidFill>
            <a:schemeClr val="accent1"/>
          </a:solidFill>
          <a:ln w="19050">
            <a:solidFill>
              <a:schemeClr val="lt1"/>
            </a:solidFill>
          </a:ln>
          <a:effectLst/>
        </c:spPr>
      </c:pivotFmt>
      <c:pivotFmt>
        <c:idx val="921"/>
        <c:spPr>
          <a:solidFill>
            <a:schemeClr val="accent1"/>
          </a:solidFill>
          <a:ln w="19050">
            <a:solidFill>
              <a:schemeClr val="lt1"/>
            </a:solidFill>
          </a:ln>
          <a:effectLst/>
        </c:spPr>
      </c:pivotFmt>
      <c:pivotFmt>
        <c:idx val="922"/>
        <c:spPr>
          <a:solidFill>
            <a:schemeClr val="accent1"/>
          </a:solidFill>
          <a:ln w="19050">
            <a:solidFill>
              <a:schemeClr val="lt1"/>
            </a:solidFill>
          </a:ln>
          <a:effectLst/>
        </c:spPr>
      </c:pivotFmt>
      <c:pivotFmt>
        <c:idx val="923"/>
        <c:spPr>
          <a:solidFill>
            <a:schemeClr val="accent1"/>
          </a:solidFill>
          <a:ln w="19050">
            <a:solidFill>
              <a:schemeClr val="lt1"/>
            </a:solidFill>
          </a:ln>
          <a:effectLst/>
        </c:spPr>
      </c:pivotFmt>
      <c:pivotFmt>
        <c:idx val="924"/>
        <c:spPr>
          <a:solidFill>
            <a:schemeClr val="accent1"/>
          </a:solidFill>
          <a:ln w="19050">
            <a:solidFill>
              <a:schemeClr val="lt1"/>
            </a:solidFill>
          </a:ln>
          <a:effectLst/>
        </c:spPr>
      </c:pivotFmt>
      <c:pivotFmt>
        <c:idx val="925"/>
        <c:spPr>
          <a:solidFill>
            <a:schemeClr val="accent1"/>
          </a:solidFill>
          <a:ln w="19050">
            <a:solidFill>
              <a:schemeClr val="lt1"/>
            </a:solidFill>
          </a:ln>
          <a:effectLst/>
        </c:spPr>
      </c:pivotFmt>
      <c:pivotFmt>
        <c:idx val="926"/>
        <c:spPr>
          <a:solidFill>
            <a:schemeClr val="accent1"/>
          </a:solidFill>
          <a:ln w="19050">
            <a:solidFill>
              <a:schemeClr val="lt1"/>
            </a:solidFill>
          </a:ln>
          <a:effectLst/>
        </c:spPr>
      </c:pivotFmt>
      <c:pivotFmt>
        <c:idx val="927"/>
        <c:spPr>
          <a:solidFill>
            <a:schemeClr val="accent1"/>
          </a:solidFill>
          <a:ln w="19050">
            <a:solidFill>
              <a:schemeClr val="lt1"/>
            </a:solidFill>
          </a:ln>
          <a:effectLst/>
        </c:spPr>
      </c:pivotFmt>
      <c:pivotFmt>
        <c:idx val="928"/>
        <c:spPr>
          <a:solidFill>
            <a:schemeClr val="accent1"/>
          </a:solidFill>
          <a:ln w="19050">
            <a:solidFill>
              <a:schemeClr val="lt1"/>
            </a:solidFill>
          </a:ln>
          <a:effectLst/>
        </c:spPr>
      </c:pivotFmt>
      <c:pivotFmt>
        <c:idx val="929"/>
        <c:spPr>
          <a:solidFill>
            <a:schemeClr val="accent1"/>
          </a:solidFill>
          <a:ln w="19050">
            <a:solidFill>
              <a:schemeClr val="lt1"/>
            </a:solidFill>
          </a:ln>
          <a:effectLst/>
        </c:spPr>
      </c:pivotFmt>
      <c:pivotFmt>
        <c:idx val="930"/>
        <c:spPr>
          <a:solidFill>
            <a:schemeClr val="accent1"/>
          </a:solidFill>
          <a:ln w="19050">
            <a:solidFill>
              <a:schemeClr val="lt1"/>
            </a:solidFill>
          </a:ln>
          <a:effectLst/>
        </c:spPr>
      </c:pivotFmt>
      <c:pivotFmt>
        <c:idx val="931"/>
        <c:spPr>
          <a:solidFill>
            <a:schemeClr val="accent1"/>
          </a:solidFill>
          <a:ln w="19050">
            <a:solidFill>
              <a:schemeClr val="lt1"/>
            </a:solidFill>
          </a:ln>
          <a:effectLst/>
        </c:spPr>
      </c:pivotFmt>
      <c:pivotFmt>
        <c:idx val="932"/>
        <c:spPr>
          <a:solidFill>
            <a:schemeClr val="accent1"/>
          </a:solidFill>
          <a:ln w="19050">
            <a:solidFill>
              <a:schemeClr val="lt1"/>
            </a:solidFill>
          </a:ln>
          <a:effectLst/>
        </c:spPr>
      </c:pivotFmt>
      <c:pivotFmt>
        <c:idx val="933"/>
        <c:spPr>
          <a:solidFill>
            <a:schemeClr val="accent1"/>
          </a:solidFill>
          <a:ln w="19050">
            <a:solidFill>
              <a:schemeClr val="lt1"/>
            </a:solidFill>
          </a:ln>
          <a:effectLst/>
        </c:spPr>
      </c:pivotFmt>
      <c:pivotFmt>
        <c:idx val="934"/>
        <c:spPr>
          <a:solidFill>
            <a:schemeClr val="accent1"/>
          </a:solidFill>
          <a:ln w="19050">
            <a:solidFill>
              <a:schemeClr val="lt1"/>
            </a:solidFill>
          </a:ln>
          <a:effectLst/>
        </c:spPr>
      </c:pivotFmt>
      <c:pivotFmt>
        <c:idx val="935"/>
        <c:spPr>
          <a:solidFill>
            <a:schemeClr val="accent1"/>
          </a:solidFill>
          <a:ln w="19050">
            <a:solidFill>
              <a:schemeClr val="lt1"/>
            </a:solidFill>
          </a:ln>
          <a:effectLst/>
        </c:spPr>
      </c:pivotFmt>
      <c:pivotFmt>
        <c:idx val="936"/>
        <c:spPr>
          <a:solidFill>
            <a:schemeClr val="accent1"/>
          </a:solidFill>
          <a:ln w="19050">
            <a:solidFill>
              <a:schemeClr val="lt1"/>
            </a:solidFill>
          </a:ln>
          <a:effectLst/>
        </c:spPr>
      </c:pivotFmt>
      <c:pivotFmt>
        <c:idx val="937"/>
        <c:spPr>
          <a:solidFill>
            <a:schemeClr val="accent1"/>
          </a:solidFill>
          <a:ln w="19050">
            <a:solidFill>
              <a:schemeClr val="lt1"/>
            </a:solidFill>
          </a:ln>
          <a:effectLst/>
        </c:spPr>
      </c:pivotFmt>
      <c:pivotFmt>
        <c:idx val="938"/>
        <c:spPr>
          <a:solidFill>
            <a:schemeClr val="accent1"/>
          </a:solidFill>
          <a:ln w="19050">
            <a:solidFill>
              <a:schemeClr val="lt1"/>
            </a:solidFill>
          </a:ln>
          <a:effectLst/>
        </c:spPr>
      </c:pivotFmt>
      <c:pivotFmt>
        <c:idx val="939"/>
        <c:spPr>
          <a:solidFill>
            <a:schemeClr val="accent1"/>
          </a:solidFill>
          <a:ln w="19050">
            <a:solidFill>
              <a:schemeClr val="lt1"/>
            </a:solidFill>
          </a:ln>
          <a:effectLst/>
        </c:spPr>
      </c:pivotFmt>
      <c:pivotFmt>
        <c:idx val="940"/>
        <c:spPr>
          <a:solidFill>
            <a:schemeClr val="accent1"/>
          </a:solidFill>
          <a:ln w="19050">
            <a:solidFill>
              <a:schemeClr val="lt1"/>
            </a:solidFill>
          </a:ln>
          <a:effectLst/>
        </c:spPr>
      </c:pivotFmt>
      <c:pivotFmt>
        <c:idx val="941"/>
        <c:spPr>
          <a:solidFill>
            <a:schemeClr val="accent1"/>
          </a:solidFill>
          <a:ln w="19050">
            <a:solidFill>
              <a:schemeClr val="lt1"/>
            </a:solidFill>
          </a:ln>
          <a:effectLst/>
        </c:spPr>
      </c:pivotFmt>
      <c:pivotFmt>
        <c:idx val="942"/>
        <c:spPr>
          <a:solidFill>
            <a:schemeClr val="accent1"/>
          </a:solidFill>
          <a:ln w="19050">
            <a:solidFill>
              <a:schemeClr val="lt1"/>
            </a:solidFill>
          </a:ln>
          <a:effectLst/>
        </c:spPr>
      </c:pivotFmt>
      <c:pivotFmt>
        <c:idx val="943"/>
        <c:spPr>
          <a:solidFill>
            <a:schemeClr val="accent1"/>
          </a:solidFill>
          <a:ln w="19050">
            <a:solidFill>
              <a:schemeClr val="lt1"/>
            </a:solidFill>
          </a:ln>
          <a:effectLst/>
        </c:spPr>
      </c:pivotFmt>
      <c:pivotFmt>
        <c:idx val="944"/>
        <c:spPr>
          <a:solidFill>
            <a:schemeClr val="accent1"/>
          </a:solidFill>
          <a:ln w="19050">
            <a:solidFill>
              <a:schemeClr val="lt1"/>
            </a:solidFill>
          </a:ln>
          <a:effectLst/>
        </c:spPr>
      </c:pivotFmt>
      <c:pivotFmt>
        <c:idx val="945"/>
        <c:spPr>
          <a:solidFill>
            <a:schemeClr val="accent1"/>
          </a:solidFill>
          <a:ln w="19050">
            <a:solidFill>
              <a:schemeClr val="lt1"/>
            </a:solidFill>
          </a:ln>
          <a:effectLst/>
        </c:spPr>
      </c:pivotFmt>
      <c:pivotFmt>
        <c:idx val="946"/>
        <c:spPr>
          <a:solidFill>
            <a:schemeClr val="accent1"/>
          </a:solidFill>
          <a:ln w="19050">
            <a:solidFill>
              <a:schemeClr val="lt1"/>
            </a:solidFill>
          </a:ln>
          <a:effectLst/>
        </c:spPr>
      </c:pivotFmt>
      <c:pivotFmt>
        <c:idx val="947"/>
        <c:spPr>
          <a:solidFill>
            <a:schemeClr val="accent1"/>
          </a:solidFill>
          <a:ln w="19050">
            <a:solidFill>
              <a:schemeClr val="lt1"/>
            </a:solidFill>
          </a:ln>
          <a:effectLst/>
        </c:spPr>
      </c:pivotFmt>
      <c:pivotFmt>
        <c:idx val="948"/>
        <c:spPr>
          <a:solidFill>
            <a:schemeClr val="accent1"/>
          </a:solidFill>
          <a:ln w="19050">
            <a:solidFill>
              <a:schemeClr val="lt1"/>
            </a:solidFill>
          </a:ln>
          <a:effectLst/>
        </c:spPr>
      </c:pivotFmt>
      <c:pivotFmt>
        <c:idx val="949"/>
        <c:spPr>
          <a:solidFill>
            <a:schemeClr val="accent1"/>
          </a:solidFill>
          <a:ln w="19050">
            <a:solidFill>
              <a:schemeClr val="lt1"/>
            </a:solidFill>
          </a:ln>
          <a:effectLst/>
        </c:spPr>
      </c:pivotFmt>
      <c:pivotFmt>
        <c:idx val="950"/>
        <c:spPr>
          <a:solidFill>
            <a:schemeClr val="accent1"/>
          </a:solidFill>
          <a:ln w="19050">
            <a:solidFill>
              <a:schemeClr val="lt1"/>
            </a:solidFill>
          </a:ln>
          <a:effectLst/>
        </c:spPr>
      </c:pivotFmt>
      <c:pivotFmt>
        <c:idx val="951"/>
        <c:spPr>
          <a:solidFill>
            <a:schemeClr val="accent1"/>
          </a:solidFill>
          <a:ln w="19050">
            <a:solidFill>
              <a:schemeClr val="lt1"/>
            </a:solidFill>
          </a:ln>
          <a:effectLst/>
        </c:spPr>
      </c:pivotFmt>
      <c:pivotFmt>
        <c:idx val="952"/>
        <c:spPr>
          <a:solidFill>
            <a:schemeClr val="accent1"/>
          </a:solidFill>
          <a:ln w="19050">
            <a:solidFill>
              <a:schemeClr val="lt1"/>
            </a:solidFill>
          </a:ln>
          <a:effectLst/>
        </c:spPr>
      </c:pivotFmt>
      <c:pivotFmt>
        <c:idx val="953"/>
        <c:spPr>
          <a:solidFill>
            <a:schemeClr val="accent1"/>
          </a:solidFill>
          <a:ln w="19050">
            <a:solidFill>
              <a:schemeClr val="lt1"/>
            </a:solidFill>
          </a:ln>
          <a:effectLst/>
        </c:spPr>
      </c:pivotFmt>
      <c:pivotFmt>
        <c:idx val="954"/>
        <c:spPr>
          <a:solidFill>
            <a:schemeClr val="accent1"/>
          </a:solidFill>
          <a:ln w="19050">
            <a:solidFill>
              <a:schemeClr val="lt1"/>
            </a:solidFill>
          </a:ln>
          <a:effectLst/>
        </c:spPr>
      </c:pivotFmt>
      <c:pivotFmt>
        <c:idx val="955"/>
        <c:spPr>
          <a:solidFill>
            <a:schemeClr val="accent1"/>
          </a:solidFill>
          <a:ln w="19050">
            <a:solidFill>
              <a:schemeClr val="lt1"/>
            </a:solidFill>
          </a:ln>
          <a:effectLst/>
        </c:spPr>
      </c:pivotFmt>
      <c:pivotFmt>
        <c:idx val="956"/>
        <c:spPr>
          <a:solidFill>
            <a:schemeClr val="accent1"/>
          </a:solidFill>
          <a:ln w="19050">
            <a:solidFill>
              <a:schemeClr val="lt1"/>
            </a:solidFill>
          </a:ln>
          <a:effectLst/>
        </c:spPr>
      </c:pivotFmt>
      <c:pivotFmt>
        <c:idx val="957"/>
        <c:spPr>
          <a:solidFill>
            <a:schemeClr val="accent1"/>
          </a:solidFill>
          <a:ln w="19050">
            <a:solidFill>
              <a:schemeClr val="lt1"/>
            </a:solidFill>
          </a:ln>
          <a:effectLst/>
        </c:spPr>
      </c:pivotFmt>
      <c:pivotFmt>
        <c:idx val="958"/>
        <c:spPr>
          <a:solidFill>
            <a:schemeClr val="accent1"/>
          </a:solidFill>
          <a:ln w="19050">
            <a:solidFill>
              <a:schemeClr val="lt1"/>
            </a:solidFill>
          </a:ln>
          <a:effectLst/>
        </c:spPr>
      </c:pivotFmt>
      <c:pivotFmt>
        <c:idx val="959"/>
        <c:spPr>
          <a:solidFill>
            <a:schemeClr val="accent1"/>
          </a:solidFill>
          <a:ln w="19050">
            <a:solidFill>
              <a:schemeClr val="lt1"/>
            </a:solidFill>
          </a:ln>
          <a:effectLst/>
        </c:spPr>
      </c:pivotFmt>
      <c:pivotFmt>
        <c:idx val="960"/>
        <c:spPr>
          <a:solidFill>
            <a:schemeClr val="accent1"/>
          </a:solidFill>
          <a:ln w="19050">
            <a:solidFill>
              <a:schemeClr val="lt1"/>
            </a:solidFill>
          </a:ln>
          <a:effectLst/>
        </c:spPr>
      </c:pivotFmt>
      <c:pivotFmt>
        <c:idx val="961"/>
        <c:spPr>
          <a:solidFill>
            <a:schemeClr val="accent1"/>
          </a:solidFill>
          <a:ln w="19050">
            <a:solidFill>
              <a:schemeClr val="lt1"/>
            </a:solidFill>
          </a:ln>
          <a:effectLst/>
        </c:spPr>
      </c:pivotFmt>
      <c:pivotFmt>
        <c:idx val="962"/>
        <c:spPr>
          <a:solidFill>
            <a:schemeClr val="accent1"/>
          </a:solidFill>
          <a:ln w="19050">
            <a:solidFill>
              <a:schemeClr val="lt1"/>
            </a:solidFill>
          </a:ln>
          <a:effectLst/>
        </c:spPr>
      </c:pivotFmt>
      <c:pivotFmt>
        <c:idx val="963"/>
        <c:spPr>
          <a:solidFill>
            <a:schemeClr val="accent1"/>
          </a:solidFill>
          <a:ln w="19050">
            <a:solidFill>
              <a:schemeClr val="lt1"/>
            </a:solidFill>
          </a:ln>
          <a:effectLst/>
        </c:spPr>
      </c:pivotFmt>
      <c:pivotFmt>
        <c:idx val="964"/>
        <c:spPr>
          <a:solidFill>
            <a:schemeClr val="accent1"/>
          </a:solidFill>
          <a:ln w="19050">
            <a:solidFill>
              <a:schemeClr val="lt1"/>
            </a:solidFill>
          </a:ln>
          <a:effectLst/>
        </c:spPr>
      </c:pivotFmt>
      <c:pivotFmt>
        <c:idx val="965"/>
        <c:spPr>
          <a:solidFill>
            <a:schemeClr val="accent1"/>
          </a:solidFill>
          <a:ln w="19050">
            <a:solidFill>
              <a:schemeClr val="lt1"/>
            </a:solidFill>
          </a:ln>
          <a:effectLst/>
        </c:spPr>
      </c:pivotFmt>
      <c:pivotFmt>
        <c:idx val="966"/>
        <c:spPr>
          <a:solidFill>
            <a:schemeClr val="accent1"/>
          </a:solidFill>
          <a:ln w="19050">
            <a:solidFill>
              <a:schemeClr val="lt1"/>
            </a:solidFill>
          </a:ln>
          <a:effectLst/>
        </c:spPr>
      </c:pivotFmt>
      <c:pivotFmt>
        <c:idx val="967"/>
        <c:spPr>
          <a:solidFill>
            <a:schemeClr val="accent1"/>
          </a:solidFill>
          <a:ln w="19050">
            <a:solidFill>
              <a:schemeClr val="lt1"/>
            </a:solidFill>
          </a:ln>
          <a:effectLst/>
        </c:spPr>
      </c:pivotFmt>
      <c:pivotFmt>
        <c:idx val="968"/>
        <c:spPr>
          <a:solidFill>
            <a:schemeClr val="accent1"/>
          </a:solidFill>
          <a:ln w="19050">
            <a:solidFill>
              <a:schemeClr val="lt1"/>
            </a:solidFill>
          </a:ln>
          <a:effectLst/>
        </c:spPr>
      </c:pivotFmt>
      <c:pivotFmt>
        <c:idx val="969"/>
        <c:spPr>
          <a:solidFill>
            <a:schemeClr val="accent1"/>
          </a:solidFill>
          <a:ln w="19050">
            <a:solidFill>
              <a:schemeClr val="lt1"/>
            </a:solidFill>
          </a:ln>
          <a:effectLst/>
        </c:spPr>
      </c:pivotFmt>
      <c:pivotFmt>
        <c:idx val="970"/>
        <c:spPr>
          <a:solidFill>
            <a:schemeClr val="accent1"/>
          </a:solidFill>
          <a:ln w="19050">
            <a:solidFill>
              <a:schemeClr val="lt1"/>
            </a:solidFill>
          </a:ln>
          <a:effectLst/>
        </c:spPr>
      </c:pivotFmt>
      <c:pivotFmt>
        <c:idx val="971"/>
        <c:spPr>
          <a:solidFill>
            <a:schemeClr val="accent1"/>
          </a:solidFill>
          <a:ln w="19050">
            <a:solidFill>
              <a:schemeClr val="lt1"/>
            </a:solidFill>
          </a:ln>
          <a:effectLst/>
        </c:spPr>
      </c:pivotFmt>
      <c:pivotFmt>
        <c:idx val="972"/>
        <c:spPr>
          <a:solidFill>
            <a:schemeClr val="accent1"/>
          </a:solidFill>
          <a:ln w="19050">
            <a:solidFill>
              <a:schemeClr val="lt1"/>
            </a:solidFill>
          </a:ln>
          <a:effectLst/>
        </c:spPr>
      </c:pivotFmt>
      <c:pivotFmt>
        <c:idx val="973"/>
        <c:spPr>
          <a:solidFill>
            <a:schemeClr val="accent1"/>
          </a:solidFill>
          <a:ln w="19050">
            <a:solidFill>
              <a:schemeClr val="lt1"/>
            </a:solidFill>
          </a:ln>
          <a:effectLst/>
        </c:spPr>
      </c:pivotFmt>
      <c:pivotFmt>
        <c:idx val="974"/>
        <c:spPr>
          <a:solidFill>
            <a:schemeClr val="accent1"/>
          </a:solidFill>
          <a:ln w="19050">
            <a:solidFill>
              <a:schemeClr val="lt1"/>
            </a:solidFill>
          </a:ln>
          <a:effectLst/>
        </c:spPr>
      </c:pivotFmt>
      <c:pivotFmt>
        <c:idx val="975"/>
        <c:spPr>
          <a:solidFill>
            <a:schemeClr val="accent1"/>
          </a:solidFill>
          <a:ln w="19050">
            <a:solidFill>
              <a:schemeClr val="lt1"/>
            </a:solidFill>
          </a:ln>
          <a:effectLst/>
        </c:spPr>
      </c:pivotFmt>
      <c:pivotFmt>
        <c:idx val="976"/>
        <c:spPr>
          <a:solidFill>
            <a:schemeClr val="accent1"/>
          </a:solidFill>
          <a:ln w="19050">
            <a:solidFill>
              <a:schemeClr val="lt1"/>
            </a:solidFill>
          </a:ln>
          <a:effectLst/>
        </c:spPr>
      </c:pivotFmt>
      <c:pivotFmt>
        <c:idx val="977"/>
        <c:spPr>
          <a:solidFill>
            <a:schemeClr val="accent1"/>
          </a:solidFill>
          <a:ln w="19050">
            <a:solidFill>
              <a:schemeClr val="lt1"/>
            </a:solidFill>
          </a:ln>
          <a:effectLst/>
        </c:spPr>
      </c:pivotFmt>
      <c:pivotFmt>
        <c:idx val="978"/>
        <c:spPr>
          <a:solidFill>
            <a:schemeClr val="accent1"/>
          </a:solidFill>
          <a:ln w="19050">
            <a:solidFill>
              <a:schemeClr val="lt1"/>
            </a:solidFill>
          </a:ln>
          <a:effectLst/>
        </c:spPr>
      </c:pivotFmt>
      <c:pivotFmt>
        <c:idx val="979"/>
        <c:spPr>
          <a:solidFill>
            <a:schemeClr val="accent1"/>
          </a:solidFill>
          <a:ln w="19050">
            <a:solidFill>
              <a:schemeClr val="lt1"/>
            </a:solidFill>
          </a:ln>
          <a:effectLst/>
        </c:spPr>
      </c:pivotFmt>
      <c:pivotFmt>
        <c:idx val="980"/>
        <c:spPr>
          <a:solidFill>
            <a:schemeClr val="accent1"/>
          </a:solidFill>
          <a:ln w="19050">
            <a:solidFill>
              <a:schemeClr val="lt1"/>
            </a:solidFill>
          </a:ln>
          <a:effectLst/>
        </c:spPr>
      </c:pivotFmt>
      <c:pivotFmt>
        <c:idx val="981"/>
        <c:spPr>
          <a:solidFill>
            <a:schemeClr val="accent1"/>
          </a:solidFill>
          <a:ln w="19050">
            <a:solidFill>
              <a:schemeClr val="lt1"/>
            </a:solidFill>
          </a:ln>
          <a:effectLst/>
        </c:spPr>
      </c:pivotFmt>
      <c:pivotFmt>
        <c:idx val="982"/>
        <c:spPr>
          <a:solidFill>
            <a:schemeClr val="accent1"/>
          </a:solidFill>
          <a:ln w="19050">
            <a:solidFill>
              <a:schemeClr val="lt1"/>
            </a:solidFill>
          </a:ln>
          <a:effectLst/>
        </c:spPr>
      </c:pivotFmt>
      <c:pivotFmt>
        <c:idx val="983"/>
        <c:spPr>
          <a:solidFill>
            <a:schemeClr val="accent1"/>
          </a:solidFill>
          <a:ln w="19050">
            <a:solidFill>
              <a:schemeClr val="lt1"/>
            </a:solidFill>
          </a:ln>
          <a:effectLst/>
        </c:spPr>
      </c:pivotFmt>
      <c:pivotFmt>
        <c:idx val="984"/>
        <c:spPr>
          <a:solidFill>
            <a:schemeClr val="accent1"/>
          </a:solidFill>
          <a:ln w="19050">
            <a:solidFill>
              <a:schemeClr val="lt1"/>
            </a:solidFill>
          </a:ln>
          <a:effectLst/>
        </c:spPr>
      </c:pivotFmt>
      <c:pivotFmt>
        <c:idx val="985"/>
        <c:spPr>
          <a:solidFill>
            <a:schemeClr val="accent1"/>
          </a:solidFill>
          <a:ln w="19050">
            <a:solidFill>
              <a:schemeClr val="lt1"/>
            </a:solidFill>
          </a:ln>
          <a:effectLst/>
        </c:spPr>
      </c:pivotFmt>
      <c:pivotFmt>
        <c:idx val="986"/>
        <c:spPr>
          <a:solidFill>
            <a:schemeClr val="accent1"/>
          </a:solidFill>
          <a:ln w="19050">
            <a:solidFill>
              <a:schemeClr val="lt1"/>
            </a:solidFill>
          </a:ln>
          <a:effectLst/>
        </c:spPr>
      </c:pivotFmt>
      <c:pivotFmt>
        <c:idx val="987"/>
        <c:spPr>
          <a:solidFill>
            <a:schemeClr val="accent1"/>
          </a:solidFill>
          <a:ln w="19050">
            <a:solidFill>
              <a:schemeClr val="lt1"/>
            </a:solidFill>
          </a:ln>
          <a:effectLst/>
        </c:spPr>
      </c:pivotFmt>
      <c:pivotFmt>
        <c:idx val="988"/>
        <c:spPr>
          <a:solidFill>
            <a:schemeClr val="accent1"/>
          </a:solidFill>
          <a:ln w="19050">
            <a:solidFill>
              <a:schemeClr val="lt1"/>
            </a:solidFill>
          </a:ln>
          <a:effectLst/>
        </c:spPr>
      </c:pivotFmt>
      <c:pivotFmt>
        <c:idx val="989"/>
        <c:spPr>
          <a:solidFill>
            <a:schemeClr val="accent1"/>
          </a:solidFill>
          <a:ln w="19050">
            <a:solidFill>
              <a:schemeClr val="lt1"/>
            </a:solidFill>
          </a:ln>
          <a:effectLst/>
        </c:spPr>
      </c:pivotFmt>
      <c:pivotFmt>
        <c:idx val="990"/>
        <c:spPr>
          <a:solidFill>
            <a:schemeClr val="accent1"/>
          </a:solidFill>
          <a:ln w="19050">
            <a:solidFill>
              <a:schemeClr val="lt1"/>
            </a:solidFill>
          </a:ln>
          <a:effectLst/>
        </c:spPr>
      </c:pivotFmt>
      <c:pivotFmt>
        <c:idx val="991"/>
        <c:spPr>
          <a:solidFill>
            <a:schemeClr val="accent1"/>
          </a:solidFill>
          <a:ln w="19050">
            <a:solidFill>
              <a:schemeClr val="lt1"/>
            </a:solidFill>
          </a:ln>
          <a:effectLst/>
        </c:spPr>
      </c:pivotFmt>
      <c:pivotFmt>
        <c:idx val="992"/>
        <c:spPr>
          <a:solidFill>
            <a:schemeClr val="accent1"/>
          </a:solidFill>
          <a:ln w="19050">
            <a:solidFill>
              <a:schemeClr val="lt1"/>
            </a:solidFill>
          </a:ln>
          <a:effectLst/>
        </c:spPr>
      </c:pivotFmt>
      <c:pivotFmt>
        <c:idx val="993"/>
        <c:spPr>
          <a:solidFill>
            <a:schemeClr val="accent1"/>
          </a:solidFill>
          <a:ln w="19050">
            <a:solidFill>
              <a:schemeClr val="lt1"/>
            </a:solidFill>
          </a:ln>
          <a:effectLst/>
        </c:spPr>
      </c:pivotFmt>
      <c:pivotFmt>
        <c:idx val="994"/>
        <c:spPr>
          <a:solidFill>
            <a:schemeClr val="accent1"/>
          </a:solidFill>
          <a:ln w="19050">
            <a:solidFill>
              <a:schemeClr val="lt1"/>
            </a:solidFill>
          </a:ln>
          <a:effectLst/>
        </c:spPr>
      </c:pivotFmt>
      <c:pivotFmt>
        <c:idx val="995"/>
        <c:spPr>
          <a:solidFill>
            <a:schemeClr val="accent1"/>
          </a:solidFill>
          <a:ln w="19050">
            <a:solidFill>
              <a:schemeClr val="lt1"/>
            </a:solidFill>
          </a:ln>
          <a:effectLst/>
        </c:spPr>
      </c:pivotFmt>
      <c:pivotFmt>
        <c:idx val="996"/>
        <c:spPr>
          <a:solidFill>
            <a:schemeClr val="accent1"/>
          </a:solidFill>
          <a:ln w="19050">
            <a:solidFill>
              <a:schemeClr val="lt1"/>
            </a:solidFill>
          </a:ln>
          <a:effectLst/>
        </c:spPr>
      </c:pivotFmt>
      <c:pivotFmt>
        <c:idx val="997"/>
        <c:spPr>
          <a:solidFill>
            <a:schemeClr val="accent1"/>
          </a:solidFill>
          <a:ln w="19050">
            <a:solidFill>
              <a:schemeClr val="lt1"/>
            </a:solidFill>
          </a:ln>
          <a:effectLst/>
        </c:spPr>
      </c:pivotFmt>
      <c:pivotFmt>
        <c:idx val="998"/>
        <c:spPr>
          <a:solidFill>
            <a:schemeClr val="accent1"/>
          </a:solidFill>
          <a:ln w="19050">
            <a:solidFill>
              <a:schemeClr val="lt1"/>
            </a:solidFill>
          </a:ln>
          <a:effectLst/>
        </c:spPr>
      </c:pivotFmt>
      <c:pivotFmt>
        <c:idx val="999"/>
        <c:spPr>
          <a:solidFill>
            <a:schemeClr val="accent1"/>
          </a:solidFill>
          <a:ln w="19050">
            <a:solidFill>
              <a:schemeClr val="lt1"/>
            </a:solidFill>
          </a:ln>
          <a:effectLst/>
        </c:spPr>
      </c:pivotFmt>
      <c:pivotFmt>
        <c:idx val="1000"/>
        <c:spPr>
          <a:solidFill>
            <a:schemeClr val="accent1"/>
          </a:solidFill>
          <a:ln w="19050">
            <a:solidFill>
              <a:schemeClr val="lt1"/>
            </a:solidFill>
          </a:ln>
          <a:effectLst/>
        </c:spPr>
      </c:pivotFmt>
      <c:pivotFmt>
        <c:idx val="1001"/>
        <c:spPr>
          <a:solidFill>
            <a:schemeClr val="accent1"/>
          </a:solidFill>
          <a:ln w="19050">
            <a:solidFill>
              <a:schemeClr val="lt1"/>
            </a:solidFill>
          </a:ln>
          <a:effectLst/>
        </c:spPr>
      </c:pivotFmt>
      <c:pivotFmt>
        <c:idx val="1002"/>
        <c:spPr>
          <a:solidFill>
            <a:schemeClr val="accent1"/>
          </a:solidFill>
          <a:ln w="19050">
            <a:solidFill>
              <a:schemeClr val="lt1"/>
            </a:solidFill>
          </a:ln>
          <a:effectLst/>
        </c:spPr>
      </c:pivotFmt>
      <c:pivotFmt>
        <c:idx val="1003"/>
        <c:spPr>
          <a:solidFill>
            <a:schemeClr val="accent1"/>
          </a:solidFill>
          <a:ln w="19050">
            <a:solidFill>
              <a:schemeClr val="lt1"/>
            </a:solidFill>
          </a:ln>
          <a:effectLst/>
        </c:spPr>
      </c:pivotFmt>
      <c:pivotFmt>
        <c:idx val="1004"/>
        <c:spPr>
          <a:solidFill>
            <a:schemeClr val="accent1"/>
          </a:solidFill>
          <a:ln w="19050">
            <a:solidFill>
              <a:schemeClr val="lt1"/>
            </a:solidFill>
          </a:ln>
          <a:effectLst/>
        </c:spPr>
      </c:pivotFmt>
      <c:pivotFmt>
        <c:idx val="1005"/>
        <c:spPr>
          <a:solidFill>
            <a:schemeClr val="accent1"/>
          </a:solidFill>
          <a:ln w="19050">
            <a:solidFill>
              <a:schemeClr val="lt1"/>
            </a:solidFill>
          </a:ln>
          <a:effectLst/>
        </c:spPr>
      </c:pivotFmt>
      <c:pivotFmt>
        <c:idx val="1006"/>
        <c:spPr>
          <a:solidFill>
            <a:schemeClr val="accent1"/>
          </a:solidFill>
          <a:ln w="19050">
            <a:solidFill>
              <a:schemeClr val="lt1"/>
            </a:solidFill>
          </a:ln>
          <a:effectLst/>
        </c:spPr>
      </c:pivotFmt>
      <c:pivotFmt>
        <c:idx val="1007"/>
        <c:spPr>
          <a:solidFill>
            <a:schemeClr val="accent1"/>
          </a:solidFill>
          <a:ln w="19050">
            <a:solidFill>
              <a:schemeClr val="lt1"/>
            </a:solidFill>
          </a:ln>
          <a:effectLst/>
        </c:spPr>
      </c:pivotFmt>
      <c:pivotFmt>
        <c:idx val="1008"/>
        <c:spPr>
          <a:solidFill>
            <a:schemeClr val="accent1"/>
          </a:solidFill>
          <a:ln w="19050">
            <a:solidFill>
              <a:schemeClr val="lt1"/>
            </a:solidFill>
          </a:ln>
          <a:effectLst/>
        </c:spPr>
      </c:pivotFmt>
      <c:pivotFmt>
        <c:idx val="1009"/>
        <c:spPr>
          <a:solidFill>
            <a:schemeClr val="accent1"/>
          </a:solidFill>
          <a:ln w="19050">
            <a:solidFill>
              <a:schemeClr val="lt1"/>
            </a:solidFill>
          </a:ln>
          <a:effectLst/>
        </c:spPr>
      </c:pivotFmt>
      <c:pivotFmt>
        <c:idx val="1010"/>
        <c:spPr>
          <a:solidFill>
            <a:schemeClr val="accent1"/>
          </a:solidFill>
          <a:ln w="19050">
            <a:solidFill>
              <a:schemeClr val="lt1"/>
            </a:solidFill>
          </a:ln>
          <a:effectLst/>
        </c:spPr>
      </c:pivotFmt>
      <c:pivotFmt>
        <c:idx val="1011"/>
        <c:spPr>
          <a:solidFill>
            <a:schemeClr val="accent1"/>
          </a:solidFill>
          <a:ln w="19050">
            <a:solidFill>
              <a:schemeClr val="lt1"/>
            </a:solidFill>
          </a:ln>
          <a:effectLst/>
        </c:spPr>
      </c:pivotFmt>
      <c:pivotFmt>
        <c:idx val="1012"/>
        <c:spPr>
          <a:solidFill>
            <a:schemeClr val="accent1"/>
          </a:solidFill>
          <a:ln w="19050">
            <a:solidFill>
              <a:schemeClr val="lt1"/>
            </a:solidFill>
          </a:ln>
          <a:effectLst/>
        </c:spPr>
      </c:pivotFmt>
      <c:pivotFmt>
        <c:idx val="1013"/>
        <c:spPr>
          <a:solidFill>
            <a:schemeClr val="accent1"/>
          </a:solidFill>
          <a:ln w="19050">
            <a:solidFill>
              <a:schemeClr val="lt1"/>
            </a:solidFill>
          </a:ln>
          <a:effectLst/>
        </c:spPr>
      </c:pivotFmt>
      <c:pivotFmt>
        <c:idx val="1014"/>
        <c:spPr>
          <a:solidFill>
            <a:schemeClr val="accent1"/>
          </a:solidFill>
          <a:ln w="19050">
            <a:solidFill>
              <a:schemeClr val="lt1"/>
            </a:solidFill>
          </a:ln>
          <a:effectLst/>
        </c:spPr>
      </c:pivotFmt>
      <c:pivotFmt>
        <c:idx val="1015"/>
        <c:spPr>
          <a:solidFill>
            <a:schemeClr val="accent1"/>
          </a:solidFill>
          <a:ln w="19050">
            <a:solidFill>
              <a:schemeClr val="lt1"/>
            </a:solidFill>
          </a:ln>
          <a:effectLst/>
        </c:spPr>
      </c:pivotFmt>
      <c:pivotFmt>
        <c:idx val="1016"/>
        <c:spPr>
          <a:solidFill>
            <a:schemeClr val="accent1"/>
          </a:solidFill>
          <a:ln w="19050">
            <a:solidFill>
              <a:schemeClr val="lt1"/>
            </a:solidFill>
          </a:ln>
          <a:effectLst/>
        </c:spPr>
      </c:pivotFmt>
      <c:pivotFmt>
        <c:idx val="1017"/>
        <c:spPr>
          <a:solidFill>
            <a:schemeClr val="accent1"/>
          </a:solidFill>
          <a:ln w="19050">
            <a:solidFill>
              <a:schemeClr val="lt1"/>
            </a:solidFill>
          </a:ln>
          <a:effectLst/>
        </c:spPr>
      </c:pivotFmt>
      <c:pivotFmt>
        <c:idx val="1018"/>
        <c:spPr>
          <a:solidFill>
            <a:schemeClr val="accent1"/>
          </a:solidFill>
          <a:ln w="19050">
            <a:solidFill>
              <a:schemeClr val="lt1"/>
            </a:solidFill>
          </a:ln>
          <a:effectLst/>
        </c:spPr>
      </c:pivotFmt>
      <c:pivotFmt>
        <c:idx val="1019"/>
        <c:spPr>
          <a:solidFill>
            <a:schemeClr val="accent1"/>
          </a:solidFill>
          <a:ln w="19050">
            <a:solidFill>
              <a:schemeClr val="lt1"/>
            </a:solidFill>
          </a:ln>
          <a:effectLst/>
        </c:spPr>
      </c:pivotFmt>
      <c:pivotFmt>
        <c:idx val="1020"/>
        <c:spPr>
          <a:solidFill>
            <a:schemeClr val="accent1"/>
          </a:solidFill>
          <a:ln w="19050">
            <a:solidFill>
              <a:schemeClr val="lt1"/>
            </a:solidFill>
          </a:ln>
          <a:effectLst/>
        </c:spPr>
      </c:pivotFmt>
      <c:pivotFmt>
        <c:idx val="1021"/>
        <c:spPr>
          <a:solidFill>
            <a:schemeClr val="accent1"/>
          </a:solidFill>
          <a:ln w="19050">
            <a:solidFill>
              <a:schemeClr val="lt1"/>
            </a:solidFill>
          </a:ln>
          <a:effectLst/>
        </c:spPr>
      </c:pivotFmt>
      <c:pivotFmt>
        <c:idx val="1022"/>
        <c:spPr>
          <a:solidFill>
            <a:schemeClr val="accent1"/>
          </a:solidFill>
          <a:ln w="19050">
            <a:solidFill>
              <a:schemeClr val="lt1"/>
            </a:solidFill>
          </a:ln>
          <a:effectLst/>
        </c:spPr>
      </c:pivotFmt>
      <c:pivotFmt>
        <c:idx val="1023"/>
        <c:spPr>
          <a:solidFill>
            <a:schemeClr val="accent1"/>
          </a:solidFill>
          <a:ln w="19050">
            <a:solidFill>
              <a:schemeClr val="lt1"/>
            </a:solidFill>
          </a:ln>
          <a:effectLst/>
        </c:spPr>
      </c:pivotFmt>
      <c:pivotFmt>
        <c:idx val="1024"/>
        <c:spPr>
          <a:solidFill>
            <a:schemeClr val="accent1"/>
          </a:solidFill>
          <a:ln w="19050">
            <a:solidFill>
              <a:schemeClr val="lt1"/>
            </a:solidFill>
          </a:ln>
          <a:effectLst/>
        </c:spPr>
      </c:pivotFmt>
      <c:pivotFmt>
        <c:idx val="1025"/>
        <c:spPr>
          <a:solidFill>
            <a:schemeClr val="accent1"/>
          </a:solidFill>
          <a:ln w="19050">
            <a:solidFill>
              <a:schemeClr val="lt1"/>
            </a:solidFill>
          </a:ln>
          <a:effectLst/>
        </c:spPr>
      </c:pivotFmt>
      <c:pivotFmt>
        <c:idx val="1026"/>
        <c:spPr>
          <a:solidFill>
            <a:schemeClr val="accent1"/>
          </a:solidFill>
          <a:ln w="19050">
            <a:solidFill>
              <a:schemeClr val="lt1"/>
            </a:solidFill>
          </a:ln>
          <a:effectLst/>
        </c:spPr>
      </c:pivotFmt>
      <c:pivotFmt>
        <c:idx val="1027"/>
        <c:spPr>
          <a:solidFill>
            <a:schemeClr val="accent1"/>
          </a:solidFill>
          <a:ln w="19050">
            <a:solidFill>
              <a:schemeClr val="lt1"/>
            </a:solidFill>
          </a:ln>
          <a:effectLst/>
        </c:spPr>
      </c:pivotFmt>
      <c:pivotFmt>
        <c:idx val="1028"/>
        <c:spPr>
          <a:solidFill>
            <a:schemeClr val="accent1"/>
          </a:solidFill>
          <a:ln w="19050">
            <a:solidFill>
              <a:schemeClr val="lt1"/>
            </a:solidFill>
          </a:ln>
          <a:effectLst/>
        </c:spPr>
      </c:pivotFmt>
      <c:pivotFmt>
        <c:idx val="1029"/>
        <c:spPr>
          <a:solidFill>
            <a:schemeClr val="accent1"/>
          </a:solidFill>
          <a:ln w="19050">
            <a:solidFill>
              <a:schemeClr val="lt1"/>
            </a:solidFill>
          </a:ln>
          <a:effectLst/>
        </c:spPr>
      </c:pivotFmt>
      <c:pivotFmt>
        <c:idx val="1030"/>
        <c:spPr>
          <a:solidFill>
            <a:schemeClr val="accent1"/>
          </a:solidFill>
          <a:ln w="19050">
            <a:solidFill>
              <a:schemeClr val="lt1"/>
            </a:solidFill>
          </a:ln>
          <a:effectLst/>
        </c:spPr>
      </c:pivotFmt>
      <c:pivotFmt>
        <c:idx val="1031"/>
        <c:spPr>
          <a:solidFill>
            <a:schemeClr val="accent1"/>
          </a:solidFill>
          <a:ln w="19050">
            <a:solidFill>
              <a:schemeClr val="lt1"/>
            </a:solidFill>
          </a:ln>
          <a:effectLst/>
        </c:spPr>
      </c:pivotFmt>
      <c:pivotFmt>
        <c:idx val="1032"/>
        <c:spPr>
          <a:solidFill>
            <a:schemeClr val="accent1"/>
          </a:solidFill>
          <a:ln w="19050">
            <a:solidFill>
              <a:schemeClr val="lt1"/>
            </a:solidFill>
          </a:ln>
          <a:effectLst/>
        </c:spPr>
      </c:pivotFmt>
      <c:pivotFmt>
        <c:idx val="1033"/>
        <c:spPr>
          <a:solidFill>
            <a:schemeClr val="accent1"/>
          </a:solidFill>
          <a:ln w="19050">
            <a:solidFill>
              <a:schemeClr val="lt1"/>
            </a:solidFill>
          </a:ln>
          <a:effectLst/>
        </c:spPr>
      </c:pivotFmt>
      <c:pivotFmt>
        <c:idx val="1034"/>
        <c:spPr>
          <a:solidFill>
            <a:schemeClr val="accent1"/>
          </a:solidFill>
          <a:ln w="19050">
            <a:solidFill>
              <a:schemeClr val="lt1"/>
            </a:solidFill>
          </a:ln>
          <a:effectLst/>
        </c:spPr>
      </c:pivotFmt>
      <c:pivotFmt>
        <c:idx val="1035"/>
        <c:spPr>
          <a:solidFill>
            <a:schemeClr val="accent1"/>
          </a:solidFill>
          <a:ln w="19050">
            <a:solidFill>
              <a:schemeClr val="lt1"/>
            </a:solidFill>
          </a:ln>
          <a:effectLst/>
        </c:spPr>
      </c:pivotFmt>
      <c:pivotFmt>
        <c:idx val="1036"/>
        <c:spPr>
          <a:solidFill>
            <a:schemeClr val="accent1"/>
          </a:solidFill>
          <a:ln w="19050">
            <a:solidFill>
              <a:schemeClr val="lt1"/>
            </a:solidFill>
          </a:ln>
          <a:effectLst/>
        </c:spPr>
      </c:pivotFmt>
      <c:pivotFmt>
        <c:idx val="1037"/>
        <c:spPr>
          <a:solidFill>
            <a:schemeClr val="accent1"/>
          </a:solidFill>
          <a:ln w="19050">
            <a:solidFill>
              <a:schemeClr val="lt1"/>
            </a:solidFill>
          </a:ln>
          <a:effectLst/>
        </c:spPr>
      </c:pivotFmt>
      <c:pivotFmt>
        <c:idx val="1038"/>
        <c:spPr>
          <a:solidFill>
            <a:schemeClr val="accent1"/>
          </a:solidFill>
          <a:ln w="19050">
            <a:solidFill>
              <a:schemeClr val="lt1"/>
            </a:solidFill>
          </a:ln>
          <a:effectLst/>
        </c:spPr>
      </c:pivotFmt>
      <c:pivotFmt>
        <c:idx val="1039"/>
        <c:spPr>
          <a:solidFill>
            <a:schemeClr val="accent1"/>
          </a:solidFill>
          <a:ln w="19050">
            <a:solidFill>
              <a:schemeClr val="lt1"/>
            </a:solidFill>
          </a:ln>
          <a:effectLst/>
        </c:spPr>
      </c:pivotFmt>
      <c:pivotFmt>
        <c:idx val="1040"/>
        <c:spPr>
          <a:solidFill>
            <a:schemeClr val="accent1"/>
          </a:solidFill>
          <a:ln w="19050">
            <a:solidFill>
              <a:schemeClr val="lt1"/>
            </a:solidFill>
          </a:ln>
          <a:effectLst/>
        </c:spPr>
      </c:pivotFmt>
      <c:pivotFmt>
        <c:idx val="1041"/>
        <c:spPr>
          <a:solidFill>
            <a:schemeClr val="accent1"/>
          </a:solidFill>
          <a:ln w="19050">
            <a:solidFill>
              <a:schemeClr val="lt1"/>
            </a:solidFill>
          </a:ln>
          <a:effectLst/>
        </c:spPr>
      </c:pivotFmt>
      <c:pivotFmt>
        <c:idx val="1042"/>
        <c:spPr>
          <a:solidFill>
            <a:schemeClr val="accent1"/>
          </a:solidFill>
          <a:ln w="19050">
            <a:solidFill>
              <a:schemeClr val="lt1"/>
            </a:solidFill>
          </a:ln>
          <a:effectLst/>
        </c:spPr>
      </c:pivotFmt>
      <c:pivotFmt>
        <c:idx val="1043"/>
        <c:spPr>
          <a:solidFill>
            <a:schemeClr val="accent1"/>
          </a:solidFill>
          <a:ln w="19050">
            <a:solidFill>
              <a:schemeClr val="lt1"/>
            </a:solidFill>
          </a:ln>
          <a:effectLst/>
        </c:spPr>
      </c:pivotFmt>
      <c:pivotFmt>
        <c:idx val="1044"/>
        <c:spPr>
          <a:solidFill>
            <a:schemeClr val="accent1"/>
          </a:solidFill>
          <a:ln w="19050">
            <a:solidFill>
              <a:schemeClr val="lt1"/>
            </a:solidFill>
          </a:ln>
          <a:effectLst/>
        </c:spPr>
      </c:pivotFmt>
      <c:pivotFmt>
        <c:idx val="1045"/>
        <c:spPr>
          <a:solidFill>
            <a:schemeClr val="accent1"/>
          </a:solidFill>
          <a:ln w="19050">
            <a:solidFill>
              <a:schemeClr val="lt1"/>
            </a:solidFill>
          </a:ln>
          <a:effectLst/>
        </c:spPr>
      </c:pivotFmt>
      <c:pivotFmt>
        <c:idx val="1046"/>
        <c:spPr>
          <a:solidFill>
            <a:schemeClr val="accent1"/>
          </a:solidFill>
          <a:ln w="19050">
            <a:solidFill>
              <a:schemeClr val="lt1"/>
            </a:solidFill>
          </a:ln>
          <a:effectLst/>
        </c:spPr>
      </c:pivotFmt>
      <c:pivotFmt>
        <c:idx val="1047"/>
        <c:spPr>
          <a:solidFill>
            <a:schemeClr val="accent1"/>
          </a:solidFill>
          <a:ln w="19050">
            <a:solidFill>
              <a:schemeClr val="lt1"/>
            </a:solidFill>
          </a:ln>
          <a:effectLst/>
        </c:spPr>
      </c:pivotFmt>
      <c:pivotFmt>
        <c:idx val="1048"/>
        <c:spPr>
          <a:solidFill>
            <a:schemeClr val="accent1"/>
          </a:solidFill>
          <a:ln w="19050">
            <a:solidFill>
              <a:schemeClr val="lt1"/>
            </a:solidFill>
          </a:ln>
          <a:effectLst/>
        </c:spPr>
      </c:pivotFmt>
      <c:pivotFmt>
        <c:idx val="1049"/>
        <c:spPr>
          <a:solidFill>
            <a:schemeClr val="accent1"/>
          </a:solidFill>
          <a:ln w="19050">
            <a:solidFill>
              <a:schemeClr val="lt1"/>
            </a:solidFill>
          </a:ln>
          <a:effectLst/>
        </c:spPr>
      </c:pivotFmt>
      <c:pivotFmt>
        <c:idx val="1050"/>
        <c:spPr>
          <a:solidFill>
            <a:schemeClr val="accent1"/>
          </a:solidFill>
          <a:ln w="19050">
            <a:solidFill>
              <a:schemeClr val="lt1"/>
            </a:solidFill>
          </a:ln>
          <a:effectLst/>
        </c:spPr>
      </c:pivotFmt>
      <c:pivotFmt>
        <c:idx val="1051"/>
        <c:spPr>
          <a:solidFill>
            <a:schemeClr val="accent1"/>
          </a:solidFill>
          <a:ln w="19050">
            <a:solidFill>
              <a:schemeClr val="lt1"/>
            </a:solidFill>
          </a:ln>
          <a:effectLst/>
        </c:spPr>
      </c:pivotFmt>
      <c:pivotFmt>
        <c:idx val="1052"/>
        <c:spPr>
          <a:solidFill>
            <a:schemeClr val="accent1"/>
          </a:solidFill>
          <a:ln w="19050">
            <a:solidFill>
              <a:schemeClr val="lt1"/>
            </a:solidFill>
          </a:ln>
          <a:effectLst/>
        </c:spPr>
      </c:pivotFmt>
      <c:pivotFmt>
        <c:idx val="1053"/>
        <c:spPr>
          <a:solidFill>
            <a:schemeClr val="accent1"/>
          </a:solidFill>
          <a:ln w="19050">
            <a:solidFill>
              <a:schemeClr val="lt1"/>
            </a:solidFill>
          </a:ln>
          <a:effectLst/>
        </c:spPr>
      </c:pivotFmt>
      <c:pivotFmt>
        <c:idx val="1054"/>
        <c:spPr>
          <a:solidFill>
            <a:schemeClr val="accent1"/>
          </a:solidFill>
          <a:ln w="19050">
            <a:solidFill>
              <a:schemeClr val="lt1"/>
            </a:solidFill>
          </a:ln>
          <a:effectLst/>
        </c:spPr>
      </c:pivotFmt>
      <c:pivotFmt>
        <c:idx val="1055"/>
        <c:spPr>
          <a:solidFill>
            <a:schemeClr val="accent1"/>
          </a:solidFill>
          <a:ln w="19050">
            <a:solidFill>
              <a:schemeClr val="lt1"/>
            </a:solidFill>
          </a:ln>
          <a:effectLst/>
        </c:spPr>
      </c:pivotFmt>
      <c:pivotFmt>
        <c:idx val="1056"/>
        <c:spPr>
          <a:solidFill>
            <a:schemeClr val="accent1"/>
          </a:solidFill>
          <a:ln w="19050">
            <a:solidFill>
              <a:schemeClr val="lt1"/>
            </a:solidFill>
          </a:ln>
          <a:effectLst/>
        </c:spPr>
      </c:pivotFmt>
      <c:pivotFmt>
        <c:idx val="1057"/>
        <c:spPr>
          <a:solidFill>
            <a:schemeClr val="accent1"/>
          </a:solidFill>
          <a:ln w="19050">
            <a:solidFill>
              <a:schemeClr val="lt1"/>
            </a:solidFill>
          </a:ln>
          <a:effectLst/>
        </c:spPr>
      </c:pivotFmt>
    </c:pivotFmts>
    <c:plotArea>
      <c:layout/>
      <c:doughnutChart>
        <c:varyColors val="1"/>
        <c:ser>
          <c:idx val="0"/>
          <c:order val="0"/>
          <c:tx>
            <c:strRef>
              <c:f>'Analysis and visual 4'!$B$1</c:f>
              <c:strCache>
                <c:ptCount val="1"/>
                <c:pt idx="0">
                  <c:v>Sum of Internet hosts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DF-49D7-9716-6AA9AF5DF0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DF-49D7-9716-6AA9AF5DF06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DF-49D7-9716-6AA9AF5DF06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6DF-49D7-9716-6AA9AF5DF06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6DF-49D7-9716-6AA9AF5DF06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6DF-49D7-9716-6AA9AF5DF06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6DF-49D7-9716-6AA9AF5DF06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6DF-49D7-9716-6AA9AF5DF06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6DF-49D7-9716-6AA9AF5DF06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6DF-49D7-9716-6AA9AF5DF06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6DF-49D7-9716-6AA9AF5DF06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6DF-49D7-9716-6AA9AF5DF06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6DF-49D7-9716-6AA9AF5DF06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6DF-49D7-9716-6AA9AF5DF06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6DF-49D7-9716-6AA9AF5DF06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6DF-49D7-9716-6AA9AF5DF068}"/>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6DF-49D7-9716-6AA9AF5DF068}"/>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6DF-49D7-9716-6AA9AF5DF068}"/>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6DF-49D7-9716-6AA9AF5DF068}"/>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C6DF-49D7-9716-6AA9AF5DF068}"/>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C6DF-49D7-9716-6AA9AF5DF068}"/>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C6DF-49D7-9716-6AA9AF5DF068}"/>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C6DF-49D7-9716-6AA9AF5DF068}"/>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C6DF-49D7-9716-6AA9AF5DF068}"/>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C6DF-49D7-9716-6AA9AF5DF068}"/>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C6DF-49D7-9716-6AA9AF5DF068}"/>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C6DF-49D7-9716-6AA9AF5DF068}"/>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C6DF-49D7-9716-6AA9AF5DF068}"/>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C6DF-49D7-9716-6AA9AF5DF068}"/>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C6DF-49D7-9716-6AA9AF5DF068}"/>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C6DF-49D7-9716-6AA9AF5DF068}"/>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C6DF-49D7-9716-6AA9AF5DF068}"/>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C6DF-49D7-9716-6AA9AF5DF068}"/>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C6DF-49D7-9716-6AA9AF5DF068}"/>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C6DF-49D7-9716-6AA9AF5DF068}"/>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C6DF-49D7-9716-6AA9AF5DF068}"/>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C6DF-49D7-9716-6AA9AF5DF068}"/>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C6DF-49D7-9716-6AA9AF5DF068}"/>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C6DF-49D7-9716-6AA9AF5DF068}"/>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C6DF-49D7-9716-6AA9AF5DF068}"/>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C6DF-49D7-9716-6AA9AF5DF068}"/>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C6DF-49D7-9716-6AA9AF5DF068}"/>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C6DF-49D7-9716-6AA9AF5DF068}"/>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C6DF-49D7-9716-6AA9AF5DF068}"/>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C6DF-49D7-9716-6AA9AF5DF068}"/>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C6DF-49D7-9716-6AA9AF5DF068}"/>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C6DF-49D7-9716-6AA9AF5DF068}"/>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C6DF-49D7-9716-6AA9AF5DF068}"/>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C6DF-49D7-9716-6AA9AF5DF068}"/>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C6DF-49D7-9716-6AA9AF5DF068}"/>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C6DF-49D7-9716-6AA9AF5DF068}"/>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C6DF-49D7-9716-6AA9AF5DF068}"/>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C6DF-49D7-9716-6AA9AF5DF068}"/>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C6DF-49D7-9716-6AA9AF5DF068}"/>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C6DF-49D7-9716-6AA9AF5DF068}"/>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C6DF-49D7-9716-6AA9AF5DF068}"/>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C6DF-49D7-9716-6AA9AF5DF068}"/>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C6DF-49D7-9716-6AA9AF5DF068}"/>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C6DF-49D7-9716-6AA9AF5DF068}"/>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C6DF-49D7-9716-6AA9AF5DF068}"/>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C6DF-49D7-9716-6AA9AF5DF068}"/>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C6DF-49D7-9716-6AA9AF5DF068}"/>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C6DF-49D7-9716-6AA9AF5DF068}"/>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C6DF-49D7-9716-6AA9AF5DF068}"/>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C6DF-49D7-9716-6AA9AF5DF068}"/>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C6DF-49D7-9716-6AA9AF5DF068}"/>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C6DF-49D7-9716-6AA9AF5DF068}"/>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C6DF-49D7-9716-6AA9AF5DF068}"/>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C6DF-49D7-9716-6AA9AF5DF068}"/>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C6DF-49D7-9716-6AA9AF5DF068}"/>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C6DF-49D7-9716-6AA9AF5DF068}"/>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C6DF-49D7-9716-6AA9AF5DF068}"/>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C6DF-49D7-9716-6AA9AF5DF068}"/>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C6DF-49D7-9716-6AA9AF5DF068}"/>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C6DF-49D7-9716-6AA9AF5DF068}"/>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C6DF-49D7-9716-6AA9AF5DF068}"/>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C6DF-49D7-9716-6AA9AF5DF068}"/>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C6DF-49D7-9716-6AA9AF5DF068}"/>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C6DF-49D7-9716-6AA9AF5DF068}"/>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C6DF-49D7-9716-6AA9AF5DF068}"/>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C6DF-49D7-9716-6AA9AF5DF068}"/>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C6DF-49D7-9716-6AA9AF5DF068}"/>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C6DF-49D7-9716-6AA9AF5DF068}"/>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C6DF-49D7-9716-6AA9AF5DF068}"/>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C6DF-49D7-9716-6AA9AF5DF068}"/>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C6DF-49D7-9716-6AA9AF5DF068}"/>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C6DF-49D7-9716-6AA9AF5DF068}"/>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C6DF-49D7-9716-6AA9AF5DF068}"/>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C6DF-49D7-9716-6AA9AF5DF068}"/>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C6DF-49D7-9716-6AA9AF5DF068}"/>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C6DF-49D7-9716-6AA9AF5DF068}"/>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C6DF-49D7-9716-6AA9AF5DF068}"/>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C6DF-49D7-9716-6AA9AF5DF068}"/>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C6DF-49D7-9716-6AA9AF5DF068}"/>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C6DF-49D7-9716-6AA9AF5DF068}"/>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C6DF-49D7-9716-6AA9AF5DF068}"/>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C6DF-49D7-9716-6AA9AF5DF068}"/>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C6DF-49D7-9716-6AA9AF5DF068}"/>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C6DF-49D7-9716-6AA9AF5DF068}"/>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C6DF-49D7-9716-6AA9AF5DF068}"/>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C6DF-49D7-9716-6AA9AF5DF068}"/>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C6DF-49D7-9716-6AA9AF5DF068}"/>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C6DF-49D7-9716-6AA9AF5DF068}"/>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C6DF-49D7-9716-6AA9AF5DF068}"/>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C6DF-49D7-9716-6AA9AF5DF068}"/>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C6DF-49D7-9716-6AA9AF5DF068}"/>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C6DF-49D7-9716-6AA9AF5DF068}"/>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C6DF-49D7-9716-6AA9AF5DF068}"/>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C6DF-49D7-9716-6AA9AF5DF068}"/>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C6DF-49D7-9716-6AA9AF5DF068}"/>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C6DF-49D7-9716-6AA9AF5DF068}"/>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C6DF-49D7-9716-6AA9AF5DF068}"/>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C6DF-49D7-9716-6AA9AF5DF068}"/>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C6DF-49D7-9716-6AA9AF5DF068}"/>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C6DF-49D7-9716-6AA9AF5DF068}"/>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C6DF-49D7-9716-6AA9AF5DF068}"/>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C6DF-49D7-9716-6AA9AF5DF068}"/>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C6DF-49D7-9716-6AA9AF5DF068}"/>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C6DF-49D7-9716-6AA9AF5DF068}"/>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C6DF-49D7-9716-6AA9AF5DF068}"/>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C6DF-49D7-9716-6AA9AF5DF068}"/>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C6DF-49D7-9716-6AA9AF5DF068}"/>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C6DF-49D7-9716-6AA9AF5DF068}"/>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C6DF-49D7-9716-6AA9AF5DF068}"/>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C6DF-49D7-9716-6AA9AF5DF068}"/>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C6DF-49D7-9716-6AA9AF5DF068}"/>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C6DF-49D7-9716-6AA9AF5DF068}"/>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C6DF-49D7-9716-6AA9AF5DF068}"/>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C6DF-49D7-9716-6AA9AF5DF068}"/>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C6DF-49D7-9716-6AA9AF5DF068}"/>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C6DF-49D7-9716-6AA9AF5DF068}"/>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C6DF-49D7-9716-6AA9AF5DF068}"/>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C6DF-49D7-9716-6AA9AF5DF068}"/>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0B-C6DF-49D7-9716-6AA9AF5DF068}"/>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0D-C6DF-49D7-9716-6AA9AF5DF068}"/>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0F-C6DF-49D7-9716-6AA9AF5DF068}"/>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11-C6DF-49D7-9716-6AA9AF5DF068}"/>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13-C6DF-49D7-9716-6AA9AF5DF068}"/>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15-C6DF-49D7-9716-6AA9AF5DF068}"/>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17-C6DF-49D7-9716-6AA9AF5DF068}"/>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19-C6DF-49D7-9716-6AA9AF5DF068}"/>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1B-C6DF-49D7-9716-6AA9AF5DF068}"/>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1D-C6DF-49D7-9716-6AA9AF5DF068}"/>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1F-C6DF-49D7-9716-6AA9AF5DF068}"/>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1-C6DF-49D7-9716-6AA9AF5DF068}"/>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23-C6DF-49D7-9716-6AA9AF5DF068}"/>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25-C6DF-49D7-9716-6AA9AF5DF068}"/>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27-C6DF-49D7-9716-6AA9AF5DF068}"/>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29-C6DF-49D7-9716-6AA9AF5DF068}"/>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2B-C6DF-49D7-9716-6AA9AF5DF068}"/>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2D-C6DF-49D7-9716-6AA9AF5DF068}"/>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2F-C6DF-49D7-9716-6AA9AF5DF068}"/>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1-C6DF-49D7-9716-6AA9AF5DF068}"/>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33-C6DF-49D7-9716-6AA9AF5DF068}"/>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5-C6DF-49D7-9716-6AA9AF5DF068}"/>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37-C6DF-49D7-9716-6AA9AF5DF068}"/>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9-C6DF-49D7-9716-6AA9AF5DF068}"/>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3B-C6DF-49D7-9716-6AA9AF5DF068}"/>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C6DF-49D7-9716-6AA9AF5DF068}"/>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3F-C6DF-49D7-9716-6AA9AF5DF068}"/>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1-C6DF-49D7-9716-6AA9AF5DF068}"/>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43-C6DF-49D7-9716-6AA9AF5DF068}"/>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C6DF-49D7-9716-6AA9AF5DF068}"/>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147-C6DF-49D7-9716-6AA9AF5DF068}"/>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149-C6DF-49D7-9716-6AA9AF5DF068}"/>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14B-C6DF-49D7-9716-6AA9AF5DF068}"/>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14D-C6DF-49D7-9716-6AA9AF5DF068}"/>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14F-C6DF-49D7-9716-6AA9AF5DF068}"/>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51-C6DF-49D7-9716-6AA9AF5DF068}"/>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53-C6DF-49D7-9716-6AA9AF5DF068}"/>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55-C6DF-49D7-9716-6AA9AF5DF068}"/>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57-C6DF-49D7-9716-6AA9AF5DF068}"/>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59-C6DF-49D7-9716-6AA9AF5DF068}"/>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5B-C6DF-49D7-9716-6AA9AF5DF068}"/>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D-C6DF-49D7-9716-6AA9AF5DF068}"/>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5F-C6DF-49D7-9716-6AA9AF5DF068}"/>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61-C6DF-49D7-9716-6AA9AF5DF068}"/>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63-C6DF-49D7-9716-6AA9AF5DF068}"/>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65-C6DF-49D7-9716-6AA9AF5DF068}"/>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67-C6DF-49D7-9716-6AA9AF5DF068}"/>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69-C6DF-49D7-9716-6AA9AF5DF068}"/>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6B-C6DF-49D7-9716-6AA9AF5DF068}"/>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6D-C6DF-49D7-9716-6AA9AF5DF068}"/>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6F-C6DF-49D7-9716-6AA9AF5DF068}"/>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71-C6DF-49D7-9716-6AA9AF5DF068}"/>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73-C6DF-49D7-9716-6AA9AF5DF068}"/>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75-C6DF-49D7-9716-6AA9AF5DF068}"/>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77-C6DF-49D7-9716-6AA9AF5DF068}"/>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79-C6DF-49D7-9716-6AA9AF5DF068}"/>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7B-C6DF-49D7-9716-6AA9AF5DF068}"/>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7D-C6DF-49D7-9716-6AA9AF5DF068}"/>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7F-C6DF-49D7-9716-6AA9AF5DF068}"/>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81-C6DF-49D7-9716-6AA9AF5DF068}"/>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83-C6DF-49D7-9716-6AA9AF5DF068}"/>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85-C6DF-49D7-9716-6AA9AF5DF068}"/>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87-C6DF-49D7-9716-6AA9AF5DF068}"/>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89-C6DF-49D7-9716-6AA9AF5DF068}"/>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8B-C6DF-49D7-9716-6AA9AF5DF068}"/>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8D-C6DF-49D7-9716-6AA9AF5DF068}"/>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8F-C6DF-49D7-9716-6AA9AF5DF068}"/>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91-C6DF-49D7-9716-6AA9AF5DF068}"/>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93-C6DF-49D7-9716-6AA9AF5DF068}"/>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95-C6DF-49D7-9716-6AA9AF5DF068}"/>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197-C6DF-49D7-9716-6AA9AF5DF068}"/>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99-C6DF-49D7-9716-6AA9AF5DF068}"/>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19B-C6DF-49D7-9716-6AA9AF5DF068}"/>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9D-C6DF-49D7-9716-6AA9AF5DF068}"/>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19F-C6DF-49D7-9716-6AA9AF5DF068}"/>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1-C6DF-49D7-9716-6AA9AF5DF068}"/>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1A3-C6DF-49D7-9716-6AA9AF5DF068}"/>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5-C6DF-49D7-9716-6AA9AF5DF068}"/>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1A7-C6DF-49D7-9716-6AA9AF5DF068}"/>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9-C6DF-49D7-9716-6AA9AF5DF068}"/>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1AB-C6DF-49D7-9716-6AA9AF5DF068}"/>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D-C6DF-49D7-9716-6AA9AF5DF068}"/>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1AF-C6DF-49D7-9716-6AA9AF5DF068}"/>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C6DF-49D7-9716-6AA9AF5DF068}"/>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1B3-C6DF-49D7-9716-6AA9AF5DF068}"/>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1B5-C6DF-49D7-9716-6AA9AF5DF068}"/>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1B7-C6DF-49D7-9716-6AA9AF5DF068}"/>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1B9-C6DF-49D7-9716-6AA9AF5DF068}"/>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1BB-C6DF-49D7-9716-6AA9AF5DF068}"/>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D-C6DF-49D7-9716-6AA9AF5DF068}"/>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BF-C6DF-49D7-9716-6AA9AF5DF068}"/>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C1-C6DF-49D7-9716-6AA9AF5DF068}"/>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C3-C6DF-49D7-9716-6AA9AF5DF068}"/>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C5-C6DF-49D7-9716-6AA9AF5DF068}"/>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C7-C6DF-49D7-9716-6AA9AF5DF068}"/>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C9-C6DF-49D7-9716-6AA9AF5DF068}"/>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CB-C6DF-49D7-9716-6AA9AF5DF068}"/>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CD-C6DF-49D7-9716-6AA9AF5DF068}"/>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CF-C6DF-49D7-9716-6AA9AF5DF068}"/>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D1-C6DF-49D7-9716-6AA9AF5DF068}"/>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1D3-C6DF-49D7-9716-6AA9AF5DF068}"/>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D5-C6DF-49D7-9716-6AA9AF5DF068}"/>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1D7-C6DF-49D7-9716-6AA9AF5DF068}"/>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D9-C6DF-49D7-9716-6AA9AF5DF068}"/>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DB-C6DF-49D7-9716-6AA9AF5DF068}"/>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DD-C6DF-49D7-9716-6AA9AF5DF068}"/>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DF-C6DF-49D7-9716-6AA9AF5DF068}"/>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E1-C6DF-49D7-9716-6AA9AF5DF068}"/>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1E3-C6DF-49D7-9716-6AA9AF5DF068}"/>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E5-C6DF-49D7-9716-6AA9AF5DF068}"/>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1E7-C6DF-49D7-9716-6AA9AF5DF068}"/>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E9-C6DF-49D7-9716-6AA9AF5DF068}"/>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1EB-C6DF-49D7-9716-6AA9AF5DF068}"/>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ED-C6DF-49D7-9716-6AA9AF5DF068}"/>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1EF-C6DF-49D7-9716-6AA9AF5DF068}"/>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F1-C6DF-49D7-9716-6AA9AF5DF068}"/>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1F3-C6DF-49D7-9716-6AA9AF5DF068}"/>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F5-C6DF-49D7-9716-6AA9AF5DF068}"/>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1F7-C6DF-49D7-9716-6AA9AF5DF068}"/>
              </c:ext>
            </c:extLst>
          </c:dPt>
          <c:dPt>
            <c:idx val="25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F9-C6DF-49D7-9716-6AA9AF5DF068}"/>
              </c:ext>
            </c:extLst>
          </c:dPt>
          <c:dPt>
            <c:idx val="25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1FB-C6DF-49D7-9716-6AA9AF5DF068}"/>
              </c:ext>
            </c:extLst>
          </c:dPt>
          <c:dPt>
            <c:idx val="2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FD-C6DF-49D7-9716-6AA9AF5DF068}"/>
              </c:ext>
            </c:extLst>
          </c:dPt>
          <c:dPt>
            <c:idx val="25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1FF-C6DF-49D7-9716-6AA9AF5DF068}"/>
              </c:ext>
            </c:extLst>
          </c:dPt>
          <c:dPt>
            <c:idx val="25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1-C6DF-49D7-9716-6AA9AF5DF068}"/>
              </c:ext>
            </c:extLst>
          </c:dPt>
          <c:dPt>
            <c:idx val="25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03-C6DF-49D7-9716-6AA9AF5DF068}"/>
              </c:ext>
            </c:extLst>
          </c:dPt>
          <c:dPt>
            <c:idx val="2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05-C6DF-49D7-9716-6AA9AF5DF068}"/>
              </c:ext>
            </c:extLst>
          </c:dPt>
          <c:dPt>
            <c:idx val="25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07-C6DF-49D7-9716-6AA9AF5DF068}"/>
              </c:ext>
            </c:extLst>
          </c:dPt>
          <c:dPt>
            <c:idx val="26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09-C6DF-49D7-9716-6AA9AF5DF068}"/>
              </c:ext>
            </c:extLst>
          </c:dPt>
          <c:dPt>
            <c:idx val="26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0B-C6DF-49D7-9716-6AA9AF5DF068}"/>
              </c:ext>
            </c:extLst>
          </c:dPt>
          <c:dPt>
            <c:idx val="26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0D-C6DF-49D7-9716-6AA9AF5DF068}"/>
              </c:ext>
            </c:extLst>
          </c:dPt>
          <c:cat>
            <c:strRef>
              <c:f>'Analysis and visual 4'!$A$2:$A$265</c:f>
              <c:strCache>
                <c:ptCount val="263"/>
                <c:pt idx="0">
                  <c:v>#European Union</c:v>
                </c:pt>
                <c:pt idx="1">
                  <c:v>Afghanistan</c:v>
                </c:pt>
                <c:pt idx="2">
                  <c:v>Akrotiri</c:v>
                </c:pt>
                <c:pt idx="3">
                  <c:v>Albania</c:v>
                </c:pt>
                <c:pt idx="4">
                  <c:v>Algeria</c:v>
                </c:pt>
                <c:pt idx="5">
                  <c:v>American Samoa</c:v>
                </c:pt>
                <c:pt idx="6">
                  <c:v>Andorra</c:v>
                </c:pt>
                <c:pt idx="7">
                  <c:v>Angola</c:v>
                </c:pt>
                <c:pt idx="8">
                  <c:v>Anguilla</c:v>
                </c:pt>
                <c:pt idx="9">
                  <c:v>Antarctica</c:v>
                </c:pt>
                <c:pt idx="10">
                  <c:v>Antigua and Barbuda</c:v>
                </c:pt>
                <c:pt idx="11">
                  <c:v>Argentina</c:v>
                </c:pt>
                <c:pt idx="12">
                  <c:v>Armenia</c:v>
                </c:pt>
                <c:pt idx="13">
                  <c:v>Aruba</c:v>
                </c:pt>
                <c:pt idx="14">
                  <c:v>Ashmore and Cartier Islands</c:v>
                </c:pt>
                <c:pt idx="15">
                  <c:v>Australia</c:v>
                </c:pt>
                <c:pt idx="16">
                  <c:v>Austria</c:v>
                </c:pt>
                <c:pt idx="17">
                  <c:v>Azerbaijan</c:v>
                </c:pt>
                <c:pt idx="18">
                  <c:v>Bahamas The</c:v>
                </c:pt>
                <c:pt idx="19">
                  <c:v>Bahrain</c:v>
                </c:pt>
                <c:pt idx="20">
                  <c:v>Baker Island</c:v>
                </c:pt>
                <c:pt idx="21">
                  <c:v>Bangladesh</c:v>
                </c:pt>
                <c:pt idx="22">
                  <c:v>Barbados</c:v>
                </c:pt>
                <c:pt idx="23">
                  <c:v>Bassas da India</c:v>
                </c:pt>
                <c:pt idx="24">
                  <c:v>Belarus</c:v>
                </c:pt>
                <c:pt idx="25">
                  <c:v>Belgium</c:v>
                </c:pt>
                <c:pt idx="26">
                  <c:v>Belize</c:v>
                </c:pt>
                <c:pt idx="27">
                  <c:v>Benin</c:v>
                </c:pt>
                <c:pt idx="28">
                  <c:v>Bermuda</c:v>
                </c:pt>
                <c:pt idx="29">
                  <c:v>Bhutan</c:v>
                </c:pt>
                <c:pt idx="30">
                  <c:v>Bolivia</c:v>
                </c:pt>
                <c:pt idx="31">
                  <c:v>Bosnia and Herzegovina</c:v>
                </c:pt>
                <c:pt idx="32">
                  <c:v>Botswana</c:v>
                </c:pt>
                <c:pt idx="33">
                  <c:v>Bouvet Island</c:v>
                </c:pt>
                <c:pt idx="34">
                  <c:v>Brazil</c:v>
                </c:pt>
                <c:pt idx="35">
                  <c:v>British Indian Ocean Territory</c:v>
                </c:pt>
                <c:pt idx="36">
                  <c:v>British Virgin Islands</c:v>
                </c:pt>
                <c:pt idx="37">
                  <c:v>Brunei</c:v>
                </c:pt>
                <c:pt idx="38">
                  <c:v>Bulgaria</c:v>
                </c:pt>
                <c:pt idx="39">
                  <c:v>Burkina Faso</c:v>
                </c:pt>
                <c:pt idx="40">
                  <c:v>Burma</c:v>
                </c:pt>
                <c:pt idx="41">
                  <c:v>Burundi</c:v>
                </c:pt>
                <c:pt idx="42">
                  <c:v>Cambodia</c:v>
                </c:pt>
                <c:pt idx="43">
                  <c:v>Cameroon</c:v>
                </c:pt>
                <c:pt idx="44">
                  <c:v>Canada</c:v>
                </c:pt>
                <c:pt idx="45">
                  <c:v>Cape Verde</c:v>
                </c:pt>
                <c:pt idx="46">
                  <c:v>Cayman Islands</c:v>
                </c:pt>
                <c:pt idx="47">
                  <c:v>Central African Republic</c:v>
                </c:pt>
                <c:pt idx="48">
                  <c:v>Chad</c:v>
                </c:pt>
                <c:pt idx="49">
                  <c:v>Chile</c:v>
                </c:pt>
                <c:pt idx="50">
                  <c:v>China</c:v>
                </c:pt>
                <c:pt idx="51">
                  <c:v>Christmas Island</c:v>
                </c:pt>
                <c:pt idx="52">
                  <c:v>Clipperton Island</c:v>
                </c:pt>
                <c:pt idx="53">
                  <c:v>Cocos (Keeling) Islands</c:v>
                </c:pt>
                <c:pt idx="54">
                  <c:v>Colombia</c:v>
                </c:pt>
                <c:pt idx="55">
                  <c:v>Comoros</c:v>
                </c:pt>
                <c:pt idx="56">
                  <c:v>Congo Democratic Republic of the</c:v>
                </c:pt>
                <c:pt idx="57">
                  <c:v>Congo Republic of the</c:v>
                </c:pt>
                <c:pt idx="58">
                  <c:v>Cook Islands</c:v>
                </c:pt>
                <c:pt idx="59">
                  <c:v>Costa Rica</c:v>
                </c:pt>
                <c:pt idx="60">
                  <c:v>Cote d'Ivoire</c:v>
                </c:pt>
                <c:pt idx="61">
                  <c:v>Croatia</c:v>
                </c:pt>
                <c:pt idx="62">
                  <c:v>Cuba</c:v>
                </c:pt>
                <c:pt idx="63">
                  <c:v>Cyprus</c:v>
                </c:pt>
                <c:pt idx="64">
                  <c:v>Czech Republic</c:v>
                </c:pt>
                <c:pt idx="65">
                  <c:v>Denmark</c:v>
                </c:pt>
                <c:pt idx="66">
                  <c:v>Dhekelia</c:v>
                </c:pt>
                <c:pt idx="67">
                  <c:v>Djibouti</c:v>
                </c:pt>
                <c:pt idx="68">
                  <c:v>Dominica</c:v>
                </c:pt>
                <c:pt idx="69">
                  <c:v>Dominican Republic</c:v>
                </c:pt>
                <c:pt idx="70">
                  <c:v>East Timor</c:v>
                </c:pt>
                <c:pt idx="71">
                  <c:v>Ecuador</c:v>
                </c:pt>
                <c:pt idx="72">
                  <c:v>Egypt</c:v>
                </c:pt>
                <c:pt idx="73">
                  <c:v>El Salvador</c:v>
                </c:pt>
                <c:pt idx="74">
                  <c:v>Equatorial Guinea</c:v>
                </c:pt>
                <c:pt idx="75">
                  <c:v>Eritrea</c:v>
                </c:pt>
                <c:pt idx="76">
                  <c:v>Estonia</c:v>
                </c:pt>
                <c:pt idx="77">
                  <c:v>Ethiopia</c:v>
                </c:pt>
                <c:pt idx="78">
                  <c:v>Europa Island</c:v>
                </c:pt>
                <c:pt idx="79">
                  <c:v>Falkland Islands (Islas Malvinas)</c:v>
                </c:pt>
                <c:pt idx="80">
                  <c:v>Faroe Islands</c:v>
                </c:pt>
                <c:pt idx="81">
                  <c:v>Fiji</c:v>
                </c:pt>
                <c:pt idx="82">
                  <c:v>Finland</c:v>
                </c:pt>
                <c:pt idx="83">
                  <c:v>France</c:v>
                </c:pt>
                <c:pt idx="84">
                  <c:v>French Guiana</c:v>
                </c:pt>
                <c:pt idx="85">
                  <c:v>French Polynesia</c:v>
                </c:pt>
                <c:pt idx="86">
                  <c:v>French Southern and Antarctic Lands</c:v>
                </c:pt>
                <c:pt idx="87">
                  <c:v>Gabon</c:v>
                </c:pt>
                <c:pt idx="88">
                  <c:v>Gambia The</c:v>
                </c:pt>
                <c:pt idx="89">
                  <c:v>Gaza Strip</c:v>
                </c:pt>
                <c:pt idx="90">
                  <c:v>Georgia</c:v>
                </c:pt>
                <c:pt idx="91">
                  <c:v>Germany</c:v>
                </c:pt>
                <c:pt idx="92">
                  <c:v>Ghana</c:v>
                </c:pt>
                <c:pt idx="93">
                  <c:v>Gibraltar</c:v>
                </c:pt>
                <c:pt idx="94">
                  <c:v>Glorioso Islands</c:v>
                </c:pt>
                <c:pt idx="95">
                  <c:v>Greece</c:v>
                </c:pt>
                <c:pt idx="96">
                  <c:v>Greenland</c:v>
                </c:pt>
                <c:pt idx="97">
                  <c:v>Grenada</c:v>
                </c:pt>
                <c:pt idx="98">
                  <c:v>Guadeloupe</c:v>
                </c:pt>
                <c:pt idx="99">
                  <c:v>Guam</c:v>
                </c:pt>
                <c:pt idx="100">
                  <c:v>Guatemala</c:v>
                </c:pt>
                <c:pt idx="101">
                  <c:v>Guernsey</c:v>
                </c:pt>
                <c:pt idx="102">
                  <c:v>Guinea</c:v>
                </c:pt>
                <c:pt idx="103">
                  <c:v>Guinea-Bissau</c:v>
                </c:pt>
                <c:pt idx="104">
                  <c:v>Guyana</c:v>
                </c:pt>
                <c:pt idx="105">
                  <c:v>Haiti</c:v>
                </c:pt>
                <c:pt idx="106">
                  <c:v>Heard Island and McDonald Islands</c:v>
                </c:pt>
                <c:pt idx="107">
                  <c:v>Holy See (Vatican City)</c:v>
                </c:pt>
                <c:pt idx="108">
                  <c:v>Honduras</c:v>
                </c:pt>
                <c:pt idx="109">
                  <c:v>Hong Kong</c:v>
                </c:pt>
                <c:pt idx="110">
                  <c:v>Howland Island</c:v>
                </c:pt>
                <c:pt idx="111">
                  <c:v>Hungary</c:v>
                </c:pt>
                <c:pt idx="112">
                  <c:v>Iceland</c:v>
                </c:pt>
                <c:pt idx="113">
                  <c:v>India</c:v>
                </c:pt>
                <c:pt idx="114">
                  <c:v>Indonesia</c:v>
                </c:pt>
                <c:pt idx="115">
                  <c:v>Iran</c:v>
                </c:pt>
                <c:pt idx="116">
                  <c:v>Iraq</c:v>
                </c:pt>
                <c:pt idx="117">
                  <c:v>Ireland</c:v>
                </c:pt>
                <c:pt idx="118">
                  <c:v>Israel</c:v>
                </c:pt>
                <c:pt idx="119">
                  <c:v>Italy</c:v>
                </c:pt>
                <c:pt idx="120">
                  <c:v>Jamaica</c:v>
                </c:pt>
                <c:pt idx="121">
                  <c:v>Jan Mayen</c:v>
                </c:pt>
                <c:pt idx="122">
                  <c:v>Japan</c:v>
                </c:pt>
                <c:pt idx="123">
                  <c:v>Jarvis Island</c:v>
                </c:pt>
                <c:pt idx="124">
                  <c:v>Jersey</c:v>
                </c:pt>
                <c:pt idx="125">
                  <c:v>Johnston Atoll</c:v>
                </c:pt>
                <c:pt idx="126">
                  <c:v>Jordan</c:v>
                </c:pt>
                <c:pt idx="127">
                  <c:v>Juan de Nova Island</c:v>
                </c:pt>
                <c:pt idx="128">
                  <c:v>Kazakhstan</c:v>
                </c:pt>
                <c:pt idx="129">
                  <c:v>Kenya</c:v>
                </c:pt>
                <c:pt idx="130">
                  <c:v>Kingman Reef</c:v>
                </c:pt>
                <c:pt idx="131">
                  <c:v>Kiribati</c:v>
                </c:pt>
                <c:pt idx="132">
                  <c:v>Korea North</c:v>
                </c:pt>
                <c:pt idx="133">
                  <c:v>Korea South</c:v>
                </c:pt>
                <c:pt idx="134">
                  <c:v>Kuwait</c:v>
                </c:pt>
                <c:pt idx="135">
                  <c:v>Kyrgyzstan</c:v>
                </c:pt>
                <c:pt idx="136">
                  <c:v>Laos</c:v>
                </c:pt>
                <c:pt idx="137">
                  <c:v>Latvia</c:v>
                </c:pt>
                <c:pt idx="138">
                  <c:v>Lebanon</c:v>
                </c:pt>
                <c:pt idx="139">
                  <c:v>Lesotho</c:v>
                </c:pt>
                <c:pt idx="140">
                  <c:v>Liberia</c:v>
                </c:pt>
                <c:pt idx="141">
                  <c:v>Libya</c:v>
                </c:pt>
                <c:pt idx="142">
                  <c:v>Liechtenstein</c:v>
                </c:pt>
                <c:pt idx="143">
                  <c:v>Lithuania</c:v>
                </c:pt>
                <c:pt idx="144">
                  <c:v>Luxembourg</c:v>
                </c:pt>
                <c:pt idx="145">
                  <c:v>Macau</c:v>
                </c:pt>
                <c:pt idx="146">
                  <c:v>Macedonia</c:v>
                </c:pt>
                <c:pt idx="147">
                  <c:v>Madagascar</c:v>
                </c:pt>
                <c:pt idx="148">
                  <c:v>Malawi</c:v>
                </c:pt>
                <c:pt idx="149">
                  <c:v>Malaysia</c:v>
                </c:pt>
                <c:pt idx="150">
                  <c:v>Maldives</c:v>
                </c:pt>
                <c:pt idx="151">
                  <c:v>Mali</c:v>
                </c:pt>
                <c:pt idx="152">
                  <c:v>Malta</c:v>
                </c:pt>
                <c:pt idx="153">
                  <c:v>Man Isle of</c:v>
                </c:pt>
                <c:pt idx="154">
                  <c:v>Marshall Islands</c:v>
                </c:pt>
                <c:pt idx="155">
                  <c:v>Martinique</c:v>
                </c:pt>
                <c:pt idx="156">
                  <c:v>Mauritania</c:v>
                </c:pt>
                <c:pt idx="157">
                  <c:v>Mauritius</c:v>
                </c:pt>
                <c:pt idx="158">
                  <c:v>Mayotte</c:v>
                </c:pt>
                <c:pt idx="159">
                  <c:v>Mexico</c:v>
                </c:pt>
                <c:pt idx="160">
                  <c:v>Micronesia Federated States of</c:v>
                </c:pt>
                <c:pt idx="161">
                  <c:v>Midway Islands</c:v>
                </c:pt>
                <c:pt idx="162">
                  <c:v>Moldova</c:v>
                </c:pt>
                <c:pt idx="163">
                  <c:v>Monaco</c:v>
                </c:pt>
                <c:pt idx="164">
                  <c:v>Mongolia</c:v>
                </c:pt>
                <c:pt idx="165">
                  <c:v>Montserrat</c:v>
                </c:pt>
                <c:pt idx="166">
                  <c:v>Morocco</c:v>
                </c:pt>
                <c:pt idx="167">
                  <c:v>Mozambique</c:v>
                </c:pt>
                <c:pt idx="168">
                  <c:v>Namibia</c:v>
                </c:pt>
                <c:pt idx="169">
                  <c:v>Nauru</c:v>
                </c:pt>
                <c:pt idx="170">
                  <c:v>Navassa Island</c:v>
                </c:pt>
                <c:pt idx="171">
                  <c:v>Nepal</c:v>
                </c:pt>
                <c:pt idx="172">
                  <c:v>Netherlands</c:v>
                </c:pt>
                <c:pt idx="173">
                  <c:v>Netherlands Antilles</c:v>
                </c:pt>
                <c:pt idx="174">
                  <c:v>New Caledonia</c:v>
                </c:pt>
                <c:pt idx="175">
                  <c:v>New Zealand</c:v>
                </c:pt>
                <c:pt idx="176">
                  <c:v>Nicaragua</c:v>
                </c:pt>
                <c:pt idx="177">
                  <c:v>Niger</c:v>
                </c:pt>
                <c:pt idx="178">
                  <c:v>Nigeria</c:v>
                </c:pt>
                <c:pt idx="179">
                  <c:v>Niue</c:v>
                </c:pt>
                <c:pt idx="180">
                  <c:v>Norfolk Island</c:v>
                </c:pt>
                <c:pt idx="181">
                  <c:v>Northern Mariana Islands</c:v>
                </c:pt>
                <c:pt idx="182">
                  <c:v>Norway</c:v>
                </c:pt>
                <c:pt idx="183">
                  <c:v>Oman</c:v>
                </c:pt>
                <c:pt idx="184">
                  <c:v>Pakistan</c:v>
                </c:pt>
                <c:pt idx="185">
                  <c:v>Palau</c:v>
                </c:pt>
                <c:pt idx="186">
                  <c:v>Palmyra Atoll</c:v>
                </c:pt>
                <c:pt idx="187">
                  <c:v>Panama</c:v>
                </c:pt>
                <c:pt idx="188">
                  <c:v>Papua New Guinea</c:v>
                </c:pt>
                <c:pt idx="189">
                  <c:v>Paraguay</c:v>
                </c:pt>
                <c:pt idx="190">
                  <c:v>Peru</c:v>
                </c:pt>
                <c:pt idx="191">
                  <c:v>Philippines</c:v>
                </c:pt>
                <c:pt idx="192">
                  <c:v>Pitcairn Islands</c:v>
                </c:pt>
                <c:pt idx="193">
                  <c:v>Poland</c:v>
                </c:pt>
                <c:pt idx="194">
                  <c:v>Portugal</c:v>
                </c:pt>
                <c:pt idx="195">
                  <c:v>Puerto Rico</c:v>
                </c:pt>
                <c:pt idx="196">
                  <c:v>Qatar</c:v>
                </c:pt>
                <c:pt idx="197">
                  <c:v>Reunion</c:v>
                </c:pt>
                <c:pt idx="198">
                  <c:v>Romania</c:v>
                </c:pt>
                <c:pt idx="199">
                  <c:v>Russia</c:v>
                </c:pt>
                <c:pt idx="200">
                  <c:v>Rwanda</c:v>
                </c:pt>
                <c:pt idx="201">
                  <c:v>Saint Helena</c:v>
                </c:pt>
                <c:pt idx="202">
                  <c:v>Saint Kitts and Nevis</c:v>
                </c:pt>
                <c:pt idx="203">
                  <c:v>Saint Lucia</c:v>
                </c:pt>
                <c:pt idx="204">
                  <c:v>Saint Pierre and Miquelon</c:v>
                </c:pt>
                <c:pt idx="205">
                  <c:v>Saint Vincent and the Grenadines</c:v>
                </c:pt>
                <c:pt idx="206">
                  <c:v>Samoa</c:v>
                </c:pt>
                <c:pt idx="207">
                  <c:v>San Marino</c:v>
                </c:pt>
                <c:pt idx="208">
                  <c:v>Sao Tome and Principe</c:v>
                </c:pt>
                <c:pt idx="209">
                  <c:v>Saudi Arabia</c:v>
                </c:pt>
                <c:pt idx="210">
                  <c:v>Senegal</c:v>
                </c:pt>
                <c:pt idx="211">
                  <c:v>Serbia and Montenegro</c:v>
                </c:pt>
                <c:pt idx="212">
                  <c:v>Seychelles</c:v>
                </c:pt>
                <c:pt idx="213">
                  <c:v>Sierra Leone</c:v>
                </c:pt>
                <c:pt idx="214">
                  <c:v>Singapore</c:v>
                </c:pt>
                <c:pt idx="215">
                  <c:v>Slovakia</c:v>
                </c:pt>
                <c:pt idx="216">
                  <c:v>Slovenia</c:v>
                </c:pt>
                <c:pt idx="217">
                  <c:v>Solomon Islands</c:v>
                </c:pt>
                <c:pt idx="218">
                  <c:v>Somalia</c:v>
                </c:pt>
                <c:pt idx="219">
                  <c:v>South Africa</c:v>
                </c:pt>
                <c:pt idx="220">
                  <c:v>South Georgia and the South Sandwich Islands</c:v>
                </c:pt>
                <c:pt idx="221">
                  <c:v>Spain</c:v>
                </c:pt>
                <c:pt idx="222">
                  <c:v>Spratly Islands</c:v>
                </c:pt>
                <c:pt idx="223">
                  <c:v>Sri Lanka</c:v>
                </c:pt>
                <c:pt idx="224">
                  <c:v>Sudan</c:v>
                </c:pt>
                <c:pt idx="225">
                  <c:v>Suriname</c:v>
                </c:pt>
                <c:pt idx="226">
                  <c:v>Svalbard</c:v>
                </c:pt>
                <c:pt idx="227">
                  <c:v>Swaziland</c:v>
                </c:pt>
                <c:pt idx="228">
                  <c:v>Sweden</c:v>
                </c:pt>
                <c:pt idx="229">
                  <c:v>Switzerland</c:v>
                </c:pt>
                <c:pt idx="230">
                  <c:v>Syria</c:v>
                </c:pt>
                <c:pt idx="231">
                  <c:v>Taiwan</c:v>
                </c:pt>
                <c:pt idx="232">
                  <c:v>Tajikistan</c:v>
                </c:pt>
                <c:pt idx="233">
                  <c:v>Tanzania</c:v>
                </c:pt>
                <c:pt idx="234">
                  <c:v>Thailand</c:v>
                </c:pt>
                <c:pt idx="235">
                  <c:v>Togo</c:v>
                </c:pt>
                <c:pt idx="236">
                  <c:v>Tokelau</c:v>
                </c:pt>
                <c:pt idx="237">
                  <c:v>Tonga</c:v>
                </c:pt>
                <c:pt idx="238">
                  <c:v>Trinidad and Tobago</c:v>
                </c:pt>
                <c:pt idx="239">
                  <c:v>Tromelin Island</c:v>
                </c:pt>
                <c:pt idx="240">
                  <c:v>Tunisia</c:v>
                </c:pt>
                <c:pt idx="241">
                  <c:v>Turkey</c:v>
                </c:pt>
                <c:pt idx="242">
                  <c:v>Turkmenistan</c:v>
                </c:pt>
                <c:pt idx="243">
                  <c:v>Turks and Caicos Islands</c:v>
                </c:pt>
                <c:pt idx="244">
                  <c:v>Tuvalu</c:v>
                </c:pt>
                <c:pt idx="245">
                  <c:v>Uganda</c:v>
                </c:pt>
                <c:pt idx="246">
                  <c:v>Ukraine</c:v>
                </c:pt>
                <c:pt idx="247">
                  <c:v>United Arab Emirates</c:v>
                </c:pt>
                <c:pt idx="248">
                  <c:v>United Kingdom</c:v>
                </c:pt>
                <c:pt idx="249">
                  <c:v>United States</c:v>
                </c:pt>
                <c:pt idx="250">
                  <c:v>Uruguay</c:v>
                </c:pt>
                <c:pt idx="251">
                  <c:v>Uzbekistan</c:v>
                </c:pt>
                <c:pt idx="252">
                  <c:v>Vanuatu</c:v>
                </c:pt>
                <c:pt idx="253">
                  <c:v>Venezuela</c:v>
                </c:pt>
                <c:pt idx="254">
                  <c:v>Vietnam</c:v>
                </c:pt>
                <c:pt idx="255">
                  <c:v>Virgin Islands</c:v>
                </c:pt>
                <c:pt idx="256">
                  <c:v>Wake Island</c:v>
                </c:pt>
                <c:pt idx="257">
                  <c:v>Wallis and Futuna</c:v>
                </c:pt>
                <c:pt idx="258">
                  <c:v>West Bank</c:v>
                </c:pt>
                <c:pt idx="259">
                  <c:v>Western Sahara</c:v>
                </c:pt>
                <c:pt idx="260">
                  <c:v>Yemen</c:v>
                </c:pt>
                <c:pt idx="261">
                  <c:v>Zambia</c:v>
                </c:pt>
                <c:pt idx="262">
                  <c:v>Zimbabwe</c:v>
                </c:pt>
              </c:strCache>
            </c:strRef>
          </c:cat>
          <c:val>
            <c:numRef>
              <c:f>'Analysis and visual 4'!$B$2:$B$265</c:f>
              <c:numCache>
                <c:formatCode>General</c:formatCode>
                <c:ptCount val="263"/>
                <c:pt idx="0">
                  <c:v>22000414</c:v>
                </c:pt>
                <c:pt idx="3">
                  <c:v>455</c:v>
                </c:pt>
                <c:pt idx="4">
                  <c:v>897</c:v>
                </c:pt>
                <c:pt idx="6">
                  <c:v>4144</c:v>
                </c:pt>
                <c:pt idx="7">
                  <c:v>17</c:v>
                </c:pt>
                <c:pt idx="10">
                  <c:v>1665</c:v>
                </c:pt>
                <c:pt idx="11">
                  <c:v>742358</c:v>
                </c:pt>
                <c:pt idx="12">
                  <c:v>2206</c:v>
                </c:pt>
                <c:pt idx="13">
                  <c:v>923</c:v>
                </c:pt>
                <c:pt idx="15">
                  <c:v>2847763</c:v>
                </c:pt>
                <c:pt idx="16">
                  <c:v>387006</c:v>
                </c:pt>
                <c:pt idx="17">
                  <c:v>586</c:v>
                </c:pt>
                <c:pt idx="18">
                  <c:v>302</c:v>
                </c:pt>
                <c:pt idx="19">
                  <c:v>1334</c:v>
                </c:pt>
                <c:pt idx="21">
                  <c:v>1</c:v>
                </c:pt>
                <c:pt idx="22">
                  <c:v>204</c:v>
                </c:pt>
                <c:pt idx="24">
                  <c:v>5308</c:v>
                </c:pt>
                <c:pt idx="25">
                  <c:v>166799</c:v>
                </c:pt>
                <c:pt idx="26">
                  <c:v>2613</c:v>
                </c:pt>
                <c:pt idx="27">
                  <c:v>879</c:v>
                </c:pt>
                <c:pt idx="28">
                  <c:v>5161</c:v>
                </c:pt>
                <c:pt idx="29">
                  <c:v>985</c:v>
                </c:pt>
                <c:pt idx="30">
                  <c:v>7080</c:v>
                </c:pt>
                <c:pt idx="31">
                  <c:v>6994</c:v>
                </c:pt>
                <c:pt idx="32">
                  <c:v>1920</c:v>
                </c:pt>
                <c:pt idx="34">
                  <c:v>3163349</c:v>
                </c:pt>
                <c:pt idx="37">
                  <c:v>6409</c:v>
                </c:pt>
                <c:pt idx="38">
                  <c:v>53421</c:v>
                </c:pt>
                <c:pt idx="39">
                  <c:v>442</c:v>
                </c:pt>
                <c:pt idx="40">
                  <c:v>3</c:v>
                </c:pt>
                <c:pt idx="41">
                  <c:v>22</c:v>
                </c:pt>
                <c:pt idx="42">
                  <c:v>818</c:v>
                </c:pt>
                <c:pt idx="43">
                  <c:v>479</c:v>
                </c:pt>
                <c:pt idx="44">
                  <c:v>3210081</c:v>
                </c:pt>
                <c:pt idx="45">
                  <c:v>118</c:v>
                </c:pt>
                <c:pt idx="47">
                  <c:v>6</c:v>
                </c:pt>
                <c:pt idx="48">
                  <c:v>8</c:v>
                </c:pt>
                <c:pt idx="49">
                  <c:v>202429</c:v>
                </c:pt>
                <c:pt idx="50">
                  <c:v>160421</c:v>
                </c:pt>
                <c:pt idx="54">
                  <c:v>115158</c:v>
                </c:pt>
                <c:pt idx="55">
                  <c:v>11</c:v>
                </c:pt>
                <c:pt idx="56">
                  <c:v>153</c:v>
                </c:pt>
                <c:pt idx="57">
                  <c:v>46</c:v>
                </c:pt>
                <c:pt idx="59">
                  <c:v>10826</c:v>
                </c:pt>
                <c:pt idx="60">
                  <c:v>3795</c:v>
                </c:pt>
                <c:pt idx="61">
                  <c:v>29644</c:v>
                </c:pt>
                <c:pt idx="62">
                  <c:v>1529</c:v>
                </c:pt>
                <c:pt idx="63">
                  <c:v>5901</c:v>
                </c:pt>
                <c:pt idx="64">
                  <c:v>295677</c:v>
                </c:pt>
                <c:pt idx="65">
                  <c:v>1219925</c:v>
                </c:pt>
                <c:pt idx="67">
                  <c:v>702</c:v>
                </c:pt>
                <c:pt idx="68">
                  <c:v>681</c:v>
                </c:pt>
                <c:pt idx="69">
                  <c:v>64197</c:v>
                </c:pt>
                <c:pt idx="71">
                  <c:v>3188</c:v>
                </c:pt>
                <c:pt idx="72">
                  <c:v>3401</c:v>
                </c:pt>
                <c:pt idx="73">
                  <c:v>4084</c:v>
                </c:pt>
                <c:pt idx="74">
                  <c:v>3</c:v>
                </c:pt>
                <c:pt idx="75">
                  <c:v>1047</c:v>
                </c:pt>
                <c:pt idx="76">
                  <c:v>82142</c:v>
                </c:pt>
                <c:pt idx="77">
                  <c:v>9</c:v>
                </c:pt>
                <c:pt idx="81">
                  <c:v>493</c:v>
                </c:pt>
                <c:pt idx="82">
                  <c:v>1219173</c:v>
                </c:pt>
                <c:pt idx="83">
                  <c:v>2396761</c:v>
                </c:pt>
                <c:pt idx="85">
                  <c:v>5123</c:v>
                </c:pt>
                <c:pt idx="87">
                  <c:v>93</c:v>
                </c:pt>
                <c:pt idx="88">
                  <c:v>568</c:v>
                </c:pt>
                <c:pt idx="90">
                  <c:v>5160</c:v>
                </c:pt>
                <c:pt idx="91">
                  <c:v>2686119</c:v>
                </c:pt>
                <c:pt idx="92">
                  <c:v>407</c:v>
                </c:pt>
                <c:pt idx="95">
                  <c:v>208977</c:v>
                </c:pt>
                <c:pt idx="96">
                  <c:v>2642</c:v>
                </c:pt>
                <c:pt idx="97">
                  <c:v>18</c:v>
                </c:pt>
                <c:pt idx="100">
                  <c:v>20360</c:v>
                </c:pt>
                <c:pt idx="102">
                  <c:v>380</c:v>
                </c:pt>
                <c:pt idx="103">
                  <c:v>2</c:v>
                </c:pt>
                <c:pt idx="104">
                  <c:v>613</c:v>
                </c:pt>
                <c:pt idx="107">
                  <c:v>9</c:v>
                </c:pt>
                <c:pt idx="108">
                  <c:v>1944</c:v>
                </c:pt>
                <c:pt idx="109">
                  <c:v>591993</c:v>
                </c:pt>
                <c:pt idx="111">
                  <c:v>383071</c:v>
                </c:pt>
                <c:pt idx="112">
                  <c:v>122175</c:v>
                </c:pt>
                <c:pt idx="113">
                  <c:v>86871</c:v>
                </c:pt>
                <c:pt idx="114">
                  <c:v>62036</c:v>
                </c:pt>
                <c:pt idx="115">
                  <c:v>5269</c:v>
                </c:pt>
                <c:pt idx="117">
                  <c:v>162228</c:v>
                </c:pt>
                <c:pt idx="118">
                  <c:v>437516</c:v>
                </c:pt>
                <c:pt idx="119">
                  <c:v>1437511</c:v>
                </c:pt>
                <c:pt idx="120">
                  <c:v>1480</c:v>
                </c:pt>
                <c:pt idx="122">
                  <c:v>12962065</c:v>
                </c:pt>
                <c:pt idx="126">
                  <c:v>3160</c:v>
                </c:pt>
                <c:pt idx="128">
                  <c:v>21984</c:v>
                </c:pt>
                <c:pt idx="129">
                  <c:v>8325</c:v>
                </c:pt>
                <c:pt idx="133">
                  <c:v>694206</c:v>
                </c:pt>
                <c:pt idx="134">
                  <c:v>3437</c:v>
                </c:pt>
                <c:pt idx="135">
                  <c:v>12299</c:v>
                </c:pt>
                <c:pt idx="136">
                  <c:v>937</c:v>
                </c:pt>
                <c:pt idx="137">
                  <c:v>51758</c:v>
                </c:pt>
                <c:pt idx="138">
                  <c:v>6998</c:v>
                </c:pt>
                <c:pt idx="139">
                  <c:v>119</c:v>
                </c:pt>
                <c:pt idx="140">
                  <c:v>14</c:v>
                </c:pt>
                <c:pt idx="141">
                  <c:v>67</c:v>
                </c:pt>
                <c:pt idx="142">
                  <c:v>3727</c:v>
                </c:pt>
                <c:pt idx="143">
                  <c:v>67769</c:v>
                </c:pt>
                <c:pt idx="144">
                  <c:v>28214</c:v>
                </c:pt>
                <c:pt idx="145">
                  <c:v>89</c:v>
                </c:pt>
                <c:pt idx="146">
                  <c:v>3738</c:v>
                </c:pt>
                <c:pt idx="147">
                  <c:v>773</c:v>
                </c:pt>
                <c:pt idx="148">
                  <c:v>18</c:v>
                </c:pt>
                <c:pt idx="149">
                  <c:v>107971</c:v>
                </c:pt>
                <c:pt idx="150">
                  <c:v>532</c:v>
                </c:pt>
                <c:pt idx="151">
                  <c:v>187</c:v>
                </c:pt>
                <c:pt idx="152">
                  <c:v>7156</c:v>
                </c:pt>
                <c:pt idx="154">
                  <c:v>6</c:v>
                </c:pt>
                <c:pt idx="156">
                  <c:v>25</c:v>
                </c:pt>
                <c:pt idx="157">
                  <c:v>3985</c:v>
                </c:pt>
                <c:pt idx="159">
                  <c:v>1333406</c:v>
                </c:pt>
                <c:pt idx="162">
                  <c:v>11984</c:v>
                </c:pt>
                <c:pt idx="163">
                  <c:v>533</c:v>
                </c:pt>
                <c:pt idx="164">
                  <c:v>1000</c:v>
                </c:pt>
                <c:pt idx="166">
                  <c:v>3627</c:v>
                </c:pt>
                <c:pt idx="167">
                  <c:v>3249</c:v>
                </c:pt>
                <c:pt idx="168">
                  <c:v>3164</c:v>
                </c:pt>
                <c:pt idx="171">
                  <c:v>917</c:v>
                </c:pt>
                <c:pt idx="172">
                  <c:v>4518226</c:v>
                </c:pt>
                <c:pt idx="173">
                  <c:v>119</c:v>
                </c:pt>
                <c:pt idx="174">
                  <c:v>4449</c:v>
                </c:pt>
                <c:pt idx="175">
                  <c:v>474395</c:v>
                </c:pt>
                <c:pt idx="176">
                  <c:v>7094</c:v>
                </c:pt>
                <c:pt idx="177">
                  <c:v>134</c:v>
                </c:pt>
                <c:pt idx="178">
                  <c:v>1142</c:v>
                </c:pt>
                <c:pt idx="182">
                  <c:v>593850</c:v>
                </c:pt>
                <c:pt idx="183">
                  <c:v>726</c:v>
                </c:pt>
                <c:pt idx="184">
                  <c:v>15124</c:v>
                </c:pt>
                <c:pt idx="187">
                  <c:v>7129</c:v>
                </c:pt>
                <c:pt idx="188">
                  <c:v>389</c:v>
                </c:pt>
                <c:pt idx="189">
                  <c:v>9243</c:v>
                </c:pt>
                <c:pt idx="190">
                  <c:v>65868</c:v>
                </c:pt>
                <c:pt idx="191">
                  <c:v>38440</c:v>
                </c:pt>
                <c:pt idx="193">
                  <c:v>804915</c:v>
                </c:pt>
                <c:pt idx="194">
                  <c:v>346078</c:v>
                </c:pt>
                <c:pt idx="196">
                  <c:v>221</c:v>
                </c:pt>
                <c:pt idx="198">
                  <c:v>50807</c:v>
                </c:pt>
                <c:pt idx="199">
                  <c:v>560874</c:v>
                </c:pt>
                <c:pt idx="200">
                  <c:v>1495</c:v>
                </c:pt>
                <c:pt idx="202">
                  <c:v>51</c:v>
                </c:pt>
                <c:pt idx="203">
                  <c:v>41</c:v>
                </c:pt>
                <c:pt idx="205">
                  <c:v>4</c:v>
                </c:pt>
                <c:pt idx="206">
                  <c:v>8225</c:v>
                </c:pt>
                <c:pt idx="207">
                  <c:v>1763</c:v>
                </c:pt>
                <c:pt idx="208">
                  <c:v>1069</c:v>
                </c:pt>
                <c:pt idx="209">
                  <c:v>15931</c:v>
                </c:pt>
                <c:pt idx="210">
                  <c:v>672</c:v>
                </c:pt>
                <c:pt idx="211">
                  <c:v>20207</c:v>
                </c:pt>
                <c:pt idx="212">
                  <c:v>264</c:v>
                </c:pt>
                <c:pt idx="213">
                  <c:v>277</c:v>
                </c:pt>
                <c:pt idx="214">
                  <c:v>484825</c:v>
                </c:pt>
                <c:pt idx="215">
                  <c:v>89592</c:v>
                </c:pt>
                <c:pt idx="216">
                  <c:v>45491</c:v>
                </c:pt>
                <c:pt idx="217">
                  <c:v>398</c:v>
                </c:pt>
                <c:pt idx="218">
                  <c:v>4</c:v>
                </c:pt>
                <c:pt idx="219">
                  <c:v>288633</c:v>
                </c:pt>
                <c:pt idx="221">
                  <c:v>1056950</c:v>
                </c:pt>
                <c:pt idx="223">
                  <c:v>1882</c:v>
                </c:pt>
                <c:pt idx="225">
                  <c:v>18</c:v>
                </c:pt>
                <c:pt idx="227">
                  <c:v>1401</c:v>
                </c:pt>
                <c:pt idx="228">
                  <c:v>945221</c:v>
                </c:pt>
                <c:pt idx="229">
                  <c:v>667275</c:v>
                </c:pt>
                <c:pt idx="230">
                  <c:v>11</c:v>
                </c:pt>
                <c:pt idx="231">
                  <c:v>2777085</c:v>
                </c:pt>
                <c:pt idx="232">
                  <c:v>69</c:v>
                </c:pt>
                <c:pt idx="233">
                  <c:v>5534</c:v>
                </c:pt>
                <c:pt idx="234">
                  <c:v>103700</c:v>
                </c:pt>
                <c:pt idx="235">
                  <c:v>82</c:v>
                </c:pt>
                <c:pt idx="237">
                  <c:v>18906</c:v>
                </c:pt>
                <c:pt idx="238">
                  <c:v>8003</c:v>
                </c:pt>
                <c:pt idx="240">
                  <c:v>281</c:v>
                </c:pt>
                <c:pt idx="241">
                  <c:v>355215</c:v>
                </c:pt>
                <c:pt idx="242">
                  <c:v>524</c:v>
                </c:pt>
                <c:pt idx="245">
                  <c:v>2692</c:v>
                </c:pt>
                <c:pt idx="246">
                  <c:v>94345</c:v>
                </c:pt>
                <c:pt idx="247">
                  <c:v>56283</c:v>
                </c:pt>
                <c:pt idx="248">
                  <c:v>3398708</c:v>
                </c:pt>
                <c:pt idx="249">
                  <c:v>115311958</c:v>
                </c:pt>
                <c:pt idx="250">
                  <c:v>87630</c:v>
                </c:pt>
                <c:pt idx="251">
                  <c:v>1040</c:v>
                </c:pt>
                <c:pt idx="252">
                  <c:v>512</c:v>
                </c:pt>
                <c:pt idx="253">
                  <c:v>35301</c:v>
                </c:pt>
                <c:pt idx="254">
                  <c:v>340</c:v>
                </c:pt>
                <c:pt idx="260">
                  <c:v>138</c:v>
                </c:pt>
                <c:pt idx="261">
                  <c:v>1880</c:v>
                </c:pt>
                <c:pt idx="262">
                  <c:v>4501</c:v>
                </c:pt>
              </c:numCache>
            </c:numRef>
          </c:val>
          <c:extLst>
            <c:ext xmlns:c16="http://schemas.microsoft.com/office/drawing/2014/chart" uri="{C3380CC4-5D6E-409C-BE32-E72D297353CC}">
              <c16:uniqueId val="{0000020E-C6DF-49D7-9716-6AA9AF5DF068}"/>
            </c:ext>
          </c:extLst>
        </c:ser>
        <c:ser>
          <c:idx val="1"/>
          <c:order val="1"/>
          <c:tx>
            <c:strRef>
              <c:f>'Analysis and visual 4'!$C$1</c:f>
              <c:strCache>
                <c:ptCount val="1"/>
                <c:pt idx="0">
                  <c:v>Sum of Internet users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210-C6DF-49D7-9716-6AA9AF5DF0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212-C6DF-49D7-9716-6AA9AF5DF06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214-C6DF-49D7-9716-6AA9AF5DF06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216-C6DF-49D7-9716-6AA9AF5DF06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218-C6DF-49D7-9716-6AA9AF5DF06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21A-C6DF-49D7-9716-6AA9AF5DF06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1C-C6DF-49D7-9716-6AA9AF5DF06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1E-C6DF-49D7-9716-6AA9AF5DF06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20-C6DF-49D7-9716-6AA9AF5DF06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22-C6DF-49D7-9716-6AA9AF5DF06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24-C6DF-49D7-9716-6AA9AF5DF06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26-C6DF-49D7-9716-6AA9AF5DF06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28-C6DF-49D7-9716-6AA9AF5DF06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2A-C6DF-49D7-9716-6AA9AF5DF06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2C-C6DF-49D7-9716-6AA9AF5DF06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2E-C6DF-49D7-9716-6AA9AF5DF068}"/>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30-C6DF-49D7-9716-6AA9AF5DF068}"/>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32-C6DF-49D7-9716-6AA9AF5DF068}"/>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34-C6DF-49D7-9716-6AA9AF5DF068}"/>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36-C6DF-49D7-9716-6AA9AF5DF068}"/>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38-C6DF-49D7-9716-6AA9AF5DF068}"/>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3A-C6DF-49D7-9716-6AA9AF5DF068}"/>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3C-C6DF-49D7-9716-6AA9AF5DF068}"/>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3E-C6DF-49D7-9716-6AA9AF5DF068}"/>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40-C6DF-49D7-9716-6AA9AF5DF068}"/>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42-C6DF-49D7-9716-6AA9AF5DF068}"/>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44-C6DF-49D7-9716-6AA9AF5DF068}"/>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46-C6DF-49D7-9716-6AA9AF5DF068}"/>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48-C6DF-49D7-9716-6AA9AF5DF068}"/>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4A-C6DF-49D7-9716-6AA9AF5DF068}"/>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4C-C6DF-49D7-9716-6AA9AF5DF068}"/>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4E-C6DF-49D7-9716-6AA9AF5DF068}"/>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50-C6DF-49D7-9716-6AA9AF5DF068}"/>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52-C6DF-49D7-9716-6AA9AF5DF068}"/>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54-C6DF-49D7-9716-6AA9AF5DF068}"/>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56-C6DF-49D7-9716-6AA9AF5DF068}"/>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58-C6DF-49D7-9716-6AA9AF5DF068}"/>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5A-C6DF-49D7-9716-6AA9AF5DF068}"/>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5C-C6DF-49D7-9716-6AA9AF5DF068}"/>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5E-C6DF-49D7-9716-6AA9AF5DF068}"/>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60-C6DF-49D7-9716-6AA9AF5DF068}"/>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62-C6DF-49D7-9716-6AA9AF5DF068}"/>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64-C6DF-49D7-9716-6AA9AF5DF068}"/>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66-C6DF-49D7-9716-6AA9AF5DF068}"/>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68-C6DF-49D7-9716-6AA9AF5DF068}"/>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6A-C6DF-49D7-9716-6AA9AF5DF068}"/>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6C-C6DF-49D7-9716-6AA9AF5DF068}"/>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6E-C6DF-49D7-9716-6AA9AF5DF068}"/>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70-C6DF-49D7-9716-6AA9AF5DF068}"/>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72-C6DF-49D7-9716-6AA9AF5DF068}"/>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74-C6DF-49D7-9716-6AA9AF5DF068}"/>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76-C6DF-49D7-9716-6AA9AF5DF068}"/>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78-C6DF-49D7-9716-6AA9AF5DF068}"/>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7A-C6DF-49D7-9716-6AA9AF5DF068}"/>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27C-C6DF-49D7-9716-6AA9AF5DF068}"/>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27E-C6DF-49D7-9716-6AA9AF5DF068}"/>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280-C6DF-49D7-9716-6AA9AF5DF068}"/>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282-C6DF-49D7-9716-6AA9AF5DF068}"/>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284-C6DF-49D7-9716-6AA9AF5DF068}"/>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286-C6DF-49D7-9716-6AA9AF5DF068}"/>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88-C6DF-49D7-9716-6AA9AF5DF068}"/>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8A-C6DF-49D7-9716-6AA9AF5DF068}"/>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8C-C6DF-49D7-9716-6AA9AF5DF068}"/>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8E-C6DF-49D7-9716-6AA9AF5DF068}"/>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90-C6DF-49D7-9716-6AA9AF5DF068}"/>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92-C6DF-49D7-9716-6AA9AF5DF068}"/>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94-C6DF-49D7-9716-6AA9AF5DF068}"/>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296-C6DF-49D7-9716-6AA9AF5DF068}"/>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98-C6DF-49D7-9716-6AA9AF5DF068}"/>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29A-C6DF-49D7-9716-6AA9AF5DF068}"/>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9C-C6DF-49D7-9716-6AA9AF5DF068}"/>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29E-C6DF-49D7-9716-6AA9AF5DF068}"/>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A0-C6DF-49D7-9716-6AA9AF5DF068}"/>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2A2-C6DF-49D7-9716-6AA9AF5DF068}"/>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A4-C6DF-49D7-9716-6AA9AF5DF068}"/>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2A6-C6DF-49D7-9716-6AA9AF5DF068}"/>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A8-C6DF-49D7-9716-6AA9AF5DF068}"/>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2AA-C6DF-49D7-9716-6AA9AF5DF068}"/>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AC-C6DF-49D7-9716-6AA9AF5DF068}"/>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2AE-C6DF-49D7-9716-6AA9AF5DF068}"/>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B0-C6DF-49D7-9716-6AA9AF5DF068}"/>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2B2-C6DF-49D7-9716-6AA9AF5DF068}"/>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B4-C6DF-49D7-9716-6AA9AF5DF068}"/>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2B6-C6DF-49D7-9716-6AA9AF5DF068}"/>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B8-C6DF-49D7-9716-6AA9AF5DF068}"/>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2BA-C6DF-49D7-9716-6AA9AF5DF068}"/>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BC-C6DF-49D7-9716-6AA9AF5DF068}"/>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2BE-C6DF-49D7-9716-6AA9AF5DF068}"/>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C0-C6DF-49D7-9716-6AA9AF5DF068}"/>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2C2-C6DF-49D7-9716-6AA9AF5DF068}"/>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C4-C6DF-49D7-9716-6AA9AF5DF068}"/>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2C6-C6DF-49D7-9716-6AA9AF5DF068}"/>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C8-C6DF-49D7-9716-6AA9AF5DF068}"/>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2CA-C6DF-49D7-9716-6AA9AF5DF068}"/>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CC-C6DF-49D7-9716-6AA9AF5DF068}"/>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2CE-C6DF-49D7-9716-6AA9AF5DF068}"/>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D0-C6DF-49D7-9716-6AA9AF5DF068}"/>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2D2-C6DF-49D7-9716-6AA9AF5DF068}"/>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D4-C6DF-49D7-9716-6AA9AF5DF068}"/>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2D6-C6DF-49D7-9716-6AA9AF5DF068}"/>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D8-C6DF-49D7-9716-6AA9AF5DF068}"/>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2DA-C6DF-49D7-9716-6AA9AF5DF068}"/>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DC-C6DF-49D7-9716-6AA9AF5DF068}"/>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2DE-C6DF-49D7-9716-6AA9AF5DF068}"/>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E0-C6DF-49D7-9716-6AA9AF5DF068}"/>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2E2-C6DF-49D7-9716-6AA9AF5DF068}"/>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E4-C6DF-49D7-9716-6AA9AF5DF068}"/>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2E6-C6DF-49D7-9716-6AA9AF5DF068}"/>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2E8-C6DF-49D7-9716-6AA9AF5DF068}"/>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2EA-C6DF-49D7-9716-6AA9AF5DF068}"/>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2EC-C6DF-49D7-9716-6AA9AF5DF068}"/>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2EE-C6DF-49D7-9716-6AA9AF5DF068}"/>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2F0-C6DF-49D7-9716-6AA9AF5DF068}"/>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2F2-C6DF-49D7-9716-6AA9AF5DF068}"/>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F4-C6DF-49D7-9716-6AA9AF5DF068}"/>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2F6-C6DF-49D7-9716-6AA9AF5DF068}"/>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F8-C6DF-49D7-9716-6AA9AF5DF068}"/>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2FA-C6DF-49D7-9716-6AA9AF5DF068}"/>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FC-C6DF-49D7-9716-6AA9AF5DF068}"/>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2FE-C6DF-49D7-9716-6AA9AF5DF068}"/>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00-C6DF-49D7-9716-6AA9AF5DF068}"/>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02-C6DF-49D7-9716-6AA9AF5DF068}"/>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04-C6DF-49D7-9716-6AA9AF5DF068}"/>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06-C6DF-49D7-9716-6AA9AF5DF068}"/>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08-C6DF-49D7-9716-6AA9AF5DF068}"/>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0A-C6DF-49D7-9716-6AA9AF5DF068}"/>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0C-C6DF-49D7-9716-6AA9AF5DF068}"/>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0E-C6DF-49D7-9716-6AA9AF5DF068}"/>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10-C6DF-49D7-9716-6AA9AF5DF068}"/>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12-C6DF-49D7-9716-6AA9AF5DF068}"/>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14-C6DF-49D7-9716-6AA9AF5DF068}"/>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16-C6DF-49D7-9716-6AA9AF5DF068}"/>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18-C6DF-49D7-9716-6AA9AF5DF068}"/>
              </c:ext>
            </c:extLst>
          </c:dPt>
          <c:dPt>
            <c:idx val="13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1A-C6DF-49D7-9716-6AA9AF5DF068}"/>
              </c:ext>
            </c:extLst>
          </c:dPt>
          <c:dPt>
            <c:idx val="1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1C-C6DF-49D7-9716-6AA9AF5DF068}"/>
              </c:ext>
            </c:extLst>
          </c:dPt>
          <c:dPt>
            <c:idx val="13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1E-C6DF-49D7-9716-6AA9AF5DF068}"/>
              </c:ext>
            </c:extLst>
          </c:dPt>
          <c:dPt>
            <c:idx val="13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20-C6DF-49D7-9716-6AA9AF5DF068}"/>
              </c:ext>
            </c:extLst>
          </c:dPt>
          <c:dPt>
            <c:idx val="137"/>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22-C6DF-49D7-9716-6AA9AF5DF068}"/>
              </c:ext>
            </c:extLst>
          </c:dPt>
          <c:dPt>
            <c:idx val="13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24-C6DF-49D7-9716-6AA9AF5DF068}"/>
              </c:ext>
            </c:extLst>
          </c:dPt>
          <c:dPt>
            <c:idx val="139"/>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26-C6DF-49D7-9716-6AA9AF5DF068}"/>
              </c:ext>
            </c:extLst>
          </c:dPt>
          <c:dPt>
            <c:idx val="1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28-C6DF-49D7-9716-6AA9AF5DF068}"/>
              </c:ext>
            </c:extLst>
          </c:dPt>
          <c:dPt>
            <c:idx val="141"/>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2A-C6DF-49D7-9716-6AA9AF5DF068}"/>
              </c:ext>
            </c:extLst>
          </c:dPt>
          <c:dPt>
            <c:idx val="14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2C-C6DF-49D7-9716-6AA9AF5DF068}"/>
              </c:ext>
            </c:extLst>
          </c:dPt>
          <c:dPt>
            <c:idx val="143"/>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2E-C6DF-49D7-9716-6AA9AF5DF068}"/>
              </c:ext>
            </c:extLst>
          </c:dPt>
          <c:dPt>
            <c:idx val="14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30-C6DF-49D7-9716-6AA9AF5DF068}"/>
              </c:ext>
            </c:extLst>
          </c:dPt>
          <c:dPt>
            <c:idx val="145"/>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32-C6DF-49D7-9716-6AA9AF5DF068}"/>
              </c:ext>
            </c:extLst>
          </c:dPt>
          <c:dPt>
            <c:idx val="1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34-C6DF-49D7-9716-6AA9AF5DF068}"/>
              </c:ext>
            </c:extLst>
          </c:dPt>
          <c:dPt>
            <c:idx val="147"/>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36-C6DF-49D7-9716-6AA9AF5DF068}"/>
              </c:ext>
            </c:extLst>
          </c:dPt>
          <c:dPt>
            <c:idx val="14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38-C6DF-49D7-9716-6AA9AF5DF068}"/>
              </c:ext>
            </c:extLst>
          </c:dPt>
          <c:dPt>
            <c:idx val="149"/>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3A-C6DF-49D7-9716-6AA9AF5DF068}"/>
              </c:ext>
            </c:extLst>
          </c:dPt>
          <c:dPt>
            <c:idx val="1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3C-C6DF-49D7-9716-6AA9AF5DF068}"/>
              </c:ext>
            </c:extLst>
          </c:dPt>
          <c:dPt>
            <c:idx val="151"/>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3E-C6DF-49D7-9716-6AA9AF5DF068}"/>
              </c:ext>
            </c:extLst>
          </c:dPt>
          <c:dPt>
            <c:idx val="15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40-C6DF-49D7-9716-6AA9AF5DF068}"/>
              </c:ext>
            </c:extLst>
          </c:dPt>
          <c:dPt>
            <c:idx val="153"/>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342-C6DF-49D7-9716-6AA9AF5DF068}"/>
              </c:ext>
            </c:extLst>
          </c:dPt>
          <c:dPt>
            <c:idx val="15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44-C6DF-49D7-9716-6AA9AF5DF068}"/>
              </c:ext>
            </c:extLst>
          </c:dPt>
          <c:dPt>
            <c:idx val="155"/>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346-C6DF-49D7-9716-6AA9AF5DF068}"/>
              </c:ext>
            </c:extLst>
          </c:dPt>
          <c:dPt>
            <c:idx val="1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48-C6DF-49D7-9716-6AA9AF5DF068}"/>
              </c:ext>
            </c:extLst>
          </c:dPt>
          <c:dPt>
            <c:idx val="157"/>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34A-C6DF-49D7-9716-6AA9AF5DF068}"/>
              </c:ext>
            </c:extLst>
          </c:dPt>
          <c:dPt>
            <c:idx val="15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4C-C6DF-49D7-9716-6AA9AF5DF068}"/>
              </c:ext>
            </c:extLst>
          </c:dPt>
          <c:dPt>
            <c:idx val="159"/>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34E-C6DF-49D7-9716-6AA9AF5DF068}"/>
              </c:ext>
            </c:extLst>
          </c:dPt>
          <c:dPt>
            <c:idx val="16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50-C6DF-49D7-9716-6AA9AF5DF068}"/>
              </c:ext>
            </c:extLst>
          </c:dPt>
          <c:dPt>
            <c:idx val="161"/>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352-C6DF-49D7-9716-6AA9AF5DF068}"/>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354-C6DF-49D7-9716-6AA9AF5DF068}"/>
              </c:ext>
            </c:extLst>
          </c:dPt>
          <c:dPt>
            <c:idx val="163"/>
            <c:bubble3D val="0"/>
            <c:spPr>
              <a:solidFill>
                <a:schemeClr val="accent2"/>
              </a:solidFill>
              <a:ln w="19050">
                <a:solidFill>
                  <a:schemeClr val="lt1"/>
                </a:solidFill>
              </a:ln>
              <a:effectLst/>
            </c:spPr>
            <c:extLst>
              <c:ext xmlns:c16="http://schemas.microsoft.com/office/drawing/2014/chart" uri="{C3380CC4-5D6E-409C-BE32-E72D297353CC}">
                <c16:uniqueId val="{00000356-C6DF-49D7-9716-6AA9AF5DF068}"/>
              </c:ext>
            </c:extLst>
          </c:dPt>
          <c:dPt>
            <c:idx val="164"/>
            <c:bubble3D val="0"/>
            <c:spPr>
              <a:solidFill>
                <a:schemeClr val="accent3"/>
              </a:solidFill>
              <a:ln w="19050">
                <a:solidFill>
                  <a:schemeClr val="lt1"/>
                </a:solidFill>
              </a:ln>
              <a:effectLst/>
            </c:spPr>
            <c:extLst>
              <c:ext xmlns:c16="http://schemas.microsoft.com/office/drawing/2014/chart" uri="{C3380CC4-5D6E-409C-BE32-E72D297353CC}">
                <c16:uniqueId val="{00000358-C6DF-49D7-9716-6AA9AF5DF068}"/>
              </c:ext>
            </c:extLst>
          </c:dPt>
          <c:dPt>
            <c:idx val="165"/>
            <c:bubble3D val="0"/>
            <c:spPr>
              <a:solidFill>
                <a:schemeClr val="accent4"/>
              </a:solidFill>
              <a:ln w="19050">
                <a:solidFill>
                  <a:schemeClr val="lt1"/>
                </a:solidFill>
              </a:ln>
              <a:effectLst/>
            </c:spPr>
            <c:extLst>
              <c:ext xmlns:c16="http://schemas.microsoft.com/office/drawing/2014/chart" uri="{C3380CC4-5D6E-409C-BE32-E72D297353CC}">
                <c16:uniqueId val="{0000035A-C6DF-49D7-9716-6AA9AF5DF068}"/>
              </c:ext>
            </c:extLst>
          </c:dPt>
          <c:dPt>
            <c:idx val="166"/>
            <c:bubble3D val="0"/>
            <c:spPr>
              <a:solidFill>
                <a:schemeClr val="accent5"/>
              </a:solidFill>
              <a:ln w="19050">
                <a:solidFill>
                  <a:schemeClr val="lt1"/>
                </a:solidFill>
              </a:ln>
              <a:effectLst/>
            </c:spPr>
            <c:extLst>
              <c:ext xmlns:c16="http://schemas.microsoft.com/office/drawing/2014/chart" uri="{C3380CC4-5D6E-409C-BE32-E72D297353CC}">
                <c16:uniqueId val="{0000035C-C6DF-49D7-9716-6AA9AF5DF068}"/>
              </c:ext>
            </c:extLst>
          </c:dPt>
          <c:dPt>
            <c:idx val="167"/>
            <c:bubble3D val="0"/>
            <c:spPr>
              <a:solidFill>
                <a:schemeClr val="accent6"/>
              </a:solidFill>
              <a:ln w="19050">
                <a:solidFill>
                  <a:schemeClr val="lt1"/>
                </a:solidFill>
              </a:ln>
              <a:effectLst/>
            </c:spPr>
            <c:extLst>
              <c:ext xmlns:c16="http://schemas.microsoft.com/office/drawing/2014/chart" uri="{C3380CC4-5D6E-409C-BE32-E72D297353CC}">
                <c16:uniqueId val="{0000035E-C6DF-49D7-9716-6AA9AF5DF068}"/>
              </c:ext>
            </c:extLst>
          </c:dPt>
          <c:dPt>
            <c:idx val="16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60-C6DF-49D7-9716-6AA9AF5DF068}"/>
              </c:ext>
            </c:extLst>
          </c:dPt>
          <c:dPt>
            <c:idx val="169"/>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62-C6DF-49D7-9716-6AA9AF5DF068}"/>
              </c:ext>
            </c:extLst>
          </c:dPt>
          <c:dPt>
            <c:idx val="17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64-C6DF-49D7-9716-6AA9AF5DF068}"/>
              </c:ext>
            </c:extLst>
          </c:dPt>
          <c:dPt>
            <c:idx val="171"/>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66-C6DF-49D7-9716-6AA9AF5DF068}"/>
              </c:ext>
            </c:extLst>
          </c:dPt>
          <c:dPt>
            <c:idx val="1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68-C6DF-49D7-9716-6AA9AF5DF068}"/>
              </c:ext>
            </c:extLst>
          </c:dPt>
          <c:dPt>
            <c:idx val="17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6A-C6DF-49D7-9716-6AA9AF5DF068}"/>
              </c:ext>
            </c:extLst>
          </c:dPt>
          <c:dPt>
            <c:idx val="17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6C-C6DF-49D7-9716-6AA9AF5DF068}"/>
              </c:ext>
            </c:extLst>
          </c:dPt>
          <c:dPt>
            <c:idx val="175"/>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6E-C6DF-49D7-9716-6AA9AF5DF068}"/>
              </c:ext>
            </c:extLst>
          </c:dPt>
          <c:dPt>
            <c:idx val="17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70-C6DF-49D7-9716-6AA9AF5DF068}"/>
              </c:ext>
            </c:extLst>
          </c:dPt>
          <c:dPt>
            <c:idx val="177"/>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72-C6DF-49D7-9716-6AA9AF5DF068}"/>
              </c:ext>
            </c:extLst>
          </c:dPt>
          <c:dPt>
            <c:idx val="1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74-C6DF-49D7-9716-6AA9AF5DF068}"/>
              </c:ext>
            </c:extLst>
          </c:dPt>
          <c:dPt>
            <c:idx val="179"/>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76-C6DF-49D7-9716-6AA9AF5DF068}"/>
              </c:ext>
            </c:extLst>
          </c:dPt>
          <c:dPt>
            <c:idx val="18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78-C6DF-49D7-9716-6AA9AF5DF068}"/>
              </c:ext>
            </c:extLst>
          </c:dPt>
          <c:dPt>
            <c:idx val="181"/>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7A-C6DF-49D7-9716-6AA9AF5DF068}"/>
              </c:ext>
            </c:extLst>
          </c:dPt>
          <c:dPt>
            <c:idx val="18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7C-C6DF-49D7-9716-6AA9AF5DF068}"/>
              </c:ext>
            </c:extLst>
          </c:dPt>
          <c:dPt>
            <c:idx val="183"/>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7E-C6DF-49D7-9716-6AA9AF5DF068}"/>
              </c:ext>
            </c:extLst>
          </c:dPt>
          <c:dPt>
            <c:idx val="18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80-C6DF-49D7-9716-6AA9AF5DF068}"/>
              </c:ext>
            </c:extLst>
          </c:dPt>
          <c:dPt>
            <c:idx val="185"/>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82-C6DF-49D7-9716-6AA9AF5DF068}"/>
              </c:ext>
            </c:extLst>
          </c:dPt>
          <c:dPt>
            <c:idx val="18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84-C6DF-49D7-9716-6AA9AF5DF068}"/>
              </c:ext>
            </c:extLst>
          </c:dPt>
          <c:dPt>
            <c:idx val="187"/>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86-C6DF-49D7-9716-6AA9AF5DF068}"/>
              </c:ext>
            </c:extLst>
          </c:dPt>
          <c:dPt>
            <c:idx val="1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88-C6DF-49D7-9716-6AA9AF5DF068}"/>
              </c:ext>
            </c:extLst>
          </c:dPt>
          <c:dPt>
            <c:idx val="18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8A-C6DF-49D7-9716-6AA9AF5DF068}"/>
              </c:ext>
            </c:extLst>
          </c:dPt>
          <c:dPt>
            <c:idx val="19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8C-C6DF-49D7-9716-6AA9AF5DF068}"/>
              </c:ext>
            </c:extLst>
          </c:dPt>
          <c:dPt>
            <c:idx val="19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8E-C6DF-49D7-9716-6AA9AF5DF068}"/>
              </c:ext>
            </c:extLst>
          </c:dPt>
          <c:dPt>
            <c:idx val="19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90-C6DF-49D7-9716-6AA9AF5DF068}"/>
              </c:ext>
            </c:extLst>
          </c:dPt>
          <c:dPt>
            <c:idx val="193"/>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92-C6DF-49D7-9716-6AA9AF5DF068}"/>
              </c:ext>
            </c:extLst>
          </c:dPt>
          <c:dPt>
            <c:idx val="1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94-C6DF-49D7-9716-6AA9AF5DF068}"/>
              </c:ext>
            </c:extLst>
          </c:dPt>
          <c:dPt>
            <c:idx val="195"/>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396-C6DF-49D7-9716-6AA9AF5DF068}"/>
              </c:ext>
            </c:extLst>
          </c:dPt>
          <c:dPt>
            <c:idx val="19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98-C6DF-49D7-9716-6AA9AF5DF068}"/>
              </c:ext>
            </c:extLst>
          </c:dPt>
          <c:dPt>
            <c:idx val="197"/>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39A-C6DF-49D7-9716-6AA9AF5DF068}"/>
              </c:ext>
            </c:extLst>
          </c:dPt>
          <c:dPt>
            <c:idx val="19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9C-C6DF-49D7-9716-6AA9AF5DF068}"/>
              </c:ext>
            </c:extLst>
          </c:dPt>
          <c:dPt>
            <c:idx val="199"/>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39E-C6DF-49D7-9716-6AA9AF5DF068}"/>
              </c:ext>
            </c:extLst>
          </c:dPt>
          <c:dPt>
            <c:idx val="2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A0-C6DF-49D7-9716-6AA9AF5DF068}"/>
              </c:ext>
            </c:extLst>
          </c:dPt>
          <c:dPt>
            <c:idx val="201"/>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3A2-C6DF-49D7-9716-6AA9AF5DF068}"/>
              </c:ext>
            </c:extLst>
          </c:dPt>
          <c:dPt>
            <c:idx val="20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A4-C6DF-49D7-9716-6AA9AF5DF068}"/>
              </c:ext>
            </c:extLst>
          </c:dPt>
          <c:dPt>
            <c:idx val="203"/>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3A6-C6DF-49D7-9716-6AA9AF5DF068}"/>
              </c:ext>
            </c:extLst>
          </c:dPt>
          <c:dPt>
            <c:idx val="2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A8-C6DF-49D7-9716-6AA9AF5DF068}"/>
              </c:ext>
            </c:extLst>
          </c:dPt>
          <c:dPt>
            <c:idx val="205"/>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3AA-C6DF-49D7-9716-6AA9AF5DF068}"/>
              </c:ext>
            </c:extLst>
          </c:dPt>
          <c:dPt>
            <c:idx val="20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AC-C6DF-49D7-9716-6AA9AF5DF068}"/>
              </c:ext>
            </c:extLst>
          </c:dPt>
          <c:dPt>
            <c:idx val="207"/>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3AE-C6DF-49D7-9716-6AA9AF5DF068}"/>
              </c:ext>
            </c:extLst>
          </c:dPt>
          <c:dPt>
            <c:idx val="20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B0-C6DF-49D7-9716-6AA9AF5DF068}"/>
              </c:ext>
            </c:extLst>
          </c:dPt>
          <c:dPt>
            <c:idx val="209"/>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3B2-C6DF-49D7-9716-6AA9AF5DF068}"/>
              </c:ext>
            </c:extLst>
          </c:dPt>
          <c:dPt>
            <c:idx val="2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B4-C6DF-49D7-9716-6AA9AF5DF068}"/>
              </c:ext>
            </c:extLst>
          </c:dPt>
          <c:dPt>
            <c:idx val="211"/>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3B6-C6DF-49D7-9716-6AA9AF5DF068}"/>
              </c:ext>
            </c:extLst>
          </c:dPt>
          <c:dPt>
            <c:idx val="21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B8-C6DF-49D7-9716-6AA9AF5DF068}"/>
              </c:ext>
            </c:extLst>
          </c:dPt>
          <c:dPt>
            <c:idx val="213"/>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3BA-C6DF-49D7-9716-6AA9AF5DF068}"/>
              </c:ext>
            </c:extLst>
          </c:dPt>
          <c:dPt>
            <c:idx val="21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BC-C6DF-49D7-9716-6AA9AF5DF068}"/>
              </c:ext>
            </c:extLst>
          </c:dPt>
          <c:dPt>
            <c:idx val="215"/>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3BE-C6DF-49D7-9716-6AA9AF5DF068}"/>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3C0-C6DF-49D7-9716-6AA9AF5DF068}"/>
              </c:ext>
            </c:extLst>
          </c:dPt>
          <c:dPt>
            <c:idx val="217"/>
            <c:bubble3D val="0"/>
            <c:spPr>
              <a:solidFill>
                <a:schemeClr val="accent2"/>
              </a:solidFill>
              <a:ln w="19050">
                <a:solidFill>
                  <a:schemeClr val="lt1"/>
                </a:solidFill>
              </a:ln>
              <a:effectLst/>
            </c:spPr>
            <c:extLst>
              <c:ext xmlns:c16="http://schemas.microsoft.com/office/drawing/2014/chart" uri="{C3380CC4-5D6E-409C-BE32-E72D297353CC}">
                <c16:uniqueId val="{000003C2-C6DF-49D7-9716-6AA9AF5DF068}"/>
              </c:ext>
            </c:extLst>
          </c:dPt>
          <c:dPt>
            <c:idx val="218"/>
            <c:bubble3D val="0"/>
            <c:spPr>
              <a:solidFill>
                <a:schemeClr val="accent3"/>
              </a:solidFill>
              <a:ln w="19050">
                <a:solidFill>
                  <a:schemeClr val="lt1"/>
                </a:solidFill>
              </a:ln>
              <a:effectLst/>
            </c:spPr>
            <c:extLst>
              <c:ext xmlns:c16="http://schemas.microsoft.com/office/drawing/2014/chart" uri="{C3380CC4-5D6E-409C-BE32-E72D297353CC}">
                <c16:uniqueId val="{000003C4-C6DF-49D7-9716-6AA9AF5DF068}"/>
              </c:ext>
            </c:extLst>
          </c:dPt>
          <c:dPt>
            <c:idx val="219"/>
            <c:bubble3D val="0"/>
            <c:spPr>
              <a:solidFill>
                <a:schemeClr val="accent4"/>
              </a:solidFill>
              <a:ln w="19050">
                <a:solidFill>
                  <a:schemeClr val="lt1"/>
                </a:solidFill>
              </a:ln>
              <a:effectLst/>
            </c:spPr>
            <c:extLst>
              <c:ext xmlns:c16="http://schemas.microsoft.com/office/drawing/2014/chart" uri="{C3380CC4-5D6E-409C-BE32-E72D297353CC}">
                <c16:uniqueId val="{000003C6-C6DF-49D7-9716-6AA9AF5DF068}"/>
              </c:ext>
            </c:extLst>
          </c:dPt>
          <c:dPt>
            <c:idx val="220"/>
            <c:bubble3D val="0"/>
            <c:spPr>
              <a:solidFill>
                <a:schemeClr val="accent5"/>
              </a:solidFill>
              <a:ln w="19050">
                <a:solidFill>
                  <a:schemeClr val="lt1"/>
                </a:solidFill>
              </a:ln>
              <a:effectLst/>
            </c:spPr>
            <c:extLst>
              <c:ext xmlns:c16="http://schemas.microsoft.com/office/drawing/2014/chart" uri="{C3380CC4-5D6E-409C-BE32-E72D297353CC}">
                <c16:uniqueId val="{000003C8-C6DF-49D7-9716-6AA9AF5DF068}"/>
              </c:ext>
            </c:extLst>
          </c:dPt>
          <c:dPt>
            <c:idx val="221"/>
            <c:bubble3D val="0"/>
            <c:spPr>
              <a:solidFill>
                <a:schemeClr val="accent6"/>
              </a:solidFill>
              <a:ln w="19050">
                <a:solidFill>
                  <a:schemeClr val="lt1"/>
                </a:solidFill>
              </a:ln>
              <a:effectLst/>
            </c:spPr>
            <c:extLst>
              <c:ext xmlns:c16="http://schemas.microsoft.com/office/drawing/2014/chart" uri="{C3380CC4-5D6E-409C-BE32-E72D297353CC}">
                <c16:uniqueId val="{000003CA-C6DF-49D7-9716-6AA9AF5DF068}"/>
              </c:ext>
            </c:extLst>
          </c:dPt>
          <c:dPt>
            <c:idx val="22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CC-C6DF-49D7-9716-6AA9AF5DF068}"/>
              </c:ext>
            </c:extLst>
          </c:dPt>
          <c:dPt>
            <c:idx val="22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3CE-C6DF-49D7-9716-6AA9AF5DF068}"/>
              </c:ext>
            </c:extLst>
          </c:dPt>
          <c:dPt>
            <c:idx val="22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D0-C6DF-49D7-9716-6AA9AF5DF068}"/>
              </c:ext>
            </c:extLst>
          </c:dPt>
          <c:dPt>
            <c:idx val="22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3D2-C6DF-49D7-9716-6AA9AF5DF068}"/>
              </c:ext>
            </c:extLst>
          </c:dPt>
          <c:dPt>
            <c:idx val="2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D4-C6DF-49D7-9716-6AA9AF5DF068}"/>
              </c:ext>
            </c:extLst>
          </c:dPt>
          <c:dPt>
            <c:idx val="227"/>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3D6-C6DF-49D7-9716-6AA9AF5DF068}"/>
              </c:ext>
            </c:extLst>
          </c:dPt>
          <c:dPt>
            <c:idx val="22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D8-C6DF-49D7-9716-6AA9AF5DF068}"/>
              </c:ext>
            </c:extLst>
          </c:dPt>
          <c:dPt>
            <c:idx val="229"/>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3DA-C6DF-49D7-9716-6AA9AF5DF068}"/>
              </c:ext>
            </c:extLst>
          </c:dPt>
          <c:dPt>
            <c:idx val="23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DC-C6DF-49D7-9716-6AA9AF5DF068}"/>
              </c:ext>
            </c:extLst>
          </c:dPt>
          <c:dPt>
            <c:idx val="231"/>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3DE-C6DF-49D7-9716-6AA9AF5DF068}"/>
              </c:ext>
            </c:extLst>
          </c:dPt>
          <c:dPt>
            <c:idx val="2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E0-C6DF-49D7-9716-6AA9AF5DF068}"/>
              </c:ext>
            </c:extLst>
          </c:dPt>
          <c:dPt>
            <c:idx val="233"/>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3E2-C6DF-49D7-9716-6AA9AF5DF068}"/>
              </c:ext>
            </c:extLst>
          </c:dPt>
          <c:dPt>
            <c:idx val="23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E4-C6DF-49D7-9716-6AA9AF5DF068}"/>
              </c:ext>
            </c:extLst>
          </c:dPt>
          <c:dPt>
            <c:idx val="235"/>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3E6-C6DF-49D7-9716-6AA9AF5DF068}"/>
              </c:ext>
            </c:extLst>
          </c:dPt>
          <c:dPt>
            <c:idx val="23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E8-C6DF-49D7-9716-6AA9AF5DF068}"/>
              </c:ext>
            </c:extLst>
          </c:dPt>
          <c:dPt>
            <c:idx val="237"/>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3EA-C6DF-49D7-9716-6AA9AF5DF068}"/>
              </c:ext>
            </c:extLst>
          </c:dPt>
          <c:dPt>
            <c:idx val="2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EC-C6DF-49D7-9716-6AA9AF5DF068}"/>
              </c:ext>
            </c:extLst>
          </c:dPt>
          <c:dPt>
            <c:idx val="23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3EE-C6DF-49D7-9716-6AA9AF5DF068}"/>
              </c:ext>
            </c:extLst>
          </c:dPt>
          <c:dPt>
            <c:idx val="24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F0-C6DF-49D7-9716-6AA9AF5DF068}"/>
              </c:ext>
            </c:extLst>
          </c:dPt>
          <c:dPt>
            <c:idx val="24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3F2-C6DF-49D7-9716-6AA9AF5DF068}"/>
              </c:ext>
            </c:extLst>
          </c:dPt>
          <c:dPt>
            <c:idx val="2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F4-C6DF-49D7-9716-6AA9AF5DF068}"/>
              </c:ext>
            </c:extLst>
          </c:dPt>
          <c:dPt>
            <c:idx val="24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3F6-C6DF-49D7-9716-6AA9AF5DF068}"/>
              </c:ext>
            </c:extLst>
          </c:dPt>
          <c:dPt>
            <c:idx val="24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F8-C6DF-49D7-9716-6AA9AF5DF068}"/>
              </c:ext>
            </c:extLst>
          </c:dPt>
          <c:dPt>
            <c:idx val="245"/>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3FA-C6DF-49D7-9716-6AA9AF5DF068}"/>
              </c:ext>
            </c:extLst>
          </c:dPt>
          <c:dPt>
            <c:idx val="24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FC-C6DF-49D7-9716-6AA9AF5DF068}"/>
              </c:ext>
            </c:extLst>
          </c:dPt>
          <c:dPt>
            <c:idx val="247"/>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3FE-C6DF-49D7-9716-6AA9AF5DF068}"/>
              </c:ext>
            </c:extLst>
          </c:dPt>
          <c:dPt>
            <c:idx val="2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00-C6DF-49D7-9716-6AA9AF5DF068}"/>
              </c:ext>
            </c:extLst>
          </c:dPt>
          <c:dPt>
            <c:idx val="249"/>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402-C6DF-49D7-9716-6AA9AF5DF068}"/>
              </c:ext>
            </c:extLst>
          </c:dPt>
          <c:dPt>
            <c:idx val="25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04-C6DF-49D7-9716-6AA9AF5DF068}"/>
              </c:ext>
            </c:extLst>
          </c:dPt>
          <c:dPt>
            <c:idx val="25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406-C6DF-49D7-9716-6AA9AF5DF068}"/>
              </c:ext>
            </c:extLst>
          </c:dPt>
          <c:dPt>
            <c:idx val="25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08-C6DF-49D7-9716-6AA9AF5DF068}"/>
              </c:ext>
            </c:extLst>
          </c:dPt>
          <c:dPt>
            <c:idx val="253"/>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40A-C6DF-49D7-9716-6AA9AF5DF068}"/>
              </c:ext>
            </c:extLst>
          </c:dPt>
          <c:dPt>
            <c:idx val="2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0C-C6DF-49D7-9716-6AA9AF5DF068}"/>
              </c:ext>
            </c:extLst>
          </c:dPt>
          <c:dPt>
            <c:idx val="255"/>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40E-C6DF-49D7-9716-6AA9AF5DF068}"/>
              </c:ext>
            </c:extLst>
          </c:dPt>
          <c:dPt>
            <c:idx val="25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10-C6DF-49D7-9716-6AA9AF5DF068}"/>
              </c:ext>
            </c:extLst>
          </c:dPt>
          <c:dPt>
            <c:idx val="257"/>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412-C6DF-49D7-9716-6AA9AF5DF068}"/>
              </c:ext>
            </c:extLst>
          </c:dPt>
          <c:dPt>
            <c:idx val="2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14-C6DF-49D7-9716-6AA9AF5DF068}"/>
              </c:ext>
            </c:extLst>
          </c:dPt>
          <c:dPt>
            <c:idx val="259"/>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416-C6DF-49D7-9716-6AA9AF5DF068}"/>
              </c:ext>
            </c:extLst>
          </c:dPt>
          <c:dPt>
            <c:idx val="26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18-C6DF-49D7-9716-6AA9AF5DF068}"/>
              </c:ext>
            </c:extLst>
          </c:dPt>
          <c:dPt>
            <c:idx val="261"/>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41A-C6DF-49D7-9716-6AA9AF5DF068}"/>
              </c:ext>
            </c:extLst>
          </c:dPt>
          <c:dPt>
            <c:idx val="26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1C-C6DF-49D7-9716-6AA9AF5DF068}"/>
              </c:ext>
            </c:extLst>
          </c:dPt>
          <c:cat>
            <c:strRef>
              <c:f>'Analysis and visual 4'!$A$2:$A$265</c:f>
              <c:strCache>
                <c:ptCount val="263"/>
                <c:pt idx="0">
                  <c:v>#European Union</c:v>
                </c:pt>
                <c:pt idx="1">
                  <c:v>Afghanistan</c:v>
                </c:pt>
                <c:pt idx="2">
                  <c:v>Akrotiri</c:v>
                </c:pt>
                <c:pt idx="3">
                  <c:v>Albania</c:v>
                </c:pt>
                <c:pt idx="4">
                  <c:v>Algeria</c:v>
                </c:pt>
                <c:pt idx="5">
                  <c:v>American Samoa</c:v>
                </c:pt>
                <c:pt idx="6">
                  <c:v>Andorra</c:v>
                </c:pt>
                <c:pt idx="7">
                  <c:v>Angola</c:v>
                </c:pt>
                <c:pt idx="8">
                  <c:v>Anguilla</c:v>
                </c:pt>
                <c:pt idx="9">
                  <c:v>Antarctica</c:v>
                </c:pt>
                <c:pt idx="10">
                  <c:v>Antigua and Barbuda</c:v>
                </c:pt>
                <c:pt idx="11">
                  <c:v>Argentina</c:v>
                </c:pt>
                <c:pt idx="12">
                  <c:v>Armenia</c:v>
                </c:pt>
                <c:pt idx="13">
                  <c:v>Aruba</c:v>
                </c:pt>
                <c:pt idx="14">
                  <c:v>Ashmore and Cartier Islands</c:v>
                </c:pt>
                <c:pt idx="15">
                  <c:v>Australia</c:v>
                </c:pt>
                <c:pt idx="16">
                  <c:v>Austria</c:v>
                </c:pt>
                <c:pt idx="17">
                  <c:v>Azerbaijan</c:v>
                </c:pt>
                <c:pt idx="18">
                  <c:v>Bahamas The</c:v>
                </c:pt>
                <c:pt idx="19">
                  <c:v>Bahrain</c:v>
                </c:pt>
                <c:pt idx="20">
                  <c:v>Baker Island</c:v>
                </c:pt>
                <c:pt idx="21">
                  <c:v>Bangladesh</c:v>
                </c:pt>
                <c:pt idx="22">
                  <c:v>Barbados</c:v>
                </c:pt>
                <c:pt idx="23">
                  <c:v>Bassas da India</c:v>
                </c:pt>
                <c:pt idx="24">
                  <c:v>Belarus</c:v>
                </c:pt>
                <c:pt idx="25">
                  <c:v>Belgium</c:v>
                </c:pt>
                <c:pt idx="26">
                  <c:v>Belize</c:v>
                </c:pt>
                <c:pt idx="27">
                  <c:v>Benin</c:v>
                </c:pt>
                <c:pt idx="28">
                  <c:v>Bermuda</c:v>
                </c:pt>
                <c:pt idx="29">
                  <c:v>Bhutan</c:v>
                </c:pt>
                <c:pt idx="30">
                  <c:v>Bolivia</c:v>
                </c:pt>
                <c:pt idx="31">
                  <c:v>Bosnia and Herzegovina</c:v>
                </c:pt>
                <c:pt idx="32">
                  <c:v>Botswana</c:v>
                </c:pt>
                <c:pt idx="33">
                  <c:v>Bouvet Island</c:v>
                </c:pt>
                <c:pt idx="34">
                  <c:v>Brazil</c:v>
                </c:pt>
                <c:pt idx="35">
                  <c:v>British Indian Ocean Territory</c:v>
                </c:pt>
                <c:pt idx="36">
                  <c:v>British Virgin Islands</c:v>
                </c:pt>
                <c:pt idx="37">
                  <c:v>Brunei</c:v>
                </c:pt>
                <c:pt idx="38">
                  <c:v>Bulgaria</c:v>
                </c:pt>
                <c:pt idx="39">
                  <c:v>Burkina Faso</c:v>
                </c:pt>
                <c:pt idx="40">
                  <c:v>Burma</c:v>
                </c:pt>
                <c:pt idx="41">
                  <c:v>Burundi</c:v>
                </c:pt>
                <c:pt idx="42">
                  <c:v>Cambodia</c:v>
                </c:pt>
                <c:pt idx="43">
                  <c:v>Cameroon</c:v>
                </c:pt>
                <c:pt idx="44">
                  <c:v>Canada</c:v>
                </c:pt>
                <c:pt idx="45">
                  <c:v>Cape Verde</c:v>
                </c:pt>
                <c:pt idx="46">
                  <c:v>Cayman Islands</c:v>
                </c:pt>
                <c:pt idx="47">
                  <c:v>Central African Republic</c:v>
                </c:pt>
                <c:pt idx="48">
                  <c:v>Chad</c:v>
                </c:pt>
                <c:pt idx="49">
                  <c:v>Chile</c:v>
                </c:pt>
                <c:pt idx="50">
                  <c:v>China</c:v>
                </c:pt>
                <c:pt idx="51">
                  <c:v>Christmas Island</c:v>
                </c:pt>
                <c:pt idx="52">
                  <c:v>Clipperton Island</c:v>
                </c:pt>
                <c:pt idx="53">
                  <c:v>Cocos (Keeling) Islands</c:v>
                </c:pt>
                <c:pt idx="54">
                  <c:v>Colombia</c:v>
                </c:pt>
                <c:pt idx="55">
                  <c:v>Comoros</c:v>
                </c:pt>
                <c:pt idx="56">
                  <c:v>Congo Democratic Republic of the</c:v>
                </c:pt>
                <c:pt idx="57">
                  <c:v>Congo Republic of the</c:v>
                </c:pt>
                <c:pt idx="58">
                  <c:v>Cook Islands</c:v>
                </c:pt>
                <c:pt idx="59">
                  <c:v>Costa Rica</c:v>
                </c:pt>
                <c:pt idx="60">
                  <c:v>Cote d'Ivoire</c:v>
                </c:pt>
                <c:pt idx="61">
                  <c:v>Croatia</c:v>
                </c:pt>
                <c:pt idx="62">
                  <c:v>Cuba</c:v>
                </c:pt>
                <c:pt idx="63">
                  <c:v>Cyprus</c:v>
                </c:pt>
                <c:pt idx="64">
                  <c:v>Czech Republic</c:v>
                </c:pt>
                <c:pt idx="65">
                  <c:v>Denmark</c:v>
                </c:pt>
                <c:pt idx="66">
                  <c:v>Dhekelia</c:v>
                </c:pt>
                <c:pt idx="67">
                  <c:v>Djibouti</c:v>
                </c:pt>
                <c:pt idx="68">
                  <c:v>Dominica</c:v>
                </c:pt>
                <c:pt idx="69">
                  <c:v>Dominican Republic</c:v>
                </c:pt>
                <c:pt idx="70">
                  <c:v>East Timor</c:v>
                </c:pt>
                <c:pt idx="71">
                  <c:v>Ecuador</c:v>
                </c:pt>
                <c:pt idx="72">
                  <c:v>Egypt</c:v>
                </c:pt>
                <c:pt idx="73">
                  <c:v>El Salvador</c:v>
                </c:pt>
                <c:pt idx="74">
                  <c:v>Equatorial Guinea</c:v>
                </c:pt>
                <c:pt idx="75">
                  <c:v>Eritrea</c:v>
                </c:pt>
                <c:pt idx="76">
                  <c:v>Estonia</c:v>
                </c:pt>
                <c:pt idx="77">
                  <c:v>Ethiopia</c:v>
                </c:pt>
                <c:pt idx="78">
                  <c:v>Europa Island</c:v>
                </c:pt>
                <c:pt idx="79">
                  <c:v>Falkland Islands (Islas Malvinas)</c:v>
                </c:pt>
                <c:pt idx="80">
                  <c:v>Faroe Islands</c:v>
                </c:pt>
                <c:pt idx="81">
                  <c:v>Fiji</c:v>
                </c:pt>
                <c:pt idx="82">
                  <c:v>Finland</c:v>
                </c:pt>
                <c:pt idx="83">
                  <c:v>France</c:v>
                </c:pt>
                <c:pt idx="84">
                  <c:v>French Guiana</c:v>
                </c:pt>
                <c:pt idx="85">
                  <c:v>French Polynesia</c:v>
                </c:pt>
                <c:pt idx="86">
                  <c:v>French Southern and Antarctic Lands</c:v>
                </c:pt>
                <c:pt idx="87">
                  <c:v>Gabon</c:v>
                </c:pt>
                <c:pt idx="88">
                  <c:v>Gambia The</c:v>
                </c:pt>
                <c:pt idx="89">
                  <c:v>Gaza Strip</c:v>
                </c:pt>
                <c:pt idx="90">
                  <c:v>Georgia</c:v>
                </c:pt>
                <c:pt idx="91">
                  <c:v>Germany</c:v>
                </c:pt>
                <c:pt idx="92">
                  <c:v>Ghana</c:v>
                </c:pt>
                <c:pt idx="93">
                  <c:v>Gibraltar</c:v>
                </c:pt>
                <c:pt idx="94">
                  <c:v>Glorioso Islands</c:v>
                </c:pt>
                <c:pt idx="95">
                  <c:v>Greece</c:v>
                </c:pt>
                <c:pt idx="96">
                  <c:v>Greenland</c:v>
                </c:pt>
                <c:pt idx="97">
                  <c:v>Grenada</c:v>
                </c:pt>
                <c:pt idx="98">
                  <c:v>Guadeloupe</c:v>
                </c:pt>
                <c:pt idx="99">
                  <c:v>Guam</c:v>
                </c:pt>
                <c:pt idx="100">
                  <c:v>Guatemala</c:v>
                </c:pt>
                <c:pt idx="101">
                  <c:v>Guernsey</c:v>
                </c:pt>
                <c:pt idx="102">
                  <c:v>Guinea</c:v>
                </c:pt>
                <c:pt idx="103">
                  <c:v>Guinea-Bissau</c:v>
                </c:pt>
                <c:pt idx="104">
                  <c:v>Guyana</c:v>
                </c:pt>
                <c:pt idx="105">
                  <c:v>Haiti</c:v>
                </c:pt>
                <c:pt idx="106">
                  <c:v>Heard Island and McDonald Islands</c:v>
                </c:pt>
                <c:pt idx="107">
                  <c:v>Holy See (Vatican City)</c:v>
                </c:pt>
                <c:pt idx="108">
                  <c:v>Honduras</c:v>
                </c:pt>
                <c:pt idx="109">
                  <c:v>Hong Kong</c:v>
                </c:pt>
                <c:pt idx="110">
                  <c:v>Howland Island</c:v>
                </c:pt>
                <c:pt idx="111">
                  <c:v>Hungary</c:v>
                </c:pt>
                <c:pt idx="112">
                  <c:v>Iceland</c:v>
                </c:pt>
                <c:pt idx="113">
                  <c:v>India</c:v>
                </c:pt>
                <c:pt idx="114">
                  <c:v>Indonesia</c:v>
                </c:pt>
                <c:pt idx="115">
                  <c:v>Iran</c:v>
                </c:pt>
                <c:pt idx="116">
                  <c:v>Iraq</c:v>
                </c:pt>
                <c:pt idx="117">
                  <c:v>Ireland</c:v>
                </c:pt>
                <c:pt idx="118">
                  <c:v>Israel</c:v>
                </c:pt>
                <c:pt idx="119">
                  <c:v>Italy</c:v>
                </c:pt>
                <c:pt idx="120">
                  <c:v>Jamaica</c:v>
                </c:pt>
                <c:pt idx="121">
                  <c:v>Jan Mayen</c:v>
                </c:pt>
                <c:pt idx="122">
                  <c:v>Japan</c:v>
                </c:pt>
                <c:pt idx="123">
                  <c:v>Jarvis Island</c:v>
                </c:pt>
                <c:pt idx="124">
                  <c:v>Jersey</c:v>
                </c:pt>
                <c:pt idx="125">
                  <c:v>Johnston Atoll</c:v>
                </c:pt>
                <c:pt idx="126">
                  <c:v>Jordan</c:v>
                </c:pt>
                <c:pt idx="127">
                  <c:v>Juan de Nova Island</c:v>
                </c:pt>
                <c:pt idx="128">
                  <c:v>Kazakhstan</c:v>
                </c:pt>
                <c:pt idx="129">
                  <c:v>Kenya</c:v>
                </c:pt>
                <c:pt idx="130">
                  <c:v>Kingman Reef</c:v>
                </c:pt>
                <c:pt idx="131">
                  <c:v>Kiribati</c:v>
                </c:pt>
                <c:pt idx="132">
                  <c:v>Korea North</c:v>
                </c:pt>
                <c:pt idx="133">
                  <c:v>Korea South</c:v>
                </c:pt>
                <c:pt idx="134">
                  <c:v>Kuwait</c:v>
                </c:pt>
                <c:pt idx="135">
                  <c:v>Kyrgyzstan</c:v>
                </c:pt>
                <c:pt idx="136">
                  <c:v>Laos</c:v>
                </c:pt>
                <c:pt idx="137">
                  <c:v>Latvia</c:v>
                </c:pt>
                <c:pt idx="138">
                  <c:v>Lebanon</c:v>
                </c:pt>
                <c:pt idx="139">
                  <c:v>Lesotho</c:v>
                </c:pt>
                <c:pt idx="140">
                  <c:v>Liberia</c:v>
                </c:pt>
                <c:pt idx="141">
                  <c:v>Libya</c:v>
                </c:pt>
                <c:pt idx="142">
                  <c:v>Liechtenstein</c:v>
                </c:pt>
                <c:pt idx="143">
                  <c:v>Lithuania</c:v>
                </c:pt>
                <c:pt idx="144">
                  <c:v>Luxembourg</c:v>
                </c:pt>
                <c:pt idx="145">
                  <c:v>Macau</c:v>
                </c:pt>
                <c:pt idx="146">
                  <c:v>Macedonia</c:v>
                </c:pt>
                <c:pt idx="147">
                  <c:v>Madagascar</c:v>
                </c:pt>
                <c:pt idx="148">
                  <c:v>Malawi</c:v>
                </c:pt>
                <c:pt idx="149">
                  <c:v>Malaysia</c:v>
                </c:pt>
                <c:pt idx="150">
                  <c:v>Maldives</c:v>
                </c:pt>
                <c:pt idx="151">
                  <c:v>Mali</c:v>
                </c:pt>
                <c:pt idx="152">
                  <c:v>Malta</c:v>
                </c:pt>
                <c:pt idx="153">
                  <c:v>Man Isle of</c:v>
                </c:pt>
                <c:pt idx="154">
                  <c:v>Marshall Islands</c:v>
                </c:pt>
                <c:pt idx="155">
                  <c:v>Martinique</c:v>
                </c:pt>
                <c:pt idx="156">
                  <c:v>Mauritania</c:v>
                </c:pt>
                <c:pt idx="157">
                  <c:v>Mauritius</c:v>
                </c:pt>
                <c:pt idx="158">
                  <c:v>Mayotte</c:v>
                </c:pt>
                <c:pt idx="159">
                  <c:v>Mexico</c:v>
                </c:pt>
                <c:pt idx="160">
                  <c:v>Micronesia Federated States of</c:v>
                </c:pt>
                <c:pt idx="161">
                  <c:v>Midway Islands</c:v>
                </c:pt>
                <c:pt idx="162">
                  <c:v>Moldova</c:v>
                </c:pt>
                <c:pt idx="163">
                  <c:v>Monaco</c:v>
                </c:pt>
                <c:pt idx="164">
                  <c:v>Mongolia</c:v>
                </c:pt>
                <c:pt idx="165">
                  <c:v>Montserrat</c:v>
                </c:pt>
                <c:pt idx="166">
                  <c:v>Morocco</c:v>
                </c:pt>
                <c:pt idx="167">
                  <c:v>Mozambique</c:v>
                </c:pt>
                <c:pt idx="168">
                  <c:v>Namibia</c:v>
                </c:pt>
                <c:pt idx="169">
                  <c:v>Nauru</c:v>
                </c:pt>
                <c:pt idx="170">
                  <c:v>Navassa Island</c:v>
                </c:pt>
                <c:pt idx="171">
                  <c:v>Nepal</c:v>
                </c:pt>
                <c:pt idx="172">
                  <c:v>Netherlands</c:v>
                </c:pt>
                <c:pt idx="173">
                  <c:v>Netherlands Antilles</c:v>
                </c:pt>
                <c:pt idx="174">
                  <c:v>New Caledonia</c:v>
                </c:pt>
                <c:pt idx="175">
                  <c:v>New Zealand</c:v>
                </c:pt>
                <c:pt idx="176">
                  <c:v>Nicaragua</c:v>
                </c:pt>
                <c:pt idx="177">
                  <c:v>Niger</c:v>
                </c:pt>
                <c:pt idx="178">
                  <c:v>Nigeria</c:v>
                </c:pt>
                <c:pt idx="179">
                  <c:v>Niue</c:v>
                </c:pt>
                <c:pt idx="180">
                  <c:v>Norfolk Island</c:v>
                </c:pt>
                <c:pt idx="181">
                  <c:v>Northern Mariana Islands</c:v>
                </c:pt>
                <c:pt idx="182">
                  <c:v>Norway</c:v>
                </c:pt>
                <c:pt idx="183">
                  <c:v>Oman</c:v>
                </c:pt>
                <c:pt idx="184">
                  <c:v>Pakistan</c:v>
                </c:pt>
                <c:pt idx="185">
                  <c:v>Palau</c:v>
                </c:pt>
                <c:pt idx="186">
                  <c:v>Palmyra Atoll</c:v>
                </c:pt>
                <c:pt idx="187">
                  <c:v>Panama</c:v>
                </c:pt>
                <c:pt idx="188">
                  <c:v>Papua New Guinea</c:v>
                </c:pt>
                <c:pt idx="189">
                  <c:v>Paraguay</c:v>
                </c:pt>
                <c:pt idx="190">
                  <c:v>Peru</c:v>
                </c:pt>
                <c:pt idx="191">
                  <c:v>Philippines</c:v>
                </c:pt>
                <c:pt idx="192">
                  <c:v>Pitcairn Islands</c:v>
                </c:pt>
                <c:pt idx="193">
                  <c:v>Poland</c:v>
                </c:pt>
                <c:pt idx="194">
                  <c:v>Portugal</c:v>
                </c:pt>
                <c:pt idx="195">
                  <c:v>Puerto Rico</c:v>
                </c:pt>
                <c:pt idx="196">
                  <c:v>Qatar</c:v>
                </c:pt>
                <c:pt idx="197">
                  <c:v>Reunion</c:v>
                </c:pt>
                <c:pt idx="198">
                  <c:v>Romania</c:v>
                </c:pt>
                <c:pt idx="199">
                  <c:v>Russia</c:v>
                </c:pt>
                <c:pt idx="200">
                  <c:v>Rwanda</c:v>
                </c:pt>
                <c:pt idx="201">
                  <c:v>Saint Helena</c:v>
                </c:pt>
                <c:pt idx="202">
                  <c:v>Saint Kitts and Nevis</c:v>
                </c:pt>
                <c:pt idx="203">
                  <c:v>Saint Lucia</c:v>
                </c:pt>
                <c:pt idx="204">
                  <c:v>Saint Pierre and Miquelon</c:v>
                </c:pt>
                <c:pt idx="205">
                  <c:v>Saint Vincent and the Grenadines</c:v>
                </c:pt>
                <c:pt idx="206">
                  <c:v>Samoa</c:v>
                </c:pt>
                <c:pt idx="207">
                  <c:v>San Marino</c:v>
                </c:pt>
                <c:pt idx="208">
                  <c:v>Sao Tome and Principe</c:v>
                </c:pt>
                <c:pt idx="209">
                  <c:v>Saudi Arabia</c:v>
                </c:pt>
                <c:pt idx="210">
                  <c:v>Senegal</c:v>
                </c:pt>
                <c:pt idx="211">
                  <c:v>Serbia and Montenegro</c:v>
                </c:pt>
                <c:pt idx="212">
                  <c:v>Seychelles</c:v>
                </c:pt>
                <c:pt idx="213">
                  <c:v>Sierra Leone</c:v>
                </c:pt>
                <c:pt idx="214">
                  <c:v>Singapore</c:v>
                </c:pt>
                <c:pt idx="215">
                  <c:v>Slovakia</c:v>
                </c:pt>
                <c:pt idx="216">
                  <c:v>Slovenia</c:v>
                </c:pt>
                <c:pt idx="217">
                  <c:v>Solomon Islands</c:v>
                </c:pt>
                <c:pt idx="218">
                  <c:v>Somalia</c:v>
                </c:pt>
                <c:pt idx="219">
                  <c:v>South Africa</c:v>
                </c:pt>
                <c:pt idx="220">
                  <c:v>South Georgia and the South Sandwich Islands</c:v>
                </c:pt>
                <c:pt idx="221">
                  <c:v>Spain</c:v>
                </c:pt>
                <c:pt idx="222">
                  <c:v>Spratly Islands</c:v>
                </c:pt>
                <c:pt idx="223">
                  <c:v>Sri Lanka</c:v>
                </c:pt>
                <c:pt idx="224">
                  <c:v>Sudan</c:v>
                </c:pt>
                <c:pt idx="225">
                  <c:v>Suriname</c:v>
                </c:pt>
                <c:pt idx="226">
                  <c:v>Svalbard</c:v>
                </c:pt>
                <c:pt idx="227">
                  <c:v>Swaziland</c:v>
                </c:pt>
                <c:pt idx="228">
                  <c:v>Sweden</c:v>
                </c:pt>
                <c:pt idx="229">
                  <c:v>Switzerland</c:v>
                </c:pt>
                <c:pt idx="230">
                  <c:v>Syria</c:v>
                </c:pt>
                <c:pt idx="231">
                  <c:v>Taiwan</c:v>
                </c:pt>
                <c:pt idx="232">
                  <c:v>Tajikistan</c:v>
                </c:pt>
                <c:pt idx="233">
                  <c:v>Tanzania</c:v>
                </c:pt>
                <c:pt idx="234">
                  <c:v>Thailand</c:v>
                </c:pt>
                <c:pt idx="235">
                  <c:v>Togo</c:v>
                </c:pt>
                <c:pt idx="236">
                  <c:v>Tokelau</c:v>
                </c:pt>
                <c:pt idx="237">
                  <c:v>Tonga</c:v>
                </c:pt>
                <c:pt idx="238">
                  <c:v>Trinidad and Tobago</c:v>
                </c:pt>
                <c:pt idx="239">
                  <c:v>Tromelin Island</c:v>
                </c:pt>
                <c:pt idx="240">
                  <c:v>Tunisia</c:v>
                </c:pt>
                <c:pt idx="241">
                  <c:v>Turkey</c:v>
                </c:pt>
                <c:pt idx="242">
                  <c:v>Turkmenistan</c:v>
                </c:pt>
                <c:pt idx="243">
                  <c:v>Turks and Caicos Islands</c:v>
                </c:pt>
                <c:pt idx="244">
                  <c:v>Tuvalu</c:v>
                </c:pt>
                <c:pt idx="245">
                  <c:v>Uganda</c:v>
                </c:pt>
                <c:pt idx="246">
                  <c:v>Ukraine</c:v>
                </c:pt>
                <c:pt idx="247">
                  <c:v>United Arab Emirates</c:v>
                </c:pt>
                <c:pt idx="248">
                  <c:v>United Kingdom</c:v>
                </c:pt>
                <c:pt idx="249">
                  <c:v>United States</c:v>
                </c:pt>
                <c:pt idx="250">
                  <c:v>Uruguay</c:v>
                </c:pt>
                <c:pt idx="251">
                  <c:v>Uzbekistan</c:v>
                </c:pt>
                <c:pt idx="252">
                  <c:v>Vanuatu</c:v>
                </c:pt>
                <c:pt idx="253">
                  <c:v>Venezuela</c:v>
                </c:pt>
                <c:pt idx="254">
                  <c:v>Vietnam</c:v>
                </c:pt>
                <c:pt idx="255">
                  <c:v>Virgin Islands</c:v>
                </c:pt>
                <c:pt idx="256">
                  <c:v>Wake Island</c:v>
                </c:pt>
                <c:pt idx="257">
                  <c:v>Wallis and Futuna</c:v>
                </c:pt>
                <c:pt idx="258">
                  <c:v>West Bank</c:v>
                </c:pt>
                <c:pt idx="259">
                  <c:v>Western Sahara</c:v>
                </c:pt>
                <c:pt idx="260">
                  <c:v>Yemen</c:v>
                </c:pt>
                <c:pt idx="261">
                  <c:v>Zambia</c:v>
                </c:pt>
                <c:pt idx="262">
                  <c:v>Zimbabwe</c:v>
                </c:pt>
              </c:strCache>
            </c:strRef>
          </c:cat>
          <c:val>
            <c:numRef>
              <c:f>'Analysis and visual 4'!$C$2:$C$265</c:f>
              <c:numCache>
                <c:formatCode>General</c:formatCode>
                <c:ptCount val="263"/>
                <c:pt idx="0">
                  <c:v>206032067</c:v>
                </c:pt>
                <c:pt idx="1">
                  <c:v>1000</c:v>
                </c:pt>
                <c:pt idx="3">
                  <c:v>30000</c:v>
                </c:pt>
                <c:pt idx="4">
                  <c:v>500000</c:v>
                </c:pt>
                <c:pt idx="6">
                  <c:v>24500</c:v>
                </c:pt>
                <c:pt idx="7">
                  <c:v>41000</c:v>
                </c:pt>
                <c:pt idx="8">
                  <c:v>3000</c:v>
                </c:pt>
                <c:pt idx="10">
                  <c:v>10000</c:v>
                </c:pt>
                <c:pt idx="11">
                  <c:v>4100000</c:v>
                </c:pt>
                <c:pt idx="12">
                  <c:v>150000</c:v>
                </c:pt>
                <c:pt idx="13">
                  <c:v>24000</c:v>
                </c:pt>
                <c:pt idx="15">
                  <c:v>9472000</c:v>
                </c:pt>
                <c:pt idx="16">
                  <c:v>3730000</c:v>
                </c:pt>
                <c:pt idx="17">
                  <c:v>300000</c:v>
                </c:pt>
                <c:pt idx="18">
                  <c:v>84000</c:v>
                </c:pt>
                <c:pt idx="19">
                  <c:v>195700</c:v>
                </c:pt>
                <c:pt idx="21">
                  <c:v>243000</c:v>
                </c:pt>
                <c:pt idx="22">
                  <c:v>100000</c:v>
                </c:pt>
                <c:pt idx="24">
                  <c:v>1391900</c:v>
                </c:pt>
                <c:pt idx="25">
                  <c:v>3400000</c:v>
                </c:pt>
                <c:pt idx="26">
                  <c:v>30000</c:v>
                </c:pt>
                <c:pt idx="27">
                  <c:v>70000</c:v>
                </c:pt>
                <c:pt idx="28">
                  <c:v>34500</c:v>
                </c:pt>
                <c:pt idx="29">
                  <c:v>15000</c:v>
                </c:pt>
                <c:pt idx="30">
                  <c:v>270000</c:v>
                </c:pt>
                <c:pt idx="31">
                  <c:v>100000</c:v>
                </c:pt>
                <c:pt idx="32">
                  <c:v>60000</c:v>
                </c:pt>
                <c:pt idx="34">
                  <c:v>14300000</c:v>
                </c:pt>
                <c:pt idx="36">
                  <c:v>4000</c:v>
                </c:pt>
                <c:pt idx="37">
                  <c:v>35000</c:v>
                </c:pt>
                <c:pt idx="38">
                  <c:v>630000</c:v>
                </c:pt>
                <c:pt idx="39">
                  <c:v>48000</c:v>
                </c:pt>
                <c:pt idx="40">
                  <c:v>28000</c:v>
                </c:pt>
                <c:pt idx="41">
                  <c:v>14000</c:v>
                </c:pt>
                <c:pt idx="42">
                  <c:v>30000</c:v>
                </c:pt>
                <c:pt idx="43">
                  <c:v>60000</c:v>
                </c:pt>
                <c:pt idx="44">
                  <c:v>16110000</c:v>
                </c:pt>
                <c:pt idx="45">
                  <c:v>20400</c:v>
                </c:pt>
                <c:pt idx="46">
                  <c:v>9909</c:v>
                </c:pt>
                <c:pt idx="47">
                  <c:v>5000</c:v>
                </c:pt>
                <c:pt idx="48">
                  <c:v>15000</c:v>
                </c:pt>
                <c:pt idx="49">
                  <c:v>3575000</c:v>
                </c:pt>
                <c:pt idx="50">
                  <c:v>94000000</c:v>
                </c:pt>
                <c:pt idx="54">
                  <c:v>2732200</c:v>
                </c:pt>
                <c:pt idx="55">
                  <c:v>5000</c:v>
                </c:pt>
                <c:pt idx="56">
                  <c:v>50000</c:v>
                </c:pt>
                <c:pt idx="57">
                  <c:v>15000</c:v>
                </c:pt>
                <c:pt idx="58">
                  <c:v>3600</c:v>
                </c:pt>
                <c:pt idx="59">
                  <c:v>800000</c:v>
                </c:pt>
                <c:pt idx="60">
                  <c:v>90000</c:v>
                </c:pt>
                <c:pt idx="61">
                  <c:v>1014000</c:v>
                </c:pt>
                <c:pt idx="62">
                  <c:v>120000</c:v>
                </c:pt>
                <c:pt idx="63">
                  <c:v>210000</c:v>
                </c:pt>
                <c:pt idx="64">
                  <c:v>2700000</c:v>
                </c:pt>
                <c:pt idx="65">
                  <c:v>2756000</c:v>
                </c:pt>
                <c:pt idx="67">
                  <c:v>6500</c:v>
                </c:pt>
                <c:pt idx="68">
                  <c:v>12500</c:v>
                </c:pt>
                <c:pt idx="69">
                  <c:v>500000</c:v>
                </c:pt>
                <c:pt idx="71">
                  <c:v>569700</c:v>
                </c:pt>
                <c:pt idx="72">
                  <c:v>2700000</c:v>
                </c:pt>
                <c:pt idx="73">
                  <c:v>550000</c:v>
                </c:pt>
                <c:pt idx="74">
                  <c:v>1800</c:v>
                </c:pt>
                <c:pt idx="75">
                  <c:v>9500</c:v>
                </c:pt>
                <c:pt idx="76">
                  <c:v>444000</c:v>
                </c:pt>
                <c:pt idx="77">
                  <c:v>75000</c:v>
                </c:pt>
                <c:pt idx="80">
                  <c:v>25000</c:v>
                </c:pt>
                <c:pt idx="81">
                  <c:v>55000</c:v>
                </c:pt>
                <c:pt idx="82">
                  <c:v>2650000</c:v>
                </c:pt>
                <c:pt idx="83">
                  <c:v>21900000</c:v>
                </c:pt>
                <c:pt idx="84">
                  <c:v>3200</c:v>
                </c:pt>
                <c:pt idx="85">
                  <c:v>35000</c:v>
                </c:pt>
                <c:pt idx="87">
                  <c:v>35000</c:v>
                </c:pt>
                <c:pt idx="88">
                  <c:v>25000</c:v>
                </c:pt>
                <c:pt idx="89">
                  <c:v>60000</c:v>
                </c:pt>
                <c:pt idx="90">
                  <c:v>150500</c:v>
                </c:pt>
                <c:pt idx="91">
                  <c:v>39000000</c:v>
                </c:pt>
                <c:pt idx="92">
                  <c:v>170000</c:v>
                </c:pt>
                <c:pt idx="93">
                  <c:v>6200</c:v>
                </c:pt>
                <c:pt idx="95">
                  <c:v>1718400</c:v>
                </c:pt>
                <c:pt idx="96">
                  <c:v>20000</c:v>
                </c:pt>
                <c:pt idx="97">
                  <c:v>15000</c:v>
                </c:pt>
                <c:pt idx="98">
                  <c:v>20000</c:v>
                </c:pt>
                <c:pt idx="99">
                  <c:v>50000</c:v>
                </c:pt>
                <c:pt idx="100">
                  <c:v>400000</c:v>
                </c:pt>
                <c:pt idx="102">
                  <c:v>40000</c:v>
                </c:pt>
                <c:pt idx="103">
                  <c:v>19000</c:v>
                </c:pt>
                <c:pt idx="104">
                  <c:v>125000</c:v>
                </c:pt>
                <c:pt idx="105">
                  <c:v>80000</c:v>
                </c:pt>
                <c:pt idx="108">
                  <c:v>168600</c:v>
                </c:pt>
                <c:pt idx="109">
                  <c:v>3212800</c:v>
                </c:pt>
                <c:pt idx="111">
                  <c:v>1600000</c:v>
                </c:pt>
                <c:pt idx="112">
                  <c:v>195000</c:v>
                </c:pt>
                <c:pt idx="113">
                  <c:v>18481000</c:v>
                </c:pt>
                <c:pt idx="114">
                  <c:v>8000000</c:v>
                </c:pt>
                <c:pt idx="115">
                  <c:v>4300000</c:v>
                </c:pt>
                <c:pt idx="116">
                  <c:v>25000</c:v>
                </c:pt>
                <c:pt idx="117">
                  <c:v>1260000</c:v>
                </c:pt>
                <c:pt idx="118">
                  <c:v>2000000</c:v>
                </c:pt>
                <c:pt idx="119">
                  <c:v>18500000</c:v>
                </c:pt>
                <c:pt idx="120">
                  <c:v>600000</c:v>
                </c:pt>
                <c:pt idx="122">
                  <c:v>57200000</c:v>
                </c:pt>
                <c:pt idx="126">
                  <c:v>457000</c:v>
                </c:pt>
                <c:pt idx="128">
                  <c:v>250000</c:v>
                </c:pt>
                <c:pt idx="129">
                  <c:v>400000</c:v>
                </c:pt>
                <c:pt idx="131">
                  <c:v>2000</c:v>
                </c:pt>
                <c:pt idx="133">
                  <c:v>29220000</c:v>
                </c:pt>
                <c:pt idx="134">
                  <c:v>567000</c:v>
                </c:pt>
                <c:pt idx="135">
                  <c:v>152000</c:v>
                </c:pt>
                <c:pt idx="136">
                  <c:v>15000</c:v>
                </c:pt>
                <c:pt idx="137">
                  <c:v>936000</c:v>
                </c:pt>
                <c:pt idx="138">
                  <c:v>400000</c:v>
                </c:pt>
                <c:pt idx="139">
                  <c:v>21000</c:v>
                </c:pt>
                <c:pt idx="140">
                  <c:v>1000</c:v>
                </c:pt>
                <c:pt idx="141">
                  <c:v>160000</c:v>
                </c:pt>
                <c:pt idx="142">
                  <c:v>20000</c:v>
                </c:pt>
                <c:pt idx="143">
                  <c:v>695700</c:v>
                </c:pt>
                <c:pt idx="144">
                  <c:v>165000</c:v>
                </c:pt>
                <c:pt idx="145">
                  <c:v>120000</c:v>
                </c:pt>
                <c:pt idx="146">
                  <c:v>100000</c:v>
                </c:pt>
                <c:pt idx="147">
                  <c:v>70500</c:v>
                </c:pt>
                <c:pt idx="148">
                  <c:v>36000</c:v>
                </c:pt>
                <c:pt idx="149">
                  <c:v>8692100</c:v>
                </c:pt>
                <c:pt idx="150">
                  <c:v>15000</c:v>
                </c:pt>
                <c:pt idx="151">
                  <c:v>25000</c:v>
                </c:pt>
                <c:pt idx="152">
                  <c:v>120000</c:v>
                </c:pt>
                <c:pt idx="154">
                  <c:v>1400</c:v>
                </c:pt>
                <c:pt idx="155">
                  <c:v>40000</c:v>
                </c:pt>
                <c:pt idx="156">
                  <c:v>10000</c:v>
                </c:pt>
                <c:pt idx="157">
                  <c:v>150000</c:v>
                </c:pt>
                <c:pt idx="159">
                  <c:v>10033000</c:v>
                </c:pt>
                <c:pt idx="160">
                  <c:v>6000</c:v>
                </c:pt>
                <c:pt idx="162">
                  <c:v>150000</c:v>
                </c:pt>
                <c:pt idx="163">
                  <c:v>16000</c:v>
                </c:pt>
                <c:pt idx="164">
                  <c:v>220000</c:v>
                </c:pt>
                <c:pt idx="166">
                  <c:v>800000</c:v>
                </c:pt>
                <c:pt idx="167">
                  <c:v>50000</c:v>
                </c:pt>
                <c:pt idx="168">
                  <c:v>65000</c:v>
                </c:pt>
                <c:pt idx="169">
                  <c:v>300</c:v>
                </c:pt>
                <c:pt idx="171">
                  <c:v>80000</c:v>
                </c:pt>
                <c:pt idx="172">
                  <c:v>8500000</c:v>
                </c:pt>
                <c:pt idx="173">
                  <c:v>2000</c:v>
                </c:pt>
                <c:pt idx="174">
                  <c:v>60000</c:v>
                </c:pt>
                <c:pt idx="175">
                  <c:v>2110000</c:v>
                </c:pt>
                <c:pt idx="176">
                  <c:v>90000</c:v>
                </c:pt>
                <c:pt idx="177">
                  <c:v>15000</c:v>
                </c:pt>
                <c:pt idx="178">
                  <c:v>750000</c:v>
                </c:pt>
                <c:pt idx="180">
                  <c:v>700</c:v>
                </c:pt>
                <c:pt idx="182">
                  <c:v>2288000</c:v>
                </c:pt>
                <c:pt idx="183">
                  <c:v>180000</c:v>
                </c:pt>
                <c:pt idx="184">
                  <c:v>1500000</c:v>
                </c:pt>
                <c:pt idx="187">
                  <c:v>120000</c:v>
                </c:pt>
                <c:pt idx="188">
                  <c:v>75000</c:v>
                </c:pt>
                <c:pt idx="189">
                  <c:v>120000</c:v>
                </c:pt>
                <c:pt idx="190">
                  <c:v>2850000</c:v>
                </c:pt>
                <c:pt idx="191">
                  <c:v>3500000</c:v>
                </c:pt>
                <c:pt idx="193">
                  <c:v>8970000</c:v>
                </c:pt>
                <c:pt idx="194">
                  <c:v>3600000</c:v>
                </c:pt>
                <c:pt idx="195">
                  <c:v>600000</c:v>
                </c:pt>
                <c:pt idx="196">
                  <c:v>126000</c:v>
                </c:pt>
                <c:pt idx="197">
                  <c:v>150000</c:v>
                </c:pt>
                <c:pt idx="198">
                  <c:v>4000000</c:v>
                </c:pt>
                <c:pt idx="199">
                  <c:v>6000000</c:v>
                </c:pt>
                <c:pt idx="200">
                  <c:v>25000</c:v>
                </c:pt>
                <c:pt idx="201">
                  <c:v>500</c:v>
                </c:pt>
                <c:pt idx="202">
                  <c:v>10000</c:v>
                </c:pt>
                <c:pt idx="203">
                  <c:v>13000</c:v>
                </c:pt>
                <c:pt idx="205">
                  <c:v>7000</c:v>
                </c:pt>
                <c:pt idx="206">
                  <c:v>4000</c:v>
                </c:pt>
                <c:pt idx="207">
                  <c:v>14300</c:v>
                </c:pt>
                <c:pt idx="208">
                  <c:v>15000</c:v>
                </c:pt>
                <c:pt idx="209">
                  <c:v>1500000</c:v>
                </c:pt>
                <c:pt idx="210">
                  <c:v>225000</c:v>
                </c:pt>
                <c:pt idx="211">
                  <c:v>847000</c:v>
                </c:pt>
                <c:pt idx="212">
                  <c:v>11700</c:v>
                </c:pt>
                <c:pt idx="213">
                  <c:v>8000</c:v>
                </c:pt>
                <c:pt idx="214">
                  <c:v>2310000</c:v>
                </c:pt>
                <c:pt idx="215">
                  <c:v>1375800</c:v>
                </c:pt>
                <c:pt idx="216">
                  <c:v>750000</c:v>
                </c:pt>
                <c:pt idx="217">
                  <c:v>2200</c:v>
                </c:pt>
                <c:pt idx="218">
                  <c:v>89000</c:v>
                </c:pt>
                <c:pt idx="219">
                  <c:v>3100000</c:v>
                </c:pt>
                <c:pt idx="221">
                  <c:v>9789000</c:v>
                </c:pt>
                <c:pt idx="223">
                  <c:v>200000</c:v>
                </c:pt>
                <c:pt idx="224">
                  <c:v>300000</c:v>
                </c:pt>
                <c:pt idx="225">
                  <c:v>20000</c:v>
                </c:pt>
                <c:pt idx="227">
                  <c:v>27000</c:v>
                </c:pt>
                <c:pt idx="228">
                  <c:v>5125000</c:v>
                </c:pt>
                <c:pt idx="229">
                  <c:v>2556000</c:v>
                </c:pt>
                <c:pt idx="230">
                  <c:v>220000</c:v>
                </c:pt>
                <c:pt idx="231">
                  <c:v>13800000</c:v>
                </c:pt>
                <c:pt idx="232">
                  <c:v>4100</c:v>
                </c:pt>
                <c:pt idx="233">
                  <c:v>250000</c:v>
                </c:pt>
                <c:pt idx="234">
                  <c:v>6971500</c:v>
                </c:pt>
                <c:pt idx="235">
                  <c:v>210000</c:v>
                </c:pt>
                <c:pt idx="237">
                  <c:v>2900</c:v>
                </c:pt>
                <c:pt idx="238">
                  <c:v>138000</c:v>
                </c:pt>
                <c:pt idx="240">
                  <c:v>630000</c:v>
                </c:pt>
                <c:pt idx="241">
                  <c:v>5500000</c:v>
                </c:pt>
                <c:pt idx="242">
                  <c:v>8000</c:v>
                </c:pt>
                <c:pt idx="244">
                  <c:v>1300</c:v>
                </c:pt>
                <c:pt idx="245">
                  <c:v>125000</c:v>
                </c:pt>
                <c:pt idx="246">
                  <c:v>3800000</c:v>
                </c:pt>
                <c:pt idx="247">
                  <c:v>1110200</c:v>
                </c:pt>
                <c:pt idx="248">
                  <c:v>25000000</c:v>
                </c:pt>
                <c:pt idx="249">
                  <c:v>159000000</c:v>
                </c:pt>
                <c:pt idx="250">
                  <c:v>400000</c:v>
                </c:pt>
                <c:pt idx="251">
                  <c:v>492000</c:v>
                </c:pt>
                <c:pt idx="252">
                  <c:v>7500</c:v>
                </c:pt>
                <c:pt idx="253">
                  <c:v>1274400</c:v>
                </c:pt>
                <c:pt idx="254">
                  <c:v>3500000</c:v>
                </c:pt>
                <c:pt idx="255">
                  <c:v>30000</c:v>
                </c:pt>
                <c:pt idx="257">
                  <c:v>900</c:v>
                </c:pt>
                <c:pt idx="258">
                  <c:v>145000</c:v>
                </c:pt>
                <c:pt idx="260">
                  <c:v>100000</c:v>
                </c:pt>
                <c:pt idx="261">
                  <c:v>68200</c:v>
                </c:pt>
                <c:pt idx="262">
                  <c:v>500000</c:v>
                </c:pt>
              </c:numCache>
            </c:numRef>
          </c:val>
          <c:extLst>
            <c:ext xmlns:c16="http://schemas.microsoft.com/office/drawing/2014/chart" uri="{C3380CC4-5D6E-409C-BE32-E72D297353CC}">
              <c16:uniqueId val="{0000041D-C6DF-49D7-9716-6AA9AF5DF06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45720</xdr:colOff>
      <xdr:row>0</xdr:row>
      <xdr:rowOff>7620</xdr:rowOff>
    </xdr:from>
    <xdr:to>
      <xdr:col>5</xdr:col>
      <xdr:colOff>137160</xdr:colOff>
      <xdr:row>13</xdr:row>
      <xdr:rowOff>97155</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51C947D0-E9B7-4FE8-A354-E1C3AEF09FF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265545" y="7620"/>
              <a:ext cx="1824990" cy="24422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175260</xdr:colOff>
      <xdr:row>0</xdr:row>
      <xdr:rowOff>144781</xdr:rowOff>
    </xdr:from>
    <xdr:to>
      <xdr:col>7</xdr:col>
      <xdr:colOff>601980</xdr:colOff>
      <xdr:row>13</xdr:row>
      <xdr:rowOff>129541</xdr:rowOff>
    </xdr:to>
    <mc:AlternateContent xmlns:mc="http://schemas.openxmlformats.org/markup-compatibility/2006">
      <mc:Choice xmlns:a14="http://schemas.microsoft.com/office/drawing/2010/main" Requires="a14">
        <xdr:graphicFrame macro="">
          <xdr:nvGraphicFramePr>
            <xdr:cNvPr id="5" name="Country 1">
              <a:extLst>
                <a:ext uri="{FF2B5EF4-FFF2-40B4-BE49-F238E27FC236}">
                  <a16:creationId xmlns:a16="http://schemas.microsoft.com/office/drawing/2014/main" id="{E4F78C58-4310-49F5-8BC2-BA9E79F487CD}"/>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7421880" y="144781"/>
              <a:ext cx="2255520" cy="2362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457199</xdr:colOff>
      <xdr:row>0</xdr:row>
      <xdr:rowOff>142875</xdr:rowOff>
    </xdr:from>
    <xdr:to>
      <xdr:col>10</xdr:col>
      <xdr:colOff>504824</xdr:colOff>
      <xdr:row>14</xdr:row>
      <xdr:rowOff>76200</xdr:rowOff>
    </xdr:to>
    <mc:AlternateContent xmlns:mc="http://schemas.openxmlformats.org/markup-compatibility/2006">
      <mc:Choice xmlns:a14="http://schemas.microsoft.com/office/drawing/2010/main" Requires="a14">
        <xdr:graphicFrame macro="">
          <xdr:nvGraphicFramePr>
            <xdr:cNvPr id="3" name="Country 2">
              <a:extLst>
                <a:ext uri="{FF2B5EF4-FFF2-40B4-BE49-F238E27FC236}">
                  <a16:creationId xmlns:a16="http://schemas.microsoft.com/office/drawing/2014/main" id="{2999647B-EBD5-47F8-A32D-B670E92BCA5F}"/>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15049499" y="142875"/>
              <a:ext cx="2486025"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85725</xdr:colOff>
      <xdr:row>1</xdr:row>
      <xdr:rowOff>49530</xdr:rowOff>
    </xdr:from>
    <xdr:to>
      <xdr:col>7</xdr:col>
      <xdr:colOff>523875</xdr:colOff>
      <xdr:row>14</xdr:row>
      <xdr:rowOff>163830</xdr:rowOff>
    </xdr:to>
    <mc:AlternateContent xmlns:mc="http://schemas.openxmlformats.org/markup-compatibility/2006">
      <mc:Choice xmlns:a14="http://schemas.microsoft.com/office/drawing/2010/main" Requires="a14">
        <xdr:graphicFrame macro="">
          <xdr:nvGraphicFramePr>
            <xdr:cNvPr id="3" name="Country 3">
              <a:extLst>
                <a:ext uri="{FF2B5EF4-FFF2-40B4-BE49-F238E27FC236}">
                  <a16:creationId xmlns:a16="http://schemas.microsoft.com/office/drawing/2014/main" id="{3706B97D-B129-41D4-853F-1967060D6275}"/>
                </a:ext>
              </a:extLst>
            </xdr:cNvPr>
            <xdr:cNvGraphicFramePr/>
          </xdr:nvGraphicFramePr>
          <xdr:xfrm>
            <a:off x="0" y="0"/>
            <a:ext cx="0" cy="0"/>
          </xdr:xfrm>
          <a:graphic>
            <a:graphicData uri="http://schemas.microsoft.com/office/drawing/2010/slicer">
              <sle:slicer xmlns:sle="http://schemas.microsoft.com/office/drawing/2010/slicer" name="Country 3"/>
            </a:graphicData>
          </a:graphic>
        </xdr:graphicFrame>
      </mc:Choice>
      <mc:Fallback>
        <xdr:sp macro="" textlink="">
          <xdr:nvSpPr>
            <xdr:cNvPr id="0" name=""/>
            <xdr:cNvSpPr>
              <a:spLocks noTextEdit="1"/>
            </xdr:cNvSpPr>
          </xdr:nvSpPr>
          <xdr:spPr>
            <a:xfrm>
              <a:off x="6248400" y="230505"/>
              <a:ext cx="226695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30480</xdr:colOff>
      <xdr:row>0</xdr:row>
      <xdr:rowOff>22862</xdr:rowOff>
    </xdr:from>
    <xdr:to>
      <xdr:col>23</xdr:col>
      <xdr:colOff>106680</xdr:colOff>
      <xdr:row>3</xdr:row>
      <xdr:rowOff>5793</xdr:rowOff>
    </xdr:to>
    <xdr:sp macro="" textlink="">
      <xdr:nvSpPr>
        <xdr:cNvPr id="2" name="Rectangle: Rounded Corners 1">
          <a:extLst>
            <a:ext uri="{FF2B5EF4-FFF2-40B4-BE49-F238E27FC236}">
              <a16:creationId xmlns:a16="http://schemas.microsoft.com/office/drawing/2014/main" id="{E07ECB5E-8736-4417-97DF-386AFD8C797B}"/>
            </a:ext>
          </a:extLst>
        </xdr:cNvPr>
        <xdr:cNvSpPr>
          <a:spLocks/>
        </xdr:cNvSpPr>
      </xdr:nvSpPr>
      <xdr:spPr>
        <a:xfrm>
          <a:off x="30480" y="22862"/>
          <a:ext cx="14097000" cy="531571"/>
        </a:xfrm>
        <a:prstGeom prst="roundRect">
          <a:avLst/>
        </a:prstGeom>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xdr:from>
      <xdr:col>8</xdr:col>
      <xdr:colOff>190500</xdr:colOff>
      <xdr:row>0</xdr:row>
      <xdr:rowOff>129540</xdr:rowOff>
    </xdr:from>
    <xdr:to>
      <xdr:col>15</xdr:col>
      <xdr:colOff>548640</xdr:colOff>
      <xdr:row>2</xdr:row>
      <xdr:rowOff>60960</xdr:rowOff>
    </xdr:to>
    <xdr:sp macro="" textlink="">
      <xdr:nvSpPr>
        <xdr:cNvPr id="3" name="TextBox 2">
          <a:extLst>
            <a:ext uri="{FF2B5EF4-FFF2-40B4-BE49-F238E27FC236}">
              <a16:creationId xmlns:a16="http://schemas.microsoft.com/office/drawing/2014/main" id="{69966888-B389-4F03-B0A3-B34031724E87}"/>
            </a:ext>
          </a:extLst>
        </xdr:cNvPr>
        <xdr:cNvSpPr txBox="1"/>
      </xdr:nvSpPr>
      <xdr:spPr>
        <a:xfrm>
          <a:off x="5067300" y="129540"/>
          <a:ext cx="4625340" cy="297180"/>
        </a:xfrm>
        <a:prstGeom prst="rect">
          <a:avLst/>
        </a:prstGeom>
        <a:solidFill>
          <a:srgbClr val="0070C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latin typeface="Times New Roman" panose="02020603050405020304" pitchFamily="18" charset="0"/>
              <a:cs typeface="Times New Roman" panose="02020603050405020304" pitchFamily="18" charset="0"/>
            </a:rPr>
            <a:t>Analysis of</a:t>
          </a:r>
          <a:r>
            <a:rPr lang="en-US" sz="1400" b="1" baseline="0">
              <a:latin typeface="Times New Roman" panose="02020603050405020304" pitchFamily="18" charset="0"/>
              <a:cs typeface="Times New Roman" panose="02020603050405020304" pitchFamily="18" charset="0"/>
            </a:rPr>
            <a:t> Countries Transactions</a:t>
          </a:r>
          <a:endParaRPr lang="en-US" sz="1400" b="1">
            <a:latin typeface="Times New Roman" panose="02020603050405020304" pitchFamily="18" charset="0"/>
            <a:cs typeface="Times New Roman" panose="02020603050405020304" pitchFamily="18" charset="0"/>
          </a:endParaRPr>
        </a:p>
      </xdr:txBody>
    </xdr:sp>
    <xdr:clientData/>
  </xdr:twoCellAnchor>
  <xdr:twoCellAnchor>
    <xdr:from>
      <xdr:col>0</xdr:col>
      <xdr:colOff>358140</xdr:colOff>
      <xdr:row>3</xdr:row>
      <xdr:rowOff>129540</xdr:rowOff>
    </xdr:from>
    <xdr:to>
      <xdr:col>7</xdr:col>
      <xdr:colOff>289560</xdr:colOff>
      <xdr:row>16</xdr:row>
      <xdr:rowOff>30480</xdr:rowOff>
    </xdr:to>
    <xdr:sp macro="" textlink="">
      <xdr:nvSpPr>
        <xdr:cNvPr id="4" name="Rectangle: Rounded Corners 3">
          <a:extLst>
            <a:ext uri="{FF2B5EF4-FFF2-40B4-BE49-F238E27FC236}">
              <a16:creationId xmlns:a16="http://schemas.microsoft.com/office/drawing/2014/main" id="{2A833A1A-23D0-43B5-B7F0-F481A76A8A48}"/>
            </a:ext>
          </a:extLst>
        </xdr:cNvPr>
        <xdr:cNvSpPr/>
      </xdr:nvSpPr>
      <xdr:spPr>
        <a:xfrm>
          <a:off x="358140" y="678180"/>
          <a:ext cx="4198620" cy="2278380"/>
        </a:xfrm>
        <a:prstGeom prst="roundRect">
          <a:avLst/>
        </a:prstGeom>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130000" r="50000" b="-30000"/>
          </a:path>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190500</xdr:colOff>
      <xdr:row>3</xdr:row>
      <xdr:rowOff>144780</xdr:rowOff>
    </xdr:from>
    <xdr:to>
      <xdr:col>15</xdr:col>
      <xdr:colOff>121920</xdr:colOff>
      <xdr:row>16</xdr:row>
      <xdr:rowOff>45720</xdr:rowOff>
    </xdr:to>
    <xdr:sp macro="" textlink="">
      <xdr:nvSpPr>
        <xdr:cNvPr id="6" name="Rectangle: Rounded Corners 5">
          <a:extLst>
            <a:ext uri="{FF2B5EF4-FFF2-40B4-BE49-F238E27FC236}">
              <a16:creationId xmlns:a16="http://schemas.microsoft.com/office/drawing/2014/main" id="{5B482DB5-C9F0-43DB-AF38-B77D8B4CDC5C}"/>
            </a:ext>
          </a:extLst>
        </xdr:cNvPr>
        <xdr:cNvSpPr/>
      </xdr:nvSpPr>
      <xdr:spPr>
        <a:xfrm>
          <a:off x="5067300" y="693420"/>
          <a:ext cx="4198620" cy="2278380"/>
        </a:xfrm>
        <a:prstGeom prst="roundRect">
          <a:avLst/>
        </a:prstGeom>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130000" r="50000" b="-30000"/>
          </a:path>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220980</xdr:colOff>
      <xdr:row>22</xdr:row>
      <xdr:rowOff>144780</xdr:rowOff>
    </xdr:from>
    <xdr:to>
      <xdr:col>15</xdr:col>
      <xdr:colOff>152400</xdr:colOff>
      <xdr:row>35</xdr:row>
      <xdr:rowOff>53340</xdr:rowOff>
    </xdr:to>
    <xdr:sp macro="" textlink="">
      <xdr:nvSpPr>
        <xdr:cNvPr id="7" name="Rectangle: Rounded Corners 6">
          <a:extLst>
            <a:ext uri="{FF2B5EF4-FFF2-40B4-BE49-F238E27FC236}">
              <a16:creationId xmlns:a16="http://schemas.microsoft.com/office/drawing/2014/main" id="{09B14940-2190-456D-AA6D-165547A2DE1E}"/>
            </a:ext>
          </a:extLst>
        </xdr:cNvPr>
        <xdr:cNvSpPr/>
      </xdr:nvSpPr>
      <xdr:spPr>
        <a:xfrm>
          <a:off x="5097780" y="4168140"/>
          <a:ext cx="4198620" cy="2286000"/>
        </a:xfrm>
        <a:prstGeom prst="roundRect">
          <a:avLst/>
        </a:prstGeom>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130000" r="50000" b="-30000"/>
          </a:path>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350520</xdr:colOff>
      <xdr:row>22</xdr:row>
      <xdr:rowOff>152400</xdr:rowOff>
    </xdr:from>
    <xdr:to>
      <xdr:col>7</xdr:col>
      <xdr:colOff>281940</xdr:colOff>
      <xdr:row>35</xdr:row>
      <xdr:rowOff>53340</xdr:rowOff>
    </xdr:to>
    <xdr:sp macro="" textlink="">
      <xdr:nvSpPr>
        <xdr:cNvPr id="8" name="Rectangle: Rounded Corners 7">
          <a:extLst>
            <a:ext uri="{FF2B5EF4-FFF2-40B4-BE49-F238E27FC236}">
              <a16:creationId xmlns:a16="http://schemas.microsoft.com/office/drawing/2014/main" id="{38DE6C87-63A6-4DFD-BE3C-9EE693A3C82B}"/>
            </a:ext>
          </a:extLst>
        </xdr:cNvPr>
        <xdr:cNvSpPr/>
      </xdr:nvSpPr>
      <xdr:spPr>
        <a:xfrm>
          <a:off x="350520" y="4175760"/>
          <a:ext cx="4198620" cy="2278380"/>
        </a:xfrm>
        <a:prstGeom prst="roundRect">
          <a:avLst/>
        </a:prstGeom>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130000" r="50000" b="-30000"/>
          </a:path>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601981</xdr:colOff>
      <xdr:row>4</xdr:row>
      <xdr:rowOff>152400</xdr:rowOff>
    </xdr:from>
    <xdr:to>
      <xdr:col>7</xdr:col>
      <xdr:colOff>30481</xdr:colOff>
      <xdr:row>14</xdr:row>
      <xdr:rowOff>167640</xdr:rowOff>
    </xdr:to>
    <xdr:graphicFrame macro="">
      <xdr:nvGraphicFramePr>
        <xdr:cNvPr id="10" name="Chart 9">
          <a:extLst>
            <a:ext uri="{FF2B5EF4-FFF2-40B4-BE49-F238E27FC236}">
              <a16:creationId xmlns:a16="http://schemas.microsoft.com/office/drawing/2014/main" id="{6195408F-769F-414E-A43F-44BBA52FD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487680</xdr:colOff>
      <xdr:row>4</xdr:row>
      <xdr:rowOff>167640</xdr:rowOff>
    </xdr:from>
    <xdr:to>
      <xdr:col>14</xdr:col>
      <xdr:colOff>441960</xdr:colOff>
      <xdr:row>15</xdr:row>
      <xdr:rowOff>0</xdr:rowOff>
    </xdr:to>
    <xdr:graphicFrame macro="">
      <xdr:nvGraphicFramePr>
        <xdr:cNvPr id="11" name="Chart 10">
          <a:extLst>
            <a:ext uri="{FF2B5EF4-FFF2-40B4-BE49-F238E27FC236}">
              <a16:creationId xmlns:a16="http://schemas.microsoft.com/office/drawing/2014/main" id="{CBDD2EC6-AD85-48FB-B926-B32B1B718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38100</xdr:colOff>
      <xdr:row>23</xdr:row>
      <xdr:rowOff>144780</xdr:rowOff>
    </xdr:from>
    <xdr:to>
      <xdr:col>6</xdr:col>
      <xdr:colOff>586740</xdr:colOff>
      <xdr:row>34</xdr:row>
      <xdr:rowOff>91440</xdr:rowOff>
    </xdr:to>
    <xdr:graphicFrame macro="">
      <xdr:nvGraphicFramePr>
        <xdr:cNvPr id="12" name="Chart 11">
          <a:extLst>
            <a:ext uri="{FF2B5EF4-FFF2-40B4-BE49-F238E27FC236}">
              <a16:creationId xmlns:a16="http://schemas.microsoft.com/office/drawing/2014/main" id="{36AFBAC3-D82F-42DC-86C1-29601E85F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510540</xdr:colOff>
      <xdr:row>23</xdr:row>
      <xdr:rowOff>175260</xdr:rowOff>
    </xdr:from>
    <xdr:to>
      <xdr:col>14</xdr:col>
      <xdr:colOff>533400</xdr:colOff>
      <xdr:row>34</xdr:row>
      <xdr:rowOff>0</xdr:rowOff>
    </xdr:to>
    <xdr:graphicFrame macro="">
      <xdr:nvGraphicFramePr>
        <xdr:cNvPr id="13" name="Chart 12">
          <a:extLst>
            <a:ext uri="{FF2B5EF4-FFF2-40B4-BE49-F238E27FC236}">
              <a16:creationId xmlns:a16="http://schemas.microsoft.com/office/drawing/2014/main" id="{5A960E6B-380F-4295-AFA3-EDD1303A28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0</xdr:colOff>
      <xdr:row>4</xdr:row>
      <xdr:rowOff>7620</xdr:rowOff>
    </xdr:from>
    <xdr:to>
      <xdr:col>20</xdr:col>
      <xdr:colOff>137160</xdr:colOff>
      <xdr:row>35</xdr:row>
      <xdr:rowOff>30480</xdr:rowOff>
    </xdr:to>
    <mc:AlternateContent xmlns:mc="http://schemas.openxmlformats.org/markup-compatibility/2006">
      <mc:Choice xmlns:a14="http://schemas.microsoft.com/office/drawing/2010/main" Requires="a14">
        <xdr:graphicFrame macro="">
          <xdr:nvGraphicFramePr>
            <xdr:cNvPr id="14" name="Country 4">
              <a:extLst>
                <a:ext uri="{FF2B5EF4-FFF2-40B4-BE49-F238E27FC236}">
                  <a16:creationId xmlns:a16="http://schemas.microsoft.com/office/drawing/2014/main" id="{0091D850-A86C-4437-9055-1E54C8E62F06}"/>
                </a:ext>
              </a:extLst>
            </xdr:cNvPr>
            <xdr:cNvGraphicFramePr/>
          </xdr:nvGraphicFramePr>
          <xdr:xfrm>
            <a:off x="0" y="0"/>
            <a:ext cx="0" cy="0"/>
          </xdr:xfrm>
          <a:graphic>
            <a:graphicData uri="http://schemas.microsoft.com/office/drawing/2010/slicer">
              <sle:slicer xmlns:sle="http://schemas.microsoft.com/office/drawing/2010/slicer" name="Country 4"/>
            </a:graphicData>
          </a:graphic>
        </xdr:graphicFrame>
      </mc:Choice>
      <mc:Fallback>
        <xdr:sp macro="" textlink="">
          <xdr:nvSpPr>
            <xdr:cNvPr id="0" name=""/>
            <xdr:cNvSpPr>
              <a:spLocks noTextEdit="1"/>
            </xdr:cNvSpPr>
          </xdr:nvSpPr>
          <xdr:spPr>
            <a:xfrm>
              <a:off x="9753600" y="739140"/>
              <a:ext cx="2575560" cy="5692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358140</xdr:colOff>
      <xdr:row>17</xdr:row>
      <xdr:rowOff>0</xdr:rowOff>
    </xdr:from>
    <xdr:to>
      <xdr:col>6</xdr:col>
      <xdr:colOff>388620</xdr:colOff>
      <xdr:row>18</xdr:row>
      <xdr:rowOff>106680</xdr:rowOff>
    </xdr:to>
    <xdr:sp macro="" textlink="">
      <xdr:nvSpPr>
        <xdr:cNvPr id="15" name="TextBox 14">
          <a:extLst>
            <a:ext uri="{FF2B5EF4-FFF2-40B4-BE49-F238E27FC236}">
              <a16:creationId xmlns:a16="http://schemas.microsoft.com/office/drawing/2014/main" id="{722556D4-176C-4F88-906B-931BF94ECED9}"/>
            </a:ext>
          </a:extLst>
        </xdr:cNvPr>
        <xdr:cNvSpPr txBox="1"/>
      </xdr:nvSpPr>
      <xdr:spPr>
        <a:xfrm>
          <a:off x="967740" y="3108960"/>
          <a:ext cx="3078480" cy="289560"/>
        </a:xfrm>
        <a:prstGeom prst="rect">
          <a:avLst/>
        </a:prstGeom>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Current account balance with external debt</a:t>
          </a:r>
        </a:p>
      </xdr:txBody>
    </xdr:sp>
    <xdr:clientData/>
  </xdr:twoCellAnchor>
  <xdr:twoCellAnchor>
    <xdr:from>
      <xdr:col>9</xdr:col>
      <xdr:colOff>175260</xdr:colOff>
      <xdr:row>17</xdr:row>
      <xdr:rowOff>15240</xdr:rowOff>
    </xdr:from>
    <xdr:to>
      <xdr:col>14</xdr:col>
      <xdr:colOff>175260</xdr:colOff>
      <xdr:row>18</xdr:row>
      <xdr:rowOff>121920</xdr:rowOff>
    </xdr:to>
    <xdr:sp macro="" textlink="">
      <xdr:nvSpPr>
        <xdr:cNvPr id="16" name="TextBox 15">
          <a:extLst>
            <a:ext uri="{FF2B5EF4-FFF2-40B4-BE49-F238E27FC236}">
              <a16:creationId xmlns:a16="http://schemas.microsoft.com/office/drawing/2014/main" id="{CDF7E90B-A8B8-4C10-A404-3D40EB8A7761}"/>
            </a:ext>
          </a:extLst>
        </xdr:cNvPr>
        <xdr:cNvSpPr txBox="1"/>
      </xdr:nvSpPr>
      <xdr:spPr>
        <a:xfrm>
          <a:off x="5661660" y="3124200"/>
          <a:ext cx="3048000" cy="289560"/>
        </a:xfrm>
        <a:prstGeom prst="rect">
          <a:avLst/>
        </a:prstGeom>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Sum</a:t>
          </a:r>
          <a:r>
            <a:rPr lang="en-US" sz="1200" b="1" baseline="0">
              <a:latin typeface="Times New Roman" panose="02020603050405020304" pitchFamily="18" charset="0"/>
              <a:cs typeface="Times New Roman" panose="02020603050405020304" pitchFamily="18" charset="0"/>
            </a:rPr>
            <a:t> of GDP with per capita and growth %</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xdr:col>
      <xdr:colOff>236220</xdr:colOff>
      <xdr:row>36</xdr:row>
      <xdr:rowOff>15240</xdr:rowOff>
    </xdr:from>
    <xdr:to>
      <xdr:col>6</xdr:col>
      <xdr:colOff>548640</xdr:colOff>
      <xdr:row>38</xdr:row>
      <xdr:rowOff>99060</xdr:rowOff>
    </xdr:to>
    <xdr:sp macro="" textlink="">
      <xdr:nvSpPr>
        <xdr:cNvPr id="17" name="TextBox 16">
          <a:extLst>
            <a:ext uri="{FF2B5EF4-FFF2-40B4-BE49-F238E27FC236}">
              <a16:creationId xmlns:a16="http://schemas.microsoft.com/office/drawing/2014/main" id="{ED3FFA0C-88DB-468C-BF87-5D7F8BCD15EB}"/>
            </a:ext>
          </a:extLst>
        </xdr:cNvPr>
        <xdr:cNvSpPr txBox="1"/>
      </xdr:nvSpPr>
      <xdr:spPr>
        <a:xfrm>
          <a:off x="845820" y="6598920"/>
          <a:ext cx="3360420" cy="449580"/>
        </a:xfrm>
        <a:prstGeom prst="rect">
          <a:avLst/>
        </a:prstGeom>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Sum of Natural gas consumption,</a:t>
          </a:r>
          <a:r>
            <a:rPr lang="en-US" sz="1200" b="1" baseline="0">
              <a:latin typeface="Times New Roman" panose="02020603050405020304" pitchFamily="18" charset="0"/>
              <a:cs typeface="Times New Roman" panose="02020603050405020304" pitchFamily="18" charset="0"/>
            </a:rPr>
            <a:t> import, export and production</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10</xdr:col>
      <xdr:colOff>76200</xdr:colOff>
      <xdr:row>36</xdr:row>
      <xdr:rowOff>137160</xdr:rowOff>
    </xdr:from>
    <xdr:to>
      <xdr:col>13</xdr:col>
      <xdr:colOff>274320</xdr:colOff>
      <xdr:row>38</xdr:row>
      <xdr:rowOff>60960</xdr:rowOff>
    </xdr:to>
    <xdr:sp macro="" textlink="">
      <xdr:nvSpPr>
        <xdr:cNvPr id="18" name="TextBox 17">
          <a:extLst>
            <a:ext uri="{FF2B5EF4-FFF2-40B4-BE49-F238E27FC236}">
              <a16:creationId xmlns:a16="http://schemas.microsoft.com/office/drawing/2014/main" id="{3EA01C5A-9B75-461F-86D5-469571B24758}"/>
            </a:ext>
          </a:extLst>
        </xdr:cNvPr>
        <xdr:cNvSpPr txBox="1"/>
      </xdr:nvSpPr>
      <xdr:spPr>
        <a:xfrm>
          <a:off x="6172200" y="6720840"/>
          <a:ext cx="2026920" cy="289560"/>
        </a:xfrm>
        <a:prstGeom prst="rect">
          <a:avLst/>
        </a:prstGeom>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latin typeface="Times New Roman" panose="02020603050405020304" pitchFamily="18" charset="0"/>
              <a:cs typeface="Times New Roman" panose="02020603050405020304" pitchFamily="18" charset="0"/>
            </a:rPr>
            <a:t>Internet hosts</a:t>
          </a:r>
          <a:r>
            <a:rPr lang="en-US" sz="1200" b="1" baseline="0">
              <a:latin typeface="Times New Roman" panose="02020603050405020304" pitchFamily="18" charset="0"/>
              <a:cs typeface="Times New Roman" panose="02020603050405020304" pitchFamily="18" charset="0"/>
            </a:rPr>
            <a:t> and its users</a:t>
          </a:r>
          <a:endParaRPr lang="en-US" sz="1200" b="1">
            <a:latin typeface="Times New Roman" panose="02020603050405020304" pitchFamily="18" charset="0"/>
            <a:cs typeface="Times New Roman" panose="020206030504050203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tick M" refreshedDate="44523.087811111109" createdVersion="7" refreshedVersion="7" minRefreshableVersion="3" recordCount="263" xr:uid="{9E9B46D1-C85E-4168-A75E-E32BCCEA9B78}">
  <cacheSource type="worksheet">
    <worksheetSource name="data"/>
  </cacheSource>
  <cacheFields count="45">
    <cacheField name="Country" numFmtId="0">
      <sharedItems count="263">
        <s v="Afghanistan"/>
        <s v="Akrotiri"/>
        <s v="Albania"/>
        <s v="Algeria"/>
        <s v="American Samoa"/>
        <s v="Andorra"/>
        <s v="Angola"/>
        <s v="Anguilla"/>
        <s v="Antarctica"/>
        <s v="Antigua and Barbuda"/>
        <s v="Argentina"/>
        <s v="Armenia"/>
        <s v="Aruba"/>
        <s v="Ashmore and Cartier Islands"/>
        <s v="Australia"/>
        <s v="Austria"/>
        <s v="Azerbaijan"/>
        <s v="Bahamas The"/>
        <s v="Bahrain"/>
        <s v="Baker Island"/>
        <s v="Bangladesh"/>
        <s v="Barbados"/>
        <s v="Bassas da India"/>
        <s v="Belarus"/>
        <s v="Belgium"/>
        <s v="Belize"/>
        <s v="Benin"/>
        <s v="Bermuda"/>
        <s v="Bhutan"/>
        <s v="Bolivia"/>
        <s v="Bosnia and Herzegovina"/>
        <s v="Botswana"/>
        <s v="Bouvet Island"/>
        <s v="Brazil"/>
        <s v="British Indian Ocean Territory"/>
        <s v="British Virgin Islands"/>
        <s v="Brunei"/>
        <s v="Bulgaria"/>
        <s v="Burkina Faso"/>
        <s v="Burma"/>
        <s v="Burundi"/>
        <s v="Cambodia"/>
        <s v="Cameroon"/>
        <s v="Canada"/>
        <s v="Cape Verde"/>
        <s v="Cayman Islands"/>
        <s v="Central African Republic"/>
        <s v="Chad"/>
        <s v="Chile"/>
        <s v="China"/>
        <s v="Christmas Island"/>
        <s v="Clipperton Island"/>
        <s v="Cocos (Keeling) Islands"/>
        <s v="Colombia"/>
        <s v="Comoros"/>
        <s v="Congo Democratic Republic of the"/>
        <s v="Congo Republic of the"/>
        <s v="Cook Islands"/>
        <s v="Costa Rica"/>
        <s v="Cote d'Ivoire"/>
        <s v="Croatia"/>
        <s v="Cuba"/>
        <s v="Cyprus"/>
        <s v="Czech Republic"/>
        <s v="Denmark"/>
        <s v="Dhekelia"/>
        <s v="Djibouti"/>
        <s v="Dominica"/>
        <s v="Dominican Republic"/>
        <s v="East Timor"/>
        <s v="Ecuador"/>
        <s v="Egypt"/>
        <s v="El Salvador"/>
        <s v="Equatorial Guinea"/>
        <s v="Eritrea"/>
        <s v="Estonia"/>
        <s v="Ethiopia"/>
        <s v="Europa Island"/>
        <s v="#European Union"/>
        <s v="Falkland Islands (Islas Malvinas)"/>
        <s v="Faroe Islands"/>
        <s v="Fiji"/>
        <s v="Finland"/>
        <s v="France"/>
        <s v="French Guiana"/>
        <s v="French Polynesia"/>
        <s v="French Southern and Antarctic Lands"/>
        <s v="Gabon"/>
        <s v="Gambia The"/>
        <s v="Gaza Strip"/>
        <s v="Georgia"/>
        <s v="Germany"/>
        <s v="Ghana"/>
        <s v="Gibraltar"/>
        <s v="Glorioso Islands"/>
        <s v="Greece"/>
        <s v="Greenland"/>
        <s v="Grenada"/>
        <s v="Guadeloupe"/>
        <s v="Guam"/>
        <s v="Guatemala"/>
        <s v="Guernsey"/>
        <s v="Guinea"/>
        <s v="Guinea-Bissau"/>
        <s v="Guyana"/>
        <s v="Haiti"/>
        <s v="Heard Island and McDonald Islands"/>
        <s v="Holy See (Vatican City)"/>
        <s v="Honduras"/>
        <s v="Hong Kong"/>
        <s v="Howland Island"/>
        <s v="Hungary"/>
        <s v="Iceland"/>
        <s v="India"/>
        <s v="Indonesia"/>
        <s v="Iran"/>
        <s v="Iraq"/>
        <s v="Ireland"/>
        <s v="Israel"/>
        <s v="Italy"/>
        <s v="Jamaica"/>
        <s v="Jan Mayen"/>
        <s v="Japan"/>
        <s v="Jarvis Island"/>
        <s v="Jersey"/>
        <s v="Johnston Atoll"/>
        <s v="Jordan"/>
        <s v="Juan de Nova Island"/>
        <s v="Kazakhstan"/>
        <s v="Kenya"/>
        <s v="Kingman Reef"/>
        <s v="Kiribati"/>
        <s v="Korea North"/>
        <s v="Korea South"/>
        <s v="Kuwait"/>
        <s v="Kyrgyzstan"/>
        <s v="Laos"/>
        <s v="Latvia"/>
        <s v="Lebanon"/>
        <s v="Lesotho"/>
        <s v="Liberia"/>
        <s v="Libya"/>
        <s v="Liechtenstein"/>
        <s v="Lithuania"/>
        <s v="Luxembourg"/>
        <s v="Macau"/>
        <s v="Macedonia"/>
        <s v="Madagascar"/>
        <s v="Malawi"/>
        <s v="Malaysia"/>
        <s v="Maldives"/>
        <s v="Mali"/>
        <s v="Malta"/>
        <s v="Man Isle of"/>
        <s v="Marshall Islands"/>
        <s v="Martinique"/>
        <s v="Mauritania"/>
        <s v="Mauritius"/>
        <s v="Mayotte"/>
        <s v="Mexico"/>
        <s v="Micronesia Federated States of"/>
        <s v="Midway Islands"/>
        <s v="Moldova"/>
        <s v="Monaco"/>
        <s v="Mongolia"/>
        <s v="Montserrat"/>
        <s v="Morocco"/>
        <s v="Mozambique"/>
        <s v="Namibia"/>
        <s v="Nauru"/>
        <s v="Navassa Island"/>
        <s v="Nepal"/>
        <s v="Netherlands"/>
        <s v="Netherlands Antilles"/>
        <s v="New Caledonia"/>
        <s v="New Zealand"/>
        <s v="Nicaragua"/>
        <s v="Niger"/>
        <s v="Nigeria"/>
        <s v="Niue"/>
        <s v="Norfolk Island"/>
        <s v="Northern Mariana Islands"/>
        <s v="Norway"/>
        <s v="Oman"/>
        <s v="Pakistan"/>
        <s v="Palau"/>
        <s v="Palmyra Atoll"/>
        <s v="Panama"/>
        <s v="Papua New Guinea"/>
        <s v="Paraguay"/>
        <s v="Peru"/>
        <s v="Philippines"/>
        <s v="Pitcairn Islands"/>
        <s v="Poland"/>
        <s v="Portugal"/>
        <s v="Puerto Rico"/>
        <s v="Qatar"/>
        <s v="Reunion"/>
        <s v="Romania"/>
        <s v="Russia"/>
        <s v="Rwanda"/>
        <s v="Saint Helena"/>
        <s v="Saint Kitts and Nevis"/>
        <s v="Saint Lucia"/>
        <s v="Saint Pierre and Miquelon"/>
        <s v="Saint Vincent and the Grenadines"/>
        <s v="Samoa"/>
        <s v="San Marino"/>
        <s v="Sao Tome and Principe"/>
        <s v="Saudi Arabia"/>
        <s v="Senegal"/>
        <s v="Serbia and Montenegro"/>
        <s v="Seychelles"/>
        <s v="Sierra Leone"/>
        <s v="Singapore"/>
        <s v="Slovakia"/>
        <s v="Slovenia"/>
        <s v="Solomon Islands"/>
        <s v="Somalia"/>
        <s v="South Africa"/>
        <s v="South Georgia and the South Sandwich Islands"/>
        <s v="Spain"/>
        <s v="Spratly Islands"/>
        <s v="Sri Lanka"/>
        <s v="Sudan"/>
        <s v="Suriname"/>
        <s v="Svalbard"/>
        <s v="Swaziland"/>
        <s v="Sweden"/>
        <s v="Switzerland"/>
        <s v="Syria"/>
        <s v="Taiwan"/>
        <s v="Tajikistan"/>
        <s v="Tanzania"/>
        <s v="Thailand"/>
        <s v="Togo"/>
        <s v="Tokelau"/>
        <s v="Tonga"/>
        <s v="Trinidad and Tobago"/>
        <s v="Tromelin Island"/>
        <s v="Tunisia"/>
        <s v="Turkey"/>
        <s v="Turkmenistan"/>
        <s v="Turks and Caicos Islands"/>
        <s v="Tuvalu"/>
        <s v="Uganda"/>
        <s v="Ukraine"/>
        <s v="United Arab Emirates"/>
        <s v="United Kingdom"/>
        <s v="United States"/>
        <s v="Uruguay"/>
        <s v="Uzbekistan"/>
        <s v="Vanuatu"/>
        <s v="Venezuela"/>
        <s v="Vietnam"/>
        <s v="Virgin Islands"/>
        <s v="Wake Island"/>
        <s v="Wallis and Futuna"/>
        <s v="West Bank"/>
        <s v="Western Sahara"/>
        <s v="Yemen"/>
        <s v="Zambia"/>
        <s v="Zimbabwe"/>
      </sharedItems>
    </cacheField>
    <cacheField name="Area(sq km)" numFmtId="0">
      <sharedItems containsSemiMixedTypes="0" containsString="0" containsNumber="1" containsInteger="1" minValue="0" maxValue="17075200"/>
    </cacheField>
    <cacheField name="Birth rate(births/1000 population)" numFmtId="0">
      <sharedItems containsString="0" containsBlank="1" containsNumber="1" minValue="7.23" maxValue="48.3"/>
    </cacheField>
    <cacheField name="Current account balance" numFmtId="0">
      <sharedItems containsString="0" containsBlank="1" containsNumber="1" containsInteger="1" minValue="-646500000000" maxValue="170200000000" count="150">
        <m/>
        <n v="-504000000"/>
        <n v="11900000000"/>
        <n v="-37880000"/>
        <n v="5473000000"/>
        <n v="-240400000"/>
        <n v="-38300000000"/>
        <n v="-3283000000"/>
        <n v="-2899000000"/>
        <n v="586100000"/>
        <n v="216600000"/>
        <n v="-1119000000"/>
        <n v="11400000000"/>
        <n v="-115000000"/>
        <n v="-159900000"/>
        <n v="273000000"/>
        <n v="-2100000000"/>
        <n v="337000000"/>
        <n v="8000000000"/>
        <n v="682900000"/>
        <n v="-471700000"/>
        <n v="-185000000"/>
        <n v="-59500000"/>
        <n v="-316200000"/>
        <n v="-149100000"/>
        <n v="28200000000"/>
        <n v="-93760000"/>
        <n v="330200000"/>
        <n v="2185000000"/>
        <n v="30320000000"/>
        <n v="-1706000000"/>
        <n v="266000000"/>
        <n v="-980300000"/>
        <n v="-421500000"/>
        <n v="-1925000000"/>
        <n v="-185100000"/>
        <n v="-619900000"/>
        <n v="-5730000000"/>
        <n v="6529000000"/>
        <n v="762200000"/>
        <n v="261100000"/>
        <n v="2113000000"/>
        <n v="-880500000"/>
        <n v="-578600000"/>
        <n v="-144900000"/>
        <n v="-1169000000"/>
        <n v="-464400000"/>
        <n v="11390000000"/>
        <n v="-305000000"/>
        <n v="196800000"/>
        <n v="-16400000"/>
        <n v="-632900000"/>
        <n v="73590000000"/>
        <n v="83870000"/>
        <n v="-8000000000"/>
        <n v="-1381000000"/>
        <n v="-308300000"/>
        <n v="-129400000"/>
        <n v="-27630000"/>
        <n v="258300000"/>
        <n v="14850000000"/>
        <n v="-7941000000"/>
        <n v="-570000000"/>
        <n v="4897000000"/>
        <n v="7338000000"/>
        <n v="2100000000"/>
        <n v="-560000000"/>
        <n v="-2881000000"/>
        <n v="211900000"/>
        <n v="-21100000000"/>
        <n v="-830700000"/>
        <n v="170200000000"/>
        <n v="203200000"/>
        <n v="-39020000"/>
        <n v="-459200000"/>
        <n v="26780000000"/>
        <n v="12040000000"/>
        <n v="-87920000"/>
        <n v="-80760000"/>
        <n v="-1251000000"/>
        <n v="-2389000000"/>
        <n v="-108300000"/>
        <n v="9895000000"/>
        <n v="-1600000000"/>
        <n v="-311000000"/>
        <n v="-281900000"/>
        <n v="-55500000"/>
        <n v="11810000000"/>
        <n v="-241000000"/>
        <n v="284100000"/>
        <n v="-4113000000"/>
        <n v="-148400000"/>
        <n v="765400000"/>
        <n v="-101200000"/>
        <n v="234300000"/>
        <n v="19900000000"/>
        <n v="-3647000000"/>
        <n v="-843100000"/>
        <n v="5228000000"/>
        <n v="30520000000"/>
        <n v="2674000000"/>
        <n v="1400000000"/>
        <n v="-469600000"/>
        <n v="29150000"/>
        <n v="-36110000"/>
        <n v="-30000000"/>
        <n v="3600000000"/>
        <n v="-3831000000"/>
        <n v="-8120000000"/>
        <n v="5187000000"/>
        <n v="-3631000000"/>
        <n v="46040000000"/>
        <n v="-212500000"/>
        <n v="-31500000"/>
        <n v="51500000000"/>
        <n v="-518800000"/>
        <n v="-3008000000"/>
        <n v="-98420000"/>
        <n v="8800000000"/>
        <n v="-1400000000"/>
        <n v="-51640000"/>
        <n v="-2480000000"/>
        <n v="-30890000000"/>
        <n v="-587300000"/>
        <n v="-763600000"/>
        <n v="-82400000"/>
        <n v="24080000000"/>
        <n v="40950000000"/>
        <n v="1100000000"/>
        <n v="21160000000"/>
        <n v="-52000000"/>
        <n v="-327400000"/>
        <n v="6736000000"/>
        <n v="-125600000"/>
        <n v="1548000000"/>
        <n v="71850000"/>
        <n v="-15300000000"/>
        <n v="114000000"/>
        <n v="-590800000"/>
        <n v="4584000000"/>
        <n v="6300000000"/>
        <n v="-33460000000"/>
        <n v="-646500000000"/>
        <n v="181800000"/>
        <n v="461900000"/>
        <n v="14590000000"/>
        <n v="-2061000000"/>
        <n v="369900000"/>
        <n v="-181400000"/>
        <n v="-230300000"/>
      </sharedItems>
    </cacheField>
    <cacheField name="Death rate(deaths/1000 population)" numFmtId="0">
      <sharedItems containsString="0" containsBlank="1" containsNumber="1" minValue="2.2999999999999998" maxValue="29.36"/>
    </cacheField>
    <cacheField name="Debt - external" numFmtId="0">
      <sharedItems containsString="0" containsBlank="1" containsNumber="1" containsInteger="1" minValue="0" maxValue="4710000000000"/>
    </cacheField>
    <cacheField name="Electricity - consumption(kWh)" numFmtId="0">
      <sharedItems containsString="0" containsBlank="1" containsNumber="1" containsInteger="1" minValue="1674000" maxValue="3660000000000"/>
    </cacheField>
    <cacheField name="Electricity - production(kWh)" numFmtId="0">
      <sharedItems containsString="0" containsBlank="1" containsNumber="1" containsInteger="1" minValue="1800000" maxValue="3839000000000"/>
    </cacheField>
    <cacheField name="Exports" numFmtId="0">
      <sharedItems containsString="0" containsBlank="1" containsNumber="1" containsInteger="1" minValue="98000" maxValue="1109000000000"/>
    </cacheField>
    <cacheField name="GDP" numFmtId="0">
      <sharedItems containsString="0" containsBlank="1" containsNumber="1" containsInteger="1" minValue="1500000" maxValue="11750000000000"/>
    </cacheField>
    <cacheField name="GDP - per capita" numFmtId="0">
      <sharedItems containsString="0" containsBlank="1" containsNumber="1" containsInteger="1" minValue="400" maxValue="58900"/>
    </cacheField>
    <cacheField name="GDP - real growth rate(%)" numFmtId="0">
      <sharedItems containsString="0" containsBlank="1" containsNumber="1" minValue="-8.1999999999999993" maxValue="52.3"/>
    </cacheField>
    <cacheField name="HIV/AIDS - adult prevalence rate(%)" numFmtId="0">
      <sharedItems containsString="0" containsBlank="1" containsNumber="1" minValue="0" maxValue="38.799999999999997"/>
    </cacheField>
    <cacheField name="HIV/AIDS - deaths" numFmtId="0">
      <sharedItems containsString="0" containsBlank="1" containsNumber="1" containsInteger="1" minValue="0" maxValue="370000"/>
    </cacheField>
    <cacheField name="HIV/AIDS - people living with HIV/AIDS" numFmtId="0">
      <sharedItems containsString="0" containsBlank="1" containsNumber="1" containsInteger="1" minValue="0" maxValue="5300000"/>
    </cacheField>
    <cacheField name="Highways(km)" numFmtId="0">
      <sharedItems containsString="0" containsBlank="1" containsNumber="1" containsInteger="1" minValue="6" maxValue="6393603"/>
    </cacheField>
    <cacheField name="Imports" numFmtId="0">
      <sharedItems containsString="0" containsBlank="1" containsNumber="1" containsInteger="1" minValue="300000" maxValue="1476000000000"/>
    </cacheField>
    <cacheField name="Industrial production growth rate(%)" numFmtId="0">
      <sharedItems containsString="0" containsBlank="1" containsNumber="1" minValue="-10" maxValue="30"/>
    </cacheField>
    <cacheField name="Infant mortality rate(deaths/1000 live births)" numFmtId="0">
      <sharedItems containsString="0" containsBlank="1" containsNumber="1" minValue="2.29" maxValue="191.19"/>
    </cacheField>
    <cacheField name="Inflation rate (consumer prices)(%)" numFmtId="0">
      <sharedItems containsString="0" containsBlank="1" containsNumber="1" minValue="-3.6" maxValue="133"/>
    </cacheField>
    <cacheField name="Internet hosts" numFmtId="0">
      <sharedItems containsString="0" containsBlank="1" containsNumber="1" containsInteger="1" minValue="1" maxValue="115311958"/>
    </cacheField>
    <cacheField name="Internet users" numFmtId="0">
      <sharedItems containsString="0" containsBlank="1" containsNumber="1" containsInteger="1" minValue="300" maxValue="206032067"/>
    </cacheField>
    <cacheField name="Investment (gross fixed)(% of GDP)" numFmtId="0">
      <sharedItems containsString="0" containsBlank="1" containsNumber="1" minValue="8" maxValue="65.099999999999994"/>
    </cacheField>
    <cacheField name="Labor force" numFmtId="0">
      <sharedItems containsString="0" containsBlank="1" containsNumber="1" containsInteger="1" minValue="15" maxValue="760800000"/>
    </cacheField>
    <cacheField name="Life expectancy at birth(years)" numFmtId="0">
      <sharedItems containsString="0" containsBlank="1" containsNumber="1" minValue="33.869999999999997" maxValue="83.51"/>
    </cacheField>
    <cacheField name="Military expenditures - dollar figure" numFmtId="0">
      <sharedItems containsString="0" containsBlank="1" containsNumber="1" containsInteger="1" minValue="700000" maxValue="370700000000"/>
    </cacheField>
    <cacheField name="Military expenditures - percent of GDP(%)" numFmtId="0">
      <sharedItems containsString="0" containsBlank="1" containsNumber="1" minValue="0.11" maxValue="14.6"/>
    </cacheField>
    <cacheField name="Natural gas - consumption(cu m)" numFmtId="0">
      <sharedItems containsString="0" containsBlank="1" containsNumber="1" containsInteger="1" minValue="0" maxValue="640900000000" count="104">
        <n v="220000000"/>
        <m/>
        <n v="30000000"/>
        <n v="22320000000"/>
        <n v="530000000"/>
        <n v="31100000000"/>
        <n v="1400000000"/>
        <n v="23330000000"/>
        <n v="7810000000"/>
        <n v="6720000000"/>
        <n v="32700000000"/>
        <n v="9900000000"/>
        <n v="29170000"/>
        <n v="18800000000"/>
        <n v="15500000000"/>
        <n v="1150000000"/>
        <n v="300000000"/>
        <n v="9590000000"/>
        <n v="1350000000"/>
        <n v="5804000000"/>
        <n v="1569000000"/>
        <n v="0"/>
        <n v="55800000000"/>
        <n v="6517000000"/>
        <n v="29180000000"/>
        <n v="5700000000"/>
        <n v="2840000000"/>
        <n v="600000000"/>
        <n v="9892000000"/>
        <n v="5280000000"/>
        <n v="160000000"/>
        <n v="21200000000"/>
        <n v="20000000"/>
        <n v="1270000000"/>
        <n v="467700000000"/>
        <n v="4557000000"/>
        <n v="42010000000"/>
        <n v="80000000"/>
        <n v="1160000000"/>
        <n v="99550000000"/>
        <n v="2021000000"/>
        <n v="680900000"/>
        <n v="13370000000"/>
        <n v="22750000000"/>
        <n v="55300000000"/>
        <n v="72400000000"/>
        <n v="2350000000"/>
        <n v="4199000000"/>
        <n v="10000000"/>
        <n v="71180000000"/>
        <n v="80420000000"/>
        <n v="290000000"/>
        <n v="14300000000"/>
        <n v="20920000000"/>
        <n v="8700000000"/>
        <n v="2016000000"/>
        <n v="1700000000"/>
        <n v="5410000000"/>
        <n v="2760000000"/>
        <n v="865000000"/>
        <n v="31250000000"/>
        <n v="55100000000"/>
        <n v="2050000000"/>
        <n v="50000000"/>
        <n v="60000000"/>
        <n v="49720000000"/>
        <n v="6504000000"/>
        <n v="7850000000"/>
        <n v="4100000000"/>
        <n v="6340000000"/>
        <n v="23400000000"/>
        <n v="110000000"/>
        <n v="910000000"/>
        <n v="25000000"/>
        <n v="13850000000"/>
        <n v="2542000000"/>
        <n v="630000000"/>
        <n v="15860000000"/>
        <n v="18500000000"/>
        <n v="405800000000"/>
        <n v="56400000000"/>
        <n v="602000000"/>
        <n v="2500000000"/>
        <n v="6800000000"/>
        <n v="1040000000"/>
        <n v="1800000000"/>
        <n v="17960000000"/>
        <n v="949000000"/>
        <n v="3093000000"/>
        <n v="5840000000"/>
        <n v="6640000000"/>
        <n v="1300000000"/>
        <n v="23930000000"/>
        <n v="13760000000"/>
        <n v="3830000000"/>
        <n v="15940000000"/>
        <n v="9600000000"/>
        <n v="79860000000"/>
        <n v="33700000000"/>
        <n v="92850000000"/>
        <n v="640900000000"/>
        <n v="64500000"/>
        <n v="45200000000"/>
        <n v="29400000000"/>
      </sharedItems>
    </cacheField>
    <cacheField name="Natural gas - exports(cu m)" numFmtId="0">
      <sharedItems containsString="0" containsBlank="1" containsNumber="1" containsInteger="1" minValue="0" maxValue="171000000000"/>
    </cacheField>
    <cacheField name="Natural gas - imports(cu m)" numFmtId="0">
      <sharedItems containsString="0" containsBlank="1" containsNumber="1" containsInteger="1" minValue="0" maxValue="297800000000" count="56">
        <n v="0"/>
        <m/>
        <n v="1400000000"/>
        <n v="6033000000"/>
        <n v="1000000000"/>
        <n v="18500000000"/>
        <n v="15400000000"/>
        <n v="300000000"/>
        <n v="3640000000"/>
        <n v="5800000000"/>
        <n v="8730000000"/>
        <n v="5337000000"/>
        <n v="1080000000"/>
        <n v="9521000000"/>
        <n v="1270000000"/>
        <n v="297800000000"/>
        <n v="4567000000"/>
        <n v="40260000000"/>
        <n v="1100000000"/>
        <n v="85020000000"/>
        <n v="2018000000"/>
        <n v="680900000"/>
        <n v="9587000000"/>
        <n v="4920000000"/>
        <n v="3384000000"/>
        <n v="54780000000"/>
        <n v="77730000000"/>
        <n v="8696000000"/>
        <n v="21110000000"/>
        <n v="2000000000"/>
        <n v="1700000000"/>
        <n v="2760000000"/>
        <n v="867000000"/>
        <n v="7850000000"/>
        <n v="2050000000"/>
        <n v="20780000000"/>
        <n v="8782000000"/>
        <n v="2553000000"/>
        <n v="630000000"/>
        <n v="5400000000"/>
        <n v="32700000000"/>
        <n v="2500000000"/>
        <n v="6600000000"/>
        <n v="1040000000"/>
        <n v="17260000000"/>
        <n v="968000000"/>
        <n v="3093000000"/>
        <n v="6300000000"/>
        <n v="1250000000"/>
        <n v="5200000000"/>
        <n v="1580000000"/>
        <n v="15750000000"/>
        <n v="60400000000"/>
        <n v="2700000000"/>
        <n v="114100000000"/>
        <n v="65000000"/>
      </sharedItems>
    </cacheField>
    <cacheField name="Natural gas - production(cu m)" numFmtId="0">
      <sharedItems containsString="0" containsBlank="1" containsNumber="1" containsInteger="1" minValue="0" maxValue="578600000000"/>
    </cacheField>
    <cacheField name="Natural gas - proved reserves(cu m)" numFmtId="0">
      <sharedItems containsString="0" containsBlank="1" containsNumber="1" containsInteger="1" minValue="0" maxValue="47000000000000"/>
    </cacheField>
    <cacheField name="Oil - consumption(bbl/day)" numFmtId="0">
      <sharedItems containsString="0" containsBlank="1" containsNumber="1" containsInteger="1" minValue="0" maxValue="19650000"/>
    </cacheField>
    <cacheField name="Oil - exports(bbl/day)" numFmtId="0">
      <sharedItems containsString="0" containsBlank="1" containsNumber="1" containsInteger="1" minValue="0" maxValue="7920000"/>
    </cacheField>
    <cacheField name="Oil - imports(bbl/day)" numFmtId="0">
      <sharedItems containsString="0" containsBlank="1" containsNumber="1" containsInteger="1" minValue="0" maxValue="15690000"/>
    </cacheField>
    <cacheField name="Oil - production(bbl/day)" numFmtId="0">
      <sharedItems containsString="0" containsBlank="1" containsNumber="1" containsInteger="1" minValue="0" maxValue="9021000"/>
    </cacheField>
    <cacheField name="Oil - proved reserves(bbl)" numFmtId="0">
      <sharedItems containsString="0" containsBlank="1" containsNumber="1" containsInteger="1" minValue="0" maxValue="261700000000"/>
    </cacheField>
    <cacheField name="Population" numFmtId="0">
      <sharedItems containsString="0" containsBlank="1" containsNumber="1" containsInteger="1" minValue="46" maxValue="1306313812"/>
    </cacheField>
    <cacheField name="Public debt(% of GDP)" numFmtId="0">
      <sharedItems containsString="0" containsBlank="1" containsNumber="1" minValue="2.1" maxValue="228.3"/>
    </cacheField>
    <cacheField name="Railways(km)" numFmtId="0">
      <sharedItems containsString="0" containsBlank="1" containsNumber="1" containsInteger="1" minValue="6" maxValue="228464"/>
    </cacheField>
    <cacheField name="Reserves of foreign exchange &amp; gold" numFmtId="0">
      <sharedItems containsString="0" containsBlank="1" containsNumber="1" containsInteger="1" minValue="29780000" maxValue="664600000000"/>
    </cacheField>
    <cacheField name="Telephones - main lines in use" numFmtId="0">
      <sharedItems containsString="0" containsBlank="1" containsNumber="1" containsInteger="1" minValue="0" maxValue="263000000"/>
    </cacheField>
    <cacheField name="Telephones - mobile cellular" numFmtId="0">
      <sharedItems containsString="0" containsBlank="1" containsNumber="1" containsInteger="1" minValue="0" maxValue="314644700"/>
    </cacheField>
    <cacheField name="Total fertility rate(children born/woman)" numFmtId="0">
      <sharedItems containsString="0" containsBlank="1" containsNumber="1" minValue="0.91" maxValue="6.84"/>
    </cacheField>
    <cacheField name="Unemployment rate(%)" numFmtId="0">
      <sharedItems containsString="0" containsBlank="1" containsNumber="1" minValue="0" maxValue="90"/>
    </cacheField>
  </cacheFields>
  <extLst>
    <ext xmlns:x14="http://schemas.microsoft.com/office/spreadsheetml/2009/9/main" uri="{725AE2AE-9491-48be-B2B4-4EB974FC3084}">
      <x14:pivotCacheDefinition pivotCacheId="1459037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3">
  <r>
    <x v="0"/>
    <n v="647500"/>
    <n v="47.02"/>
    <x v="0"/>
    <n v="20.75"/>
    <n v="8000000000"/>
    <n v="652200000"/>
    <n v="540000000"/>
    <n v="446000000"/>
    <n v="21500000000"/>
    <n v="800"/>
    <n v="7.5"/>
    <n v="0.01"/>
    <m/>
    <m/>
    <n v="21000"/>
    <n v="3759000000"/>
    <m/>
    <n v="163.07"/>
    <n v="10.3"/>
    <m/>
    <n v="1000"/>
    <m/>
    <n v="11800000"/>
    <n v="42.9"/>
    <n v="188400000"/>
    <n v="2.6"/>
    <x v="0"/>
    <n v="0"/>
    <x v="0"/>
    <n v="220000000"/>
    <n v="49980000000"/>
    <n v="3500"/>
    <m/>
    <m/>
    <n v="0"/>
    <n v="0"/>
    <n v="29928987"/>
    <m/>
    <m/>
    <m/>
    <n v="33100"/>
    <n v="15000"/>
    <n v="6.75"/>
    <m/>
  </r>
  <r>
    <x v="1"/>
    <n v="123"/>
    <m/>
    <x v="0"/>
    <m/>
    <m/>
    <m/>
    <m/>
    <m/>
    <m/>
    <m/>
    <m/>
    <m/>
    <m/>
    <m/>
    <m/>
    <m/>
    <m/>
    <m/>
    <m/>
    <m/>
    <m/>
    <m/>
    <m/>
    <m/>
    <m/>
    <m/>
    <x v="1"/>
    <m/>
    <x v="1"/>
    <m/>
    <m/>
    <m/>
    <m/>
    <m/>
    <m/>
    <m/>
    <m/>
    <m/>
    <m/>
    <m/>
    <m/>
    <m/>
    <m/>
    <m/>
  </r>
  <r>
    <x v="2"/>
    <n v="28748"/>
    <n v="15.08"/>
    <x v="1"/>
    <n v="5.12"/>
    <n v="1410000000"/>
    <n v="6760000000"/>
    <n v="5680000000"/>
    <n v="552400000"/>
    <n v="17460000000"/>
    <n v="4900"/>
    <n v="5.6"/>
    <m/>
    <m/>
    <m/>
    <n v="18000"/>
    <n v="2076000000"/>
    <n v="3.1"/>
    <n v="21.52"/>
    <n v="3.2"/>
    <n v="455"/>
    <n v="30000"/>
    <n v="18.399999999999999"/>
    <n v="1090000"/>
    <n v="77.239999999999995"/>
    <n v="56500000"/>
    <n v="1.49"/>
    <x v="2"/>
    <n v="0"/>
    <x v="0"/>
    <n v="30000000"/>
    <n v="3316000000"/>
    <n v="7500"/>
    <n v="0"/>
    <n v="5500"/>
    <n v="2000"/>
    <n v="185500000"/>
    <n v="3563112"/>
    <m/>
    <n v="447"/>
    <n v="1206000000"/>
    <n v="255000"/>
    <n v="1100000"/>
    <n v="2.04"/>
    <n v="14.8"/>
  </r>
  <r>
    <x v="3"/>
    <n v="2381740"/>
    <n v="17.13"/>
    <x v="2"/>
    <n v="4.5999999999999996"/>
    <n v="21900000000"/>
    <n v="23610000000"/>
    <n v="25760000000"/>
    <n v="32160000000"/>
    <n v="212300000000"/>
    <n v="6600"/>
    <n v="6.1"/>
    <n v="0.1"/>
    <n v="500"/>
    <n v="9100"/>
    <n v="104000"/>
    <n v="15250000000"/>
    <n v="6"/>
    <n v="31"/>
    <n v="3.1"/>
    <n v="897"/>
    <n v="500000"/>
    <n v="26.2"/>
    <n v="9910000"/>
    <n v="73"/>
    <n v="2480000000"/>
    <n v="3.2"/>
    <x v="3"/>
    <n v="57980000000"/>
    <x v="0"/>
    <n v="80300000000"/>
    <n v="4739000000000"/>
    <n v="209000"/>
    <m/>
    <m/>
    <n v="1200000"/>
    <n v="11870000000"/>
    <n v="32531853"/>
    <n v="37.4"/>
    <n v="3973"/>
    <n v="43550000000"/>
    <n v="2199600"/>
    <n v="1447310"/>
    <n v="1.92"/>
    <n v="25.4"/>
  </r>
  <r>
    <x v="4"/>
    <n v="199"/>
    <n v="23.13"/>
    <x v="0"/>
    <n v="3.33"/>
    <m/>
    <n v="120900000"/>
    <n v="130000000"/>
    <n v="30000000"/>
    <n v="500000000"/>
    <n v="8000"/>
    <m/>
    <m/>
    <m/>
    <m/>
    <n v="185"/>
    <n v="123000000"/>
    <m/>
    <n v="9.27"/>
    <m/>
    <m/>
    <m/>
    <m/>
    <n v="14000"/>
    <n v="75.84"/>
    <m/>
    <m/>
    <x v="1"/>
    <m/>
    <x v="1"/>
    <m/>
    <m/>
    <n v="3800"/>
    <m/>
    <m/>
    <n v="0"/>
    <m/>
    <n v="57881"/>
    <m/>
    <m/>
    <m/>
    <n v="15000"/>
    <n v="2377"/>
    <n v="3.25"/>
    <n v="6"/>
  </r>
  <r>
    <x v="5"/>
    <n v="468"/>
    <n v="9"/>
    <x v="0"/>
    <n v="6.07"/>
    <m/>
    <m/>
    <m/>
    <n v="58000000"/>
    <n v="1900000000"/>
    <n v="26800"/>
    <n v="2"/>
    <m/>
    <m/>
    <m/>
    <n v="269"/>
    <n v="1077000000"/>
    <m/>
    <n v="4.05"/>
    <n v="4.3"/>
    <n v="4144"/>
    <n v="24500"/>
    <m/>
    <n v="33000"/>
    <n v="83.51"/>
    <m/>
    <m/>
    <x v="1"/>
    <m/>
    <x v="1"/>
    <m/>
    <m/>
    <m/>
    <m/>
    <m/>
    <m/>
    <m/>
    <n v="70549"/>
    <m/>
    <m/>
    <m/>
    <n v="35000"/>
    <n v="23500"/>
    <n v="1.29"/>
    <n v="0"/>
  </r>
  <r>
    <x v="6"/>
    <n v="1246700"/>
    <n v="44.64"/>
    <x v="3"/>
    <n v="25.9"/>
    <n v="10450000000"/>
    <n v="1587000000"/>
    <n v="1707000000"/>
    <n v="12760000000"/>
    <n v="23170000000"/>
    <n v="2100"/>
    <n v="11.7"/>
    <n v="3.9"/>
    <n v="21000"/>
    <n v="240000"/>
    <n v="51429"/>
    <n v="4896000000"/>
    <n v="1"/>
    <n v="191.19"/>
    <n v="43.8"/>
    <n v="17"/>
    <n v="41000"/>
    <n v="34.5"/>
    <n v="5410000"/>
    <n v="36.61"/>
    <n v="183580000"/>
    <n v="10.6"/>
    <x v="4"/>
    <n v="0"/>
    <x v="0"/>
    <n v="530000000"/>
    <n v="79570000000"/>
    <n v="31000"/>
    <m/>
    <m/>
    <n v="980000"/>
    <n v="22880000000"/>
    <n v="11190786"/>
    <m/>
    <n v="2761"/>
    <n v="800000000"/>
    <n v="96300"/>
    <n v="130000"/>
    <n v="6.27"/>
    <m/>
  </r>
  <r>
    <x v="7"/>
    <n v="102"/>
    <n v="14.26"/>
    <x v="0"/>
    <n v="5.43"/>
    <n v="8800000"/>
    <n v="42600000"/>
    <m/>
    <n v="2600000"/>
    <n v="112000000"/>
    <n v="7500"/>
    <n v="2.8"/>
    <m/>
    <m/>
    <m/>
    <n v="105"/>
    <n v="80900000"/>
    <n v="3.1"/>
    <n v="21.03"/>
    <n v="2.2999999999999998"/>
    <m/>
    <n v="3000"/>
    <m/>
    <n v="6049"/>
    <n v="77.11"/>
    <m/>
    <m/>
    <x v="1"/>
    <m/>
    <x v="1"/>
    <m/>
    <m/>
    <m/>
    <m/>
    <m/>
    <m/>
    <m/>
    <n v="13254"/>
    <m/>
    <m/>
    <m/>
    <n v="6200"/>
    <n v="1800"/>
    <n v="1.73"/>
    <n v="8"/>
  </r>
  <r>
    <x v="8"/>
    <n v="14000000"/>
    <m/>
    <x v="0"/>
    <m/>
    <m/>
    <m/>
    <m/>
    <m/>
    <m/>
    <m/>
    <m/>
    <m/>
    <m/>
    <m/>
    <m/>
    <m/>
    <m/>
    <m/>
    <m/>
    <m/>
    <m/>
    <m/>
    <m/>
    <m/>
    <m/>
    <m/>
    <x v="1"/>
    <m/>
    <x v="1"/>
    <m/>
    <m/>
    <m/>
    <m/>
    <m/>
    <m/>
    <m/>
    <m/>
    <m/>
    <m/>
    <m/>
    <n v="0"/>
    <m/>
    <m/>
    <m/>
  </r>
  <r>
    <x v="9"/>
    <n v="443"/>
    <n v="17.260000000000002"/>
    <x v="0"/>
    <n v="5.44"/>
    <n v="231000000"/>
    <n v="103000000"/>
    <n v="110800000"/>
    <n v="689000000"/>
    <n v="750000000"/>
    <n v="11000"/>
    <n v="3"/>
    <m/>
    <m/>
    <m/>
    <n v="250"/>
    <n v="692000000"/>
    <n v="6"/>
    <n v="19.46"/>
    <n v="0.4"/>
    <n v="1665"/>
    <n v="10000"/>
    <m/>
    <n v="30000"/>
    <n v="71.900000000000006"/>
    <m/>
    <m/>
    <x v="1"/>
    <m/>
    <x v="1"/>
    <m/>
    <m/>
    <n v="3600"/>
    <m/>
    <m/>
    <n v="0"/>
    <m/>
    <n v="68722"/>
    <m/>
    <m/>
    <m/>
    <n v="38000"/>
    <n v="38200"/>
    <n v="2.2599999999999998"/>
    <n v="11"/>
  </r>
  <r>
    <x v="10"/>
    <n v="2766890"/>
    <n v="16.899999999999999"/>
    <x v="4"/>
    <n v="7.56"/>
    <n v="157700000000"/>
    <n v="81650000000"/>
    <n v="81390000000"/>
    <n v="33780000000"/>
    <n v="483500000000"/>
    <n v="12400"/>
    <n v="8.3000000000000007"/>
    <n v="0.7"/>
    <n v="1500"/>
    <n v="130000"/>
    <n v="215471"/>
    <n v="22060000000"/>
    <n v="12"/>
    <n v="15.18"/>
    <n v="6.1"/>
    <n v="742358"/>
    <n v="4100000"/>
    <n v="18.3"/>
    <n v="15040000"/>
    <n v="75.91"/>
    <n v="4300000000"/>
    <n v="1.3"/>
    <x v="5"/>
    <n v="6050000000"/>
    <x v="0"/>
    <n v="37150000000"/>
    <n v="768000000000"/>
    <n v="486000"/>
    <m/>
    <m/>
    <n v="755000"/>
    <n v="2900000000"/>
    <n v="39537943"/>
    <n v="118"/>
    <n v="34091"/>
    <n v="19470000000"/>
    <n v="8009400"/>
    <n v="6500000"/>
    <n v="2.19"/>
    <n v="14.8"/>
  </r>
  <r>
    <x v="11"/>
    <n v="29800"/>
    <n v="11.76"/>
    <x v="5"/>
    <n v="8.16"/>
    <n v="905000000"/>
    <n v="5797000000"/>
    <n v="6492000000"/>
    <n v="850000000"/>
    <n v="13650000000"/>
    <n v="4600"/>
    <n v="9"/>
    <n v="0.1"/>
    <n v="200"/>
    <n v="2600"/>
    <n v="8431"/>
    <n v="1300000000"/>
    <n v="15"/>
    <n v="23.28"/>
    <n v="3.5"/>
    <n v="2206"/>
    <n v="150000"/>
    <n v="19.8"/>
    <n v="1400000"/>
    <n v="71.55"/>
    <n v="135000000"/>
    <n v="6.5"/>
    <x v="6"/>
    <n v="0"/>
    <x v="2"/>
    <n v="0"/>
    <m/>
    <n v="5700"/>
    <m/>
    <m/>
    <n v="0"/>
    <m/>
    <n v="2982904"/>
    <m/>
    <n v="845"/>
    <n v="555000000"/>
    <n v="562600"/>
    <n v="114400"/>
    <n v="1.32"/>
    <n v="30"/>
  </r>
  <r>
    <x v="12"/>
    <n v="193"/>
    <n v="11.26"/>
    <x v="0"/>
    <n v="6.57"/>
    <n v="285000000"/>
    <n v="751200000"/>
    <n v="807700000"/>
    <n v="128000000"/>
    <n v="1940000000"/>
    <n v="28000"/>
    <n v="-1.5"/>
    <m/>
    <m/>
    <m/>
    <n v="800"/>
    <n v="841000000"/>
    <m/>
    <n v="5.89"/>
    <n v="3.2"/>
    <n v="923"/>
    <n v="24000"/>
    <m/>
    <n v="41500"/>
    <n v="79.14"/>
    <m/>
    <m/>
    <x v="1"/>
    <m/>
    <x v="1"/>
    <m/>
    <m/>
    <n v="6500"/>
    <m/>
    <m/>
    <n v="0"/>
    <m/>
    <n v="71566"/>
    <m/>
    <m/>
    <m/>
    <n v="37100"/>
    <n v="53000"/>
    <n v="1.79"/>
    <n v="0.6"/>
  </r>
  <r>
    <x v="13"/>
    <n v="5"/>
    <m/>
    <x v="0"/>
    <m/>
    <m/>
    <m/>
    <m/>
    <m/>
    <m/>
    <m/>
    <m/>
    <m/>
    <m/>
    <m/>
    <m/>
    <m/>
    <m/>
    <m/>
    <m/>
    <m/>
    <m/>
    <m/>
    <m/>
    <m/>
    <m/>
    <m/>
    <x v="1"/>
    <m/>
    <x v="1"/>
    <m/>
    <m/>
    <m/>
    <m/>
    <m/>
    <m/>
    <m/>
    <m/>
    <m/>
    <m/>
    <m/>
    <m/>
    <m/>
    <m/>
    <m/>
  </r>
  <r>
    <x v="14"/>
    <n v="7686850"/>
    <n v="12.26"/>
    <x v="6"/>
    <n v="7.44"/>
    <n v="308700000000"/>
    <n v="195600000000"/>
    <n v="210300000000"/>
    <n v="86890000000"/>
    <n v="611700000000"/>
    <n v="30700"/>
    <n v="3.5"/>
    <n v="0.1"/>
    <m/>
    <n v="14000"/>
    <n v="811603"/>
    <n v="98100000000"/>
    <n v="1.9"/>
    <n v="4.6900000000000004"/>
    <n v="2.2999999999999998"/>
    <n v="2847763"/>
    <n v="9472000"/>
    <n v="25.3"/>
    <n v="10350000"/>
    <n v="80.39"/>
    <n v="1665000000"/>
    <n v="2.7"/>
    <x v="7"/>
    <n v="9744000000"/>
    <x v="0"/>
    <n v="33080000000"/>
    <n v="2407000000000"/>
    <n v="796500"/>
    <n v="523400"/>
    <n v="530800"/>
    <n v="537500"/>
    <n v="3664000000"/>
    <n v="20090437"/>
    <n v="17.399999999999999"/>
    <n v="43802"/>
    <n v="35140000000"/>
    <n v="10815000"/>
    <n v="14347000"/>
    <n v="1.76"/>
    <n v="5.0999999999999996"/>
  </r>
  <r>
    <x v="15"/>
    <n v="83870"/>
    <n v="8.81"/>
    <x v="7"/>
    <n v="9.6999999999999993"/>
    <n v="15500000000"/>
    <n v="55090000000"/>
    <n v="58490000000"/>
    <n v="102700000000"/>
    <n v="255900000000"/>
    <n v="31300"/>
    <n v="1.9"/>
    <n v="0.3"/>
    <n v="100"/>
    <n v="10000"/>
    <n v="200000"/>
    <n v="101200000000"/>
    <n v="3.3"/>
    <n v="4.66"/>
    <n v="1.8"/>
    <n v="387006"/>
    <n v="3730000"/>
    <n v="22.6"/>
    <n v="3450000"/>
    <n v="78.92"/>
    <n v="1497000000"/>
    <n v="0.9"/>
    <x v="8"/>
    <n v="403000000"/>
    <x v="3"/>
    <n v="1731000000"/>
    <n v="24900000000"/>
    <n v="262400"/>
    <n v="35470"/>
    <n v="262000"/>
    <n v="20670"/>
    <n v="85690000"/>
    <n v="8184691"/>
    <n v="64.2"/>
    <n v="6021"/>
    <n v="12730000000"/>
    <n v="3881000"/>
    <n v="7094500"/>
    <n v="1.36"/>
    <n v="4.4000000000000004"/>
  </r>
  <r>
    <x v="16"/>
    <n v="86600"/>
    <n v="20.399999999999999"/>
    <x v="8"/>
    <n v="9.86"/>
    <n v="1832000000"/>
    <n v="17370000000"/>
    <n v="17550000000"/>
    <n v="3168000000"/>
    <n v="30010000000"/>
    <n v="3800"/>
    <n v="9.8000000000000007"/>
    <n v="0.1"/>
    <n v="100"/>
    <n v="1400"/>
    <n v="28030"/>
    <n v="3622000000"/>
    <n v="4"/>
    <n v="81.739999999999995"/>
    <n v="4.5999999999999996"/>
    <n v="586"/>
    <n v="300000"/>
    <n v="65.099999999999994"/>
    <n v="5090000"/>
    <n v="63.35"/>
    <n v="121000000"/>
    <n v="2.6"/>
    <x v="9"/>
    <n v="0"/>
    <x v="4"/>
    <n v="5720000000"/>
    <n v="62300000000"/>
    <n v="140000"/>
    <m/>
    <m/>
    <n v="312800"/>
    <n v="589000000"/>
    <n v="7911974"/>
    <n v="18.899999999999999"/>
    <n v="2957"/>
    <n v="875000000"/>
    <n v="923800"/>
    <n v="870000"/>
    <n v="2.44"/>
    <n v="1.2"/>
  </r>
  <r>
    <x v="17"/>
    <n v="13940"/>
    <n v="17.87"/>
    <x v="0"/>
    <n v="8.9700000000000006"/>
    <n v="308500000"/>
    <n v="1596000000"/>
    <n v="1716000000"/>
    <n v="636000000"/>
    <n v="5295000000"/>
    <n v="17700"/>
    <n v="3"/>
    <n v="3"/>
    <n v="200"/>
    <n v="5600"/>
    <n v="2693"/>
    <n v="1630000000"/>
    <m/>
    <n v="25.21"/>
    <n v="1.2"/>
    <n v="302"/>
    <n v="84000"/>
    <m/>
    <n v="156000"/>
    <n v="65.540000000000006"/>
    <m/>
    <m/>
    <x v="1"/>
    <m/>
    <x v="1"/>
    <m/>
    <m/>
    <n v="23000"/>
    <n v="29000"/>
    <m/>
    <n v="0"/>
    <m/>
    <n v="301790"/>
    <m/>
    <m/>
    <m/>
    <n v="131700"/>
    <n v="121800"/>
    <n v="2.2000000000000002"/>
    <n v="10.199999999999999"/>
  </r>
  <r>
    <x v="18"/>
    <n v="665"/>
    <n v="18.100000000000001"/>
    <x v="9"/>
    <n v="4.08"/>
    <n v="6215000000"/>
    <n v="6379000000"/>
    <n v="6860000000"/>
    <n v="8205000000"/>
    <n v="13010000000"/>
    <n v="19200"/>
    <n v="5.6"/>
    <n v="0.2"/>
    <n v="200"/>
    <n v="600"/>
    <n v="3459"/>
    <n v="5870000000"/>
    <n v="2"/>
    <n v="17.27"/>
    <n v="2.1"/>
    <n v="1334"/>
    <n v="195700"/>
    <n v="12.8"/>
    <n v="370000"/>
    <n v="74.23"/>
    <n v="628900000"/>
    <n v="6.3"/>
    <x v="10"/>
    <n v="0"/>
    <x v="0"/>
    <n v="32700000000"/>
    <n v="46000000000"/>
    <n v="40000"/>
    <m/>
    <m/>
    <n v="44000"/>
    <n v="126000000"/>
    <n v="688345"/>
    <n v="63.8"/>
    <m/>
    <n v="2141000000"/>
    <n v="185800"/>
    <n v="443100"/>
    <n v="2.63"/>
    <n v="15"/>
  </r>
  <r>
    <x v="19"/>
    <n v="1"/>
    <m/>
    <x v="0"/>
    <m/>
    <m/>
    <m/>
    <m/>
    <m/>
    <m/>
    <m/>
    <m/>
    <m/>
    <m/>
    <m/>
    <m/>
    <m/>
    <m/>
    <m/>
    <m/>
    <m/>
    <m/>
    <m/>
    <m/>
    <m/>
    <m/>
    <m/>
    <x v="1"/>
    <m/>
    <x v="1"/>
    <m/>
    <m/>
    <m/>
    <m/>
    <m/>
    <m/>
    <m/>
    <m/>
    <m/>
    <m/>
    <m/>
    <m/>
    <m/>
    <m/>
    <m/>
  </r>
  <r>
    <x v="20"/>
    <n v="144000"/>
    <n v="30.01"/>
    <x v="10"/>
    <n v="8.4"/>
    <n v="19970000000"/>
    <n v="15300000000"/>
    <n v="16450000000"/>
    <n v="7478000000"/>
    <n v="275700000000"/>
    <n v="2000"/>
    <n v="4.9000000000000004"/>
    <n v="0.1"/>
    <n v="650"/>
    <n v="13000"/>
    <n v="207486"/>
    <n v="10030000000"/>
    <n v="6.5"/>
    <n v="62.6"/>
    <n v="6"/>
    <n v="1"/>
    <n v="243000"/>
    <n v="23.5"/>
    <n v="65490000"/>
    <n v="62.08"/>
    <n v="995300000"/>
    <n v="1.8"/>
    <x v="11"/>
    <n v="0"/>
    <x v="0"/>
    <n v="9900000000"/>
    <n v="150300000000"/>
    <n v="71000"/>
    <m/>
    <m/>
    <n v="3581"/>
    <n v="28450000"/>
    <n v="144319628"/>
    <n v="43"/>
    <n v="2706"/>
    <n v="3000000000"/>
    <n v="740000"/>
    <n v="1365000"/>
    <n v="3.13"/>
    <n v="40"/>
  </r>
  <r>
    <x v="21"/>
    <n v="431"/>
    <n v="12.83"/>
    <x v="0"/>
    <n v="9.17"/>
    <n v="668000000"/>
    <n v="744000000"/>
    <n v="800000000"/>
    <n v="206000000"/>
    <n v="4569000000"/>
    <n v="16400"/>
    <n v="2.2999999999999998"/>
    <n v="1.5"/>
    <n v="200"/>
    <n v="2500"/>
    <n v="1600"/>
    <n v="1039000000"/>
    <n v="-3.2"/>
    <n v="12.5"/>
    <n v="-0.5"/>
    <n v="204"/>
    <n v="100000"/>
    <m/>
    <n v="128500"/>
    <n v="71.41"/>
    <m/>
    <m/>
    <x v="12"/>
    <n v="0"/>
    <x v="0"/>
    <n v="29170000"/>
    <n v="70790000"/>
    <n v="10900"/>
    <m/>
    <m/>
    <n v="1271"/>
    <n v="1254000"/>
    <n v="279254"/>
    <m/>
    <m/>
    <m/>
    <n v="134000"/>
    <n v="140000"/>
    <n v="1.65"/>
    <n v="10.7"/>
  </r>
  <r>
    <x v="22"/>
    <n v="0"/>
    <m/>
    <x v="0"/>
    <m/>
    <m/>
    <m/>
    <m/>
    <m/>
    <m/>
    <m/>
    <m/>
    <m/>
    <m/>
    <m/>
    <m/>
    <m/>
    <m/>
    <m/>
    <m/>
    <m/>
    <m/>
    <m/>
    <m/>
    <m/>
    <m/>
    <m/>
    <x v="1"/>
    <m/>
    <x v="1"/>
    <m/>
    <m/>
    <m/>
    <m/>
    <m/>
    <m/>
    <m/>
    <m/>
    <m/>
    <m/>
    <m/>
    <m/>
    <m/>
    <m/>
    <m/>
  </r>
  <r>
    <x v="23"/>
    <n v="207600"/>
    <n v="10.83"/>
    <x v="11"/>
    <n v="14.15"/>
    <n v="600000000"/>
    <n v="34300000000"/>
    <n v="30000000000"/>
    <n v="11470000000"/>
    <n v="70500000000"/>
    <n v="6800"/>
    <n v="6.4"/>
    <n v="0.3"/>
    <n v="1000"/>
    <n v="15000"/>
    <n v="79990"/>
    <n v="13570000000"/>
    <n v="4"/>
    <n v="13.37"/>
    <n v="17.399999999999999"/>
    <n v="5308"/>
    <n v="1391900"/>
    <n v="21.8"/>
    <n v="4305000"/>
    <n v="68.72"/>
    <n v="176100000"/>
    <n v="1.4"/>
    <x v="13"/>
    <n v="0"/>
    <x v="5"/>
    <n v="250000000"/>
    <m/>
    <n v="285000"/>
    <n v="14500"/>
    <n v="360000"/>
    <n v="36000"/>
    <m/>
    <n v="10300483"/>
    <m/>
    <n v="5523"/>
    <n v="770200000"/>
    <n v="3071300"/>
    <n v="1118000"/>
    <n v="1.39"/>
    <n v="2"/>
  </r>
  <r>
    <x v="24"/>
    <n v="30528"/>
    <n v="10.48"/>
    <x v="12"/>
    <n v="10.220000000000001"/>
    <n v="28300000000"/>
    <n v="78820000000"/>
    <n v="76580000000"/>
    <n v="255700000000"/>
    <n v="316200000000"/>
    <n v="30600"/>
    <n v="2.6"/>
    <n v="0.2"/>
    <n v="100"/>
    <n v="10000"/>
    <n v="149028"/>
    <n v="235000000000"/>
    <n v="3.5"/>
    <n v="4.68"/>
    <n v="1.9"/>
    <n v="166799"/>
    <n v="3400000"/>
    <n v="19.100000000000001"/>
    <n v="4750000"/>
    <n v="78.62"/>
    <n v="3999000000"/>
    <n v="1.3"/>
    <x v="14"/>
    <n v="0"/>
    <x v="6"/>
    <n v="0"/>
    <m/>
    <n v="595100"/>
    <n v="450000"/>
    <n v="1042000"/>
    <n v="0"/>
    <m/>
    <n v="10364388"/>
    <n v="96.2"/>
    <n v="3518"/>
    <n v="14450000000"/>
    <n v="5120400"/>
    <n v="8135500"/>
    <n v="1.64"/>
    <n v="12"/>
  </r>
  <r>
    <x v="25"/>
    <n v="22966"/>
    <n v="29.34"/>
    <x v="13"/>
    <n v="6.04"/>
    <n v="1362000000"/>
    <n v="108800000"/>
    <n v="117000000"/>
    <n v="401400000"/>
    <n v="1778000000"/>
    <n v="6500"/>
    <n v="3.5"/>
    <n v="2.4"/>
    <m/>
    <n v="3600"/>
    <n v="2872"/>
    <n v="579900000"/>
    <n v="4.5999999999999996"/>
    <n v="25.69"/>
    <n v="2.9"/>
    <n v="2613"/>
    <n v="30000"/>
    <n v="33.6"/>
    <n v="90000"/>
    <n v="67.489999999999995"/>
    <n v="18000000"/>
    <n v="2"/>
    <x v="1"/>
    <m/>
    <x v="1"/>
    <m/>
    <m/>
    <n v="5000"/>
    <m/>
    <m/>
    <n v="0"/>
    <m/>
    <n v="279457"/>
    <m/>
    <m/>
    <n v="111100000"/>
    <n v="33300"/>
    <n v="60400"/>
    <n v="3.68"/>
    <n v="12.9"/>
  </r>
  <r>
    <x v="26"/>
    <n v="112620"/>
    <n v="41.99"/>
    <x v="14"/>
    <n v="13.76"/>
    <n v="1600000000"/>
    <n v="565200000"/>
    <n v="285200000"/>
    <n v="720900000"/>
    <n v="8338000000"/>
    <n v="1200"/>
    <n v="5"/>
    <n v="1.9"/>
    <n v="5800"/>
    <n v="68000"/>
    <n v="6787"/>
    <n v="934500000"/>
    <n v="8.3000000000000007"/>
    <n v="85"/>
    <n v="2.8"/>
    <n v="879"/>
    <n v="70000"/>
    <n v="19.3"/>
    <m/>
    <n v="50.51"/>
    <n v="96500000"/>
    <n v="2.4"/>
    <x v="1"/>
    <m/>
    <x v="1"/>
    <m/>
    <n v="608800000"/>
    <n v="11500"/>
    <m/>
    <m/>
    <n v="700"/>
    <n v="4105000"/>
    <n v="7460025"/>
    <m/>
    <n v="578"/>
    <n v="839300000"/>
    <n v="66500"/>
    <n v="236200"/>
    <n v="5.86"/>
    <m/>
  </r>
  <r>
    <x v="27"/>
    <n v="53"/>
    <n v="11.6"/>
    <x v="0"/>
    <n v="7.63"/>
    <n v="160000000"/>
    <n v="598000000"/>
    <n v="643000000"/>
    <n v="879000000"/>
    <n v="2330000000"/>
    <n v="36000"/>
    <n v="2"/>
    <m/>
    <m/>
    <m/>
    <n v="450"/>
    <n v="5523000000"/>
    <m/>
    <n v="8.5299999999999994"/>
    <n v="3.3"/>
    <n v="5161"/>
    <n v="34500"/>
    <m/>
    <n v="37470"/>
    <n v="77.790000000000006"/>
    <n v="4030000"/>
    <n v="0.11"/>
    <x v="1"/>
    <m/>
    <x v="1"/>
    <m/>
    <m/>
    <n v="4000"/>
    <m/>
    <m/>
    <n v="0"/>
    <m/>
    <n v="65365"/>
    <m/>
    <m/>
    <m/>
    <n v="56000"/>
    <n v="37873"/>
    <n v="1.89"/>
    <n v="5"/>
  </r>
  <r>
    <x v="28"/>
    <n v="47000"/>
    <n v="34.03"/>
    <x v="0"/>
    <n v="12.94"/>
    <n v="245000000"/>
    <n v="312900000"/>
    <n v="2001000000"/>
    <n v="154000000"/>
    <n v="2900000000"/>
    <n v="1400"/>
    <n v="5.3"/>
    <n v="0.1"/>
    <m/>
    <n v="100"/>
    <n v="4007"/>
    <n v="196000000"/>
    <n v="9.3000000000000007"/>
    <n v="100.44"/>
    <n v="3"/>
    <n v="985"/>
    <n v="15000"/>
    <m/>
    <m/>
    <n v="54.39"/>
    <n v="13700000"/>
    <n v="1.8"/>
    <x v="1"/>
    <m/>
    <x v="1"/>
    <m/>
    <m/>
    <n v="1020"/>
    <m/>
    <m/>
    <n v="0"/>
    <m/>
    <n v="2232291"/>
    <m/>
    <m/>
    <m/>
    <n v="25200"/>
    <n v="22000"/>
    <n v="4.8099999999999996"/>
    <m/>
  </r>
  <r>
    <x v="29"/>
    <n v="1098580"/>
    <n v="23.76"/>
    <x v="15"/>
    <n v="7.64"/>
    <n v="5439000000"/>
    <n v="3848000000"/>
    <n v="4132000000"/>
    <n v="1986000000"/>
    <n v="22330000000"/>
    <n v="2600"/>
    <n v="3.7"/>
    <n v="0.1"/>
    <m/>
    <n v="4900"/>
    <n v="60282"/>
    <n v="1595000000"/>
    <n v="5.7"/>
    <n v="53.11"/>
    <n v="4.9000000000000004"/>
    <n v="7080"/>
    <n v="270000"/>
    <n v="10.4"/>
    <n v="3800000"/>
    <n v="65.5"/>
    <n v="132200000"/>
    <n v="1.6"/>
    <x v="15"/>
    <n v="2900000000"/>
    <x v="0"/>
    <n v="8440000000"/>
    <n v="727200000000"/>
    <n v="49000"/>
    <m/>
    <m/>
    <n v="39000"/>
    <n v="458800000"/>
    <n v="8857870"/>
    <m/>
    <n v="3519"/>
    <n v="1214000000"/>
    <n v="600100"/>
    <n v="1401500"/>
    <n v="2.94"/>
    <n v="9.1999999999999993"/>
  </r>
  <r>
    <x v="30"/>
    <n v="51129"/>
    <n v="12.49"/>
    <x v="16"/>
    <n v="8.44"/>
    <n v="3000000000"/>
    <n v="8318000000"/>
    <n v="10040000000"/>
    <n v="1700000000"/>
    <n v="26210000000"/>
    <n v="6500"/>
    <n v="5"/>
    <n v="0.1"/>
    <n v="100"/>
    <n v="900"/>
    <n v="21846"/>
    <n v="5200000000"/>
    <n v="5.5"/>
    <n v="21.05"/>
    <n v="1.1000000000000001"/>
    <n v="6994"/>
    <n v="100000"/>
    <m/>
    <n v="1026000"/>
    <n v="72.849999999999994"/>
    <n v="234300000"/>
    <n v="4.5"/>
    <x v="16"/>
    <n v="0"/>
    <x v="7"/>
    <n v="0"/>
    <m/>
    <n v="20000"/>
    <m/>
    <m/>
    <n v="0"/>
    <m/>
    <n v="4025476"/>
    <m/>
    <n v="1021"/>
    <n v="2000000000"/>
    <n v="938000"/>
    <n v="1050000"/>
    <n v="1.71"/>
    <n v="44"/>
  </r>
  <r>
    <x v="31"/>
    <n v="600370"/>
    <n v="23.33"/>
    <x v="17"/>
    <n v="29.36"/>
    <n v="531000000"/>
    <n v="1890000000"/>
    <n v="930000000"/>
    <n v="2940000000"/>
    <n v="15050000000"/>
    <n v="9200"/>
    <n v="3.5"/>
    <n v="37.299999999999997"/>
    <n v="33000"/>
    <n v="350000"/>
    <n v="10217"/>
    <n v="2255000000"/>
    <n v="4.4000000000000004"/>
    <n v="54.58"/>
    <n v="7"/>
    <n v="1920"/>
    <n v="60000"/>
    <n v="25.5"/>
    <n v="264000"/>
    <n v="33.869999999999997"/>
    <n v="338500000"/>
    <n v="3.9"/>
    <x v="1"/>
    <m/>
    <x v="1"/>
    <m/>
    <m/>
    <n v="16000"/>
    <m/>
    <m/>
    <n v="0"/>
    <m/>
    <n v="1640115"/>
    <n v="8.6"/>
    <n v="888"/>
    <n v="5700000000"/>
    <n v="142400"/>
    <n v="435000"/>
    <n v="2.85"/>
    <n v="23.8"/>
  </r>
  <r>
    <x v="32"/>
    <n v="59"/>
    <m/>
    <x v="0"/>
    <m/>
    <m/>
    <m/>
    <m/>
    <m/>
    <m/>
    <m/>
    <m/>
    <m/>
    <m/>
    <m/>
    <m/>
    <m/>
    <m/>
    <m/>
    <m/>
    <m/>
    <m/>
    <m/>
    <m/>
    <m/>
    <m/>
    <m/>
    <x v="1"/>
    <m/>
    <x v="1"/>
    <m/>
    <m/>
    <m/>
    <m/>
    <m/>
    <m/>
    <m/>
    <m/>
    <m/>
    <m/>
    <m/>
    <m/>
    <m/>
    <m/>
    <m/>
  </r>
  <r>
    <x v="33"/>
    <n v="8511965"/>
    <n v="16.829999999999998"/>
    <x v="18"/>
    <n v="6.15"/>
    <n v="219800000000"/>
    <n v="351900000000"/>
    <n v="339000000000"/>
    <n v="95000000000"/>
    <n v="1492000000000"/>
    <n v="8100"/>
    <n v="5.0999999999999996"/>
    <n v="0.7"/>
    <n v="15000"/>
    <n v="660000"/>
    <n v="1724929"/>
    <n v="61000000000"/>
    <n v="6"/>
    <n v="29.61"/>
    <n v="7.6"/>
    <n v="3163349"/>
    <n v="14300000"/>
    <n v="19.8"/>
    <n v="89000000"/>
    <n v="71.69"/>
    <n v="11000000000"/>
    <n v="1.8"/>
    <x v="17"/>
    <n v="0"/>
    <x v="8"/>
    <n v="5950000000"/>
    <n v="221700000000"/>
    <n v="2199000"/>
    <m/>
    <m/>
    <n v="1788000"/>
    <n v="13900000000"/>
    <n v="186112794"/>
    <n v="52"/>
    <n v="29412"/>
    <n v="52940000000"/>
    <n v="38810000"/>
    <n v="46373300"/>
    <n v="1.93"/>
    <n v="11.5"/>
  </r>
  <r>
    <x v="34"/>
    <n v="60"/>
    <m/>
    <x v="0"/>
    <m/>
    <m/>
    <m/>
    <m/>
    <m/>
    <m/>
    <m/>
    <m/>
    <m/>
    <m/>
    <m/>
    <m/>
    <m/>
    <m/>
    <m/>
    <m/>
    <m/>
    <m/>
    <m/>
    <m/>
    <m/>
    <m/>
    <m/>
    <x v="1"/>
    <m/>
    <x v="1"/>
    <m/>
    <m/>
    <m/>
    <m/>
    <m/>
    <m/>
    <m/>
    <m/>
    <m/>
    <m/>
    <m/>
    <m/>
    <m/>
    <m/>
    <m/>
  </r>
  <r>
    <x v="35"/>
    <n v="153"/>
    <n v="14.96"/>
    <x v="0"/>
    <n v="4.42"/>
    <n v="36100000"/>
    <n v="33740000"/>
    <n v="36280000"/>
    <n v="25300000"/>
    <n v="2498000000"/>
    <n v="38500"/>
    <n v="1"/>
    <m/>
    <m/>
    <m/>
    <n v="177"/>
    <n v="187000000"/>
    <m/>
    <n v="18.05"/>
    <n v="2.5"/>
    <m/>
    <n v="4000"/>
    <m/>
    <n v="12770"/>
    <n v="76.27"/>
    <m/>
    <m/>
    <x v="1"/>
    <m/>
    <x v="1"/>
    <m/>
    <m/>
    <n v="420"/>
    <m/>
    <m/>
    <n v="0"/>
    <m/>
    <n v="22643"/>
    <m/>
    <m/>
    <m/>
    <n v="11700"/>
    <n v="8000"/>
    <n v="1.72"/>
    <n v="3"/>
  </r>
  <r>
    <x v="36"/>
    <n v="5770"/>
    <n v="19.010000000000002"/>
    <x v="0"/>
    <n v="3.42"/>
    <n v="0"/>
    <n v="2286000000"/>
    <n v="2458000000"/>
    <n v="7700000000"/>
    <n v="6842000000"/>
    <n v="23600"/>
    <n v="3.2"/>
    <n v="0.1"/>
    <n v="200"/>
    <n v="200"/>
    <n v="2525"/>
    <n v="5200000000"/>
    <n v="5"/>
    <n v="12.61"/>
    <n v="0.3"/>
    <n v="6409"/>
    <n v="35000"/>
    <m/>
    <n v="158000"/>
    <n v="74.8"/>
    <n v="290700000"/>
    <n v="5.0999999999999996"/>
    <x v="18"/>
    <n v="9000000000"/>
    <x v="0"/>
    <n v="10350000000"/>
    <n v="315000000000"/>
    <n v="13000"/>
    <n v="199000"/>
    <m/>
    <n v="204000"/>
    <n v="1255000000"/>
    <n v="372361"/>
    <m/>
    <m/>
    <m/>
    <n v="90000"/>
    <n v="137000"/>
    <n v="2.2999999999999998"/>
    <n v="3.2"/>
  </r>
  <r>
    <x v="37"/>
    <n v="110910"/>
    <n v="9.66"/>
    <x v="19"/>
    <n v="14.26"/>
    <n v="16100000000"/>
    <n v="32710000000"/>
    <n v="43070000000"/>
    <n v="9134000000"/>
    <n v="61630000000"/>
    <n v="8200"/>
    <n v="5.3"/>
    <n v="0.1"/>
    <n v="100"/>
    <n v="346"/>
    <n v="37077"/>
    <n v="12230000000"/>
    <n v="5.2"/>
    <n v="20.55"/>
    <n v="6.1"/>
    <n v="53421"/>
    <n v="630000"/>
    <n v="18.600000000000001"/>
    <n v="3398000"/>
    <n v="72.03"/>
    <n v="356000000"/>
    <n v="2.6"/>
    <x v="19"/>
    <n v="0"/>
    <x v="9"/>
    <n v="4000000"/>
    <n v="3724000000"/>
    <n v="94000"/>
    <m/>
    <m/>
    <n v="603"/>
    <n v="8100000"/>
    <n v="7450349"/>
    <n v="41.9"/>
    <n v="4294"/>
    <n v="7526000000"/>
    <n v="2868200"/>
    <n v="2597500"/>
    <n v="1.38"/>
    <n v="12.7"/>
  </r>
  <r>
    <x v="38"/>
    <n v="274200"/>
    <n v="44.17"/>
    <x v="20"/>
    <n v="18.86"/>
    <n v="1300000000"/>
    <n v="335700000"/>
    <n v="361000000"/>
    <n v="418600000"/>
    <n v="15740000000"/>
    <n v="1200"/>
    <n v="4.8"/>
    <n v="4.2"/>
    <n v="29000"/>
    <n v="300000"/>
    <n v="12506"/>
    <n v="866300000"/>
    <n v="14"/>
    <n v="97.57"/>
    <n v="2.4"/>
    <n v="442"/>
    <n v="48000"/>
    <n v="29.1"/>
    <n v="5000000"/>
    <n v="43.92"/>
    <n v="64200000"/>
    <n v="1.3"/>
    <x v="1"/>
    <m/>
    <x v="1"/>
    <m/>
    <m/>
    <n v="8000"/>
    <m/>
    <m/>
    <n v="0"/>
    <m/>
    <n v="13925313"/>
    <m/>
    <n v="622"/>
    <n v="474900000"/>
    <n v="65400"/>
    <n v="227000"/>
    <n v="6.23"/>
    <m/>
  </r>
  <r>
    <x v="39"/>
    <n v="678500"/>
    <n v="18.11"/>
    <x v="21"/>
    <n v="12.15"/>
    <n v="6752000000"/>
    <n v="3484000000"/>
    <n v="5068000000"/>
    <n v="2137000000"/>
    <n v="74300000000"/>
    <n v="1700"/>
    <n v="-1.3"/>
    <n v="1.2"/>
    <n v="20000"/>
    <n v="330000"/>
    <n v="28200"/>
    <n v="1754000000"/>
    <m/>
    <n v="67.239999999999995"/>
    <n v="17.2"/>
    <n v="3"/>
    <n v="28000"/>
    <n v="10.199999999999999"/>
    <n v="27010000"/>
    <n v="56.22"/>
    <n v="39000000"/>
    <n v="2.1"/>
    <x v="20"/>
    <n v="8424000000"/>
    <x v="0"/>
    <n v="9980000000"/>
    <n v="2460000000000"/>
    <n v="60950"/>
    <n v="3356"/>
    <n v="49230"/>
    <n v="17550"/>
    <n v="3200000000"/>
    <n v="42909464"/>
    <m/>
    <n v="3955"/>
    <n v="590000000"/>
    <n v="357300"/>
    <n v="66500"/>
    <n v="2.0099999999999998"/>
    <n v="5.2"/>
  </r>
  <r>
    <x v="40"/>
    <n v="27830"/>
    <n v="39.659999999999997"/>
    <x v="22"/>
    <n v="17.43"/>
    <n v="1133000000"/>
    <n v="137800000"/>
    <n v="132000000"/>
    <n v="31840000"/>
    <n v="4001000000"/>
    <n v="600"/>
    <n v="3"/>
    <n v="6"/>
    <n v="25000"/>
    <n v="250000"/>
    <n v="14480"/>
    <n v="138200000"/>
    <n v="18"/>
    <n v="69.290000000000006"/>
    <n v="8.5"/>
    <n v="22"/>
    <n v="14000"/>
    <n v="10.7"/>
    <n v="2990000"/>
    <n v="43.5"/>
    <n v="38700000"/>
    <n v="6"/>
    <x v="1"/>
    <m/>
    <x v="1"/>
    <m/>
    <m/>
    <n v="2750"/>
    <m/>
    <m/>
    <n v="0"/>
    <m/>
    <n v="6370609"/>
    <m/>
    <m/>
    <n v="76890000"/>
    <n v="23900"/>
    <n v="64000"/>
    <n v="5.81"/>
    <m/>
  </r>
  <r>
    <x v="41"/>
    <n v="181040"/>
    <n v="27.08"/>
    <x v="23"/>
    <n v="8.9700000000000006"/>
    <n v="2400000000"/>
    <n v="100600000"/>
    <n v="122000000"/>
    <n v="2311000000"/>
    <n v="26990000000"/>
    <n v="2000"/>
    <n v="5.4"/>
    <n v="2.6"/>
    <n v="15000"/>
    <n v="170000"/>
    <n v="12323"/>
    <n v="3129000000"/>
    <n v="22"/>
    <n v="71.48"/>
    <n v="3.1"/>
    <n v="818"/>
    <n v="30000"/>
    <n v="20.9"/>
    <n v="7000000"/>
    <n v="58.87"/>
    <n v="112000000"/>
    <n v="3"/>
    <x v="1"/>
    <m/>
    <x v="1"/>
    <m/>
    <m/>
    <n v="7200"/>
    <m/>
    <m/>
    <n v="0"/>
    <m/>
    <n v="13607069"/>
    <m/>
    <n v="602"/>
    <n v="997500000"/>
    <n v="35400"/>
    <n v="380000"/>
    <n v="3.44"/>
    <n v="2.5"/>
  </r>
  <r>
    <x v="42"/>
    <n v="475440"/>
    <n v="34.67"/>
    <x v="24"/>
    <n v="15.4"/>
    <n v="8460000000"/>
    <n v="3321000000"/>
    <n v="3571000000"/>
    <n v="2445000000"/>
    <n v="30170000000"/>
    <n v="1900"/>
    <n v="4.9000000000000004"/>
    <n v="6.9"/>
    <n v="49000"/>
    <n v="560000"/>
    <n v="34300"/>
    <n v="1979000000"/>
    <n v="4.2"/>
    <n v="68.260000000000005"/>
    <n v="1"/>
    <n v="479"/>
    <n v="60000"/>
    <n v="16.100000000000001"/>
    <n v="6680000"/>
    <n v="47.84"/>
    <n v="221100000"/>
    <n v="1.6"/>
    <x v="21"/>
    <n v="0"/>
    <x v="0"/>
    <n v="0"/>
    <n v="55220000000"/>
    <n v="22000"/>
    <m/>
    <m/>
    <n v="94000"/>
    <n v="80000000"/>
    <n v="16380005"/>
    <n v="69.099999999999994"/>
    <n v="1008"/>
    <n v="687500000"/>
    <n v="110900"/>
    <n v="1077000"/>
    <n v="4.47"/>
    <n v="30"/>
  </r>
  <r>
    <x v="43"/>
    <n v="9984670"/>
    <n v="10.84"/>
    <x v="25"/>
    <n v="7.73"/>
    <n v="570000000000"/>
    <n v="487300000000"/>
    <n v="548900000000"/>
    <n v="315600000000"/>
    <n v="1023000000000"/>
    <n v="31500"/>
    <n v="2.4"/>
    <n v="0.3"/>
    <n v="1500"/>
    <n v="56000"/>
    <n v="1408800"/>
    <n v="256100000000"/>
    <n v="2"/>
    <n v="4.75"/>
    <n v="1.9"/>
    <n v="3210081"/>
    <n v="16110000"/>
    <n v="19.399999999999999"/>
    <n v="17370000"/>
    <n v="80.099999999999994"/>
    <n v="9801700000"/>
    <n v="1.1000000000000001"/>
    <x v="22"/>
    <n v="91520000000"/>
    <x v="10"/>
    <n v="165800000000"/>
    <n v="1691000000000"/>
    <n v="2200000"/>
    <n v="1370000"/>
    <n v="987000"/>
    <n v="3110000"/>
    <n v="178900000000"/>
    <n v="32805041"/>
    <m/>
    <n v="48909"/>
    <n v="36270000000"/>
    <n v="19950900"/>
    <n v="13221800"/>
    <n v="1.61"/>
    <n v="7"/>
  </r>
  <r>
    <x v="44"/>
    <n v="4033"/>
    <n v="25.33"/>
    <x v="26"/>
    <n v="6.62"/>
    <n v="325000000"/>
    <n v="40060000"/>
    <n v="43080000"/>
    <n v="61110000"/>
    <n v="600000000"/>
    <n v="1400"/>
    <n v="5"/>
    <n v="0.04"/>
    <n v="225"/>
    <n v="775"/>
    <n v="1100"/>
    <n v="387300000"/>
    <m/>
    <n v="47.77"/>
    <n v="1.5"/>
    <n v="118"/>
    <n v="20400"/>
    <n v="19.2"/>
    <m/>
    <n v="70.45"/>
    <n v="14100000"/>
    <n v="1.5"/>
    <x v="1"/>
    <m/>
    <x v="1"/>
    <m/>
    <m/>
    <n v="2000"/>
    <m/>
    <m/>
    <n v="0"/>
    <m/>
    <n v="418224"/>
    <m/>
    <m/>
    <n v="112700000"/>
    <n v="71700"/>
    <n v="53300"/>
    <n v="3.48"/>
    <n v="21"/>
  </r>
  <r>
    <x v="45"/>
    <n v="262"/>
    <n v="12.92"/>
    <x v="0"/>
    <n v="4.8099999999999996"/>
    <n v="70000000"/>
    <n v="382100000"/>
    <n v="410800000"/>
    <n v="1200000"/>
    <n v="1391000000"/>
    <n v="32300"/>
    <n v="1.7"/>
    <m/>
    <m/>
    <m/>
    <n v="785"/>
    <n v="457400000"/>
    <m/>
    <n v="8.19"/>
    <n v="2.8"/>
    <m/>
    <n v="9909"/>
    <m/>
    <n v="19820"/>
    <n v="79.95"/>
    <m/>
    <m/>
    <x v="1"/>
    <m/>
    <x v="1"/>
    <m/>
    <m/>
    <n v="2400"/>
    <m/>
    <m/>
    <n v="0"/>
    <m/>
    <n v="44270"/>
    <m/>
    <m/>
    <m/>
    <n v="38000"/>
    <n v="17000"/>
    <n v="1.9"/>
    <n v="4.0999999999999996"/>
  </r>
  <r>
    <x v="46"/>
    <n v="622984"/>
    <n v="35.17"/>
    <x v="0"/>
    <n v="20.27"/>
    <n v="881400000"/>
    <n v="98580000"/>
    <n v="106000000"/>
    <n v="172000000"/>
    <n v="4248000000"/>
    <n v="1100"/>
    <n v="0.5"/>
    <n v="13.5"/>
    <n v="23000"/>
    <n v="260000"/>
    <n v="23810"/>
    <n v="136000000"/>
    <n v="3"/>
    <n v="91"/>
    <n v="3.6"/>
    <n v="6"/>
    <n v="5000"/>
    <m/>
    <m/>
    <n v="41.01"/>
    <n v="15500000"/>
    <n v="1"/>
    <x v="1"/>
    <m/>
    <x v="1"/>
    <m/>
    <m/>
    <n v="2400"/>
    <m/>
    <m/>
    <n v="0"/>
    <m/>
    <n v="3799897"/>
    <m/>
    <m/>
    <m/>
    <n v="9000"/>
    <n v="13000"/>
    <n v="4.5"/>
    <n v="8"/>
  </r>
  <r>
    <x v="47"/>
    <n v="1284000"/>
    <n v="45.98"/>
    <x v="27"/>
    <n v="16.41"/>
    <n v="1100000000"/>
    <n v="89400000"/>
    <n v="96130000"/>
    <n v="365000000"/>
    <n v="15660000000"/>
    <n v="1600"/>
    <n v="38"/>
    <n v="4.8"/>
    <n v="18000"/>
    <n v="200000"/>
    <n v="33400"/>
    <n v="500700000"/>
    <n v="5"/>
    <n v="93.82"/>
    <n v="8"/>
    <n v="8"/>
    <n v="15000"/>
    <n v="24.7"/>
    <m/>
    <n v="47.94"/>
    <n v="101300000"/>
    <n v="2.1"/>
    <x v="1"/>
    <m/>
    <x v="1"/>
    <m/>
    <m/>
    <n v="1500"/>
    <m/>
    <m/>
    <n v="200000"/>
    <m/>
    <n v="9826419"/>
    <m/>
    <m/>
    <n v="652700000"/>
    <n v="11800"/>
    <n v="65000"/>
    <n v="6.32"/>
    <m/>
  </r>
  <r>
    <x v="48"/>
    <n v="756950"/>
    <n v="15.44"/>
    <x v="28"/>
    <n v="5.76"/>
    <n v="44600000000"/>
    <n v="41800000000"/>
    <n v="48600000000"/>
    <n v="29200000000"/>
    <n v="169100000000"/>
    <n v="10700"/>
    <n v="5.8"/>
    <n v="0.3"/>
    <n v="1400"/>
    <n v="26000"/>
    <n v="79605"/>
    <n v="22530000000"/>
    <n v="7.8"/>
    <n v="8.8000000000000007"/>
    <n v="2.4"/>
    <n v="202429"/>
    <n v="3575000"/>
    <n v="23.9"/>
    <n v="6200000"/>
    <n v="76.58"/>
    <n v="3420000000"/>
    <n v="3.8"/>
    <x v="23"/>
    <n v="0"/>
    <x v="11"/>
    <n v="1180000000"/>
    <n v="99050000000"/>
    <n v="240000"/>
    <n v="0"/>
    <n v="221500"/>
    <n v="18500"/>
    <n v="150000000"/>
    <n v="15980912"/>
    <n v="12.8"/>
    <n v="6585"/>
    <n v="16020000000"/>
    <n v="3467000"/>
    <n v="6445700"/>
    <n v="2.02"/>
    <n v="8.5"/>
  </r>
  <r>
    <x v="49"/>
    <n v="9596960"/>
    <n v="13.14"/>
    <x v="29"/>
    <n v="6.94"/>
    <n v="233300000000"/>
    <n v="1630000000000"/>
    <n v="1910000000000"/>
    <n v="583100000000"/>
    <n v="7262000000000"/>
    <n v="5600"/>
    <n v="9.1"/>
    <n v="0.1"/>
    <n v="44000"/>
    <n v="840000"/>
    <n v="1765222"/>
    <n v="552400000000"/>
    <n v="17.100000000000001"/>
    <n v="24.18"/>
    <n v="4.0999999999999996"/>
    <n v="160421"/>
    <n v="94000000"/>
    <n v="46"/>
    <n v="760800000"/>
    <n v="72.27"/>
    <n v="67490000000"/>
    <n v="4.3"/>
    <x v="24"/>
    <n v="0"/>
    <x v="0"/>
    <n v="35000000000"/>
    <n v="2230000000000"/>
    <n v="4956000"/>
    <n v="427800"/>
    <n v="2414000"/>
    <n v="3392000"/>
    <n v="17740000000"/>
    <n v="1306313812"/>
    <n v="31.4"/>
    <n v="70058"/>
    <n v="609900000000"/>
    <n v="263000000"/>
    <n v="269000000"/>
    <n v="1.72"/>
    <n v="9.8000000000000007"/>
  </r>
  <r>
    <x v="50"/>
    <n v="135"/>
    <m/>
    <x v="0"/>
    <m/>
    <m/>
    <m/>
    <m/>
    <m/>
    <m/>
    <m/>
    <m/>
    <m/>
    <m/>
    <m/>
    <n v="240"/>
    <m/>
    <m/>
    <m/>
    <m/>
    <m/>
    <m/>
    <m/>
    <m/>
    <m/>
    <m/>
    <m/>
    <x v="1"/>
    <m/>
    <x v="1"/>
    <m/>
    <m/>
    <m/>
    <m/>
    <m/>
    <m/>
    <m/>
    <n v="361"/>
    <m/>
    <m/>
    <m/>
    <m/>
    <m/>
    <m/>
    <m/>
  </r>
  <r>
    <x v="51"/>
    <n v="6"/>
    <m/>
    <x v="0"/>
    <m/>
    <m/>
    <m/>
    <m/>
    <m/>
    <m/>
    <m/>
    <m/>
    <m/>
    <m/>
    <m/>
    <m/>
    <m/>
    <m/>
    <m/>
    <m/>
    <m/>
    <m/>
    <m/>
    <m/>
    <m/>
    <m/>
    <m/>
    <x v="1"/>
    <m/>
    <x v="1"/>
    <m/>
    <m/>
    <m/>
    <m/>
    <m/>
    <m/>
    <m/>
    <m/>
    <m/>
    <m/>
    <m/>
    <m/>
    <m/>
    <m/>
    <m/>
  </r>
  <r>
    <x v="52"/>
    <n v="14"/>
    <m/>
    <x v="0"/>
    <m/>
    <m/>
    <m/>
    <m/>
    <m/>
    <m/>
    <m/>
    <m/>
    <m/>
    <m/>
    <m/>
    <n v="15"/>
    <m/>
    <m/>
    <m/>
    <m/>
    <m/>
    <m/>
    <m/>
    <m/>
    <m/>
    <m/>
    <m/>
    <x v="1"/>
    <m/>
    <x v="1"/>
    <m/>
    <m/>
    <m/>
    <m/>
    <m/>
    <m/>
    <m/>
    <n v="628"/>
    <m/>
    <m/>
    <m/>
    <n v="287"/>
    <m/>
    <m/>
    <n v="60"/>
  </r>
  <r>
    <x v="53"/>
    <n v="1138910"/>
    <n v="20.82"/>
    <x v="30"/>
    <n v="5.59"/>
    <n v="38700000000"/>
    <n v="41140000000"/>
    <n v="44870000000"/>
    <n v="15500000000"/>
    <n v="281100000000"/>
    <n v="6600"/>
    <n v="3.6"/>
    <n v="0.7"/>
    <n v="3600"/>
    <n v="190000"/>
    <n v="112998"/>
    <n v="15340000000"/>
    <n v="4"/>
    <n v="20.97"/>
    <n v="5.9"/>
    <n v="115158"/>
    <n v="2732200"/>
    <n v="15.8"/>
    <n v="20700000"/>
    <n v="71.72"/>
    <n v="3300000000"/>
    <n v="3.4"/>
    <x v="25"/>
    <n v="0"/>
    <x v="0"/>
    <n v="5700000000"/>
    <n v="132000000000"/>
    <n v="252000"/>
    <m/>
    <m/>
    <n v="531100"/>
    <n v="1700000000"/>
    <n v="42954279"/>
    <n v="51.8"/>
    <n v="3304"/>
    <n v="11940000000"/>
    <n v="8768100"/>
    <n v="6186200"/>
    <n v="2.56"/>
    <n v="13.6"/>
  </r>
  <r>
    <x v="54"/>
    <n v="2170"/>
    <n v="37.520000000000003"/>
    <x v="0"/>
    <n v="8.4"/>
    <n v="232000000"/>
    <n v="22170000"/>
    <n v="23840000"/>
    <n v="28000000"/>
    <n v="441000000"/>
    <n v="700"/>
    <n v="2"/>
    <n v="0.12"/>
    <m/>
    <m/>
    <n v="880"/>
    <n v="88000000"/>
    <n v="-2"/>
    <n v="74.930000000000007"/>
    <n v="3.5"/>
    <n v="11"/>
    <n v="5000"/>
    <m/>
    <n v="144500"/>
    <n v="61.96"/>
    <n v="11600000"/>
    <n v="3"/>
    <x v="1"/>
    <m/>
    <x v="1"/>
    <m/>
    <m/>
    <n v="700"/>
    <m/>
    <m/>
    <n v="0"/>
    <m/>
    <n v="671247"/>
    <m/>
    <m/>
    <m/>
    <n v="13200"/>
    <n v="2000"/>
    <n v="5.09"/>
    <n v="20"/>
  </r>
  <r>
    <x v="55"/>
    <n v="2345410"/>
    <n v="44.38"/>
    <x v="0"/>
    <n v="14.43"/>
    <n v="11600000000"/>
    <n v="4168000000"/>
    <n v="6086000000"/>
    <n v="1417000000"/>
    <n v="42740000000"/>
    <n v="700"/>
    <n v="7.5"/>
    <n v="4.2"/>
    <n v="100000"/>
    <n v="1100000"/>
    <n v="157000"/>
    <n v="933000000"/>
    <m/>
    <n v="92.87"/>
    <n v="14"/>
    <n v="153"/>
    <n v="50000"/>
    <m/>
    <n v="14510000"/>
    <n v="49.35"/>
    <n v="93500000"/>
    <n v="1.5"/>
    <x v="1"/>
    <m/>
    <x v="1"/>
    <m/>
    <n v="104800000000"/>
    <n v="14000"/>
    <m/>
    <m/>
    <n v="24000"/>
    <n v="1538000000"/>
    <n v="60085804"/>
    <m/>
    <n v="5138"/>
    <m/>
    <n v="10000"/>
    <n v="1000000"/>
    <n v="6.54"/>
    <m/>
  </r>
  <r>
    <x v="56"/>
    <n v="342000"/>
    <n v="27.88"/>
    <x v="31"/>
    <n v="14.82"/>
    <n v="5000000000"/>
    <n v="573600000"/>
    <n v="348000000"/>
    <n v="2224000000"/>
    <n v="2324000000"/>
    <n v="800"/>
    <n v="3.7"/>
    <n v="4.9000000000000004"/>
    <n v="9700"/>
    <n v="90000"/>
    <n v="12800"/>
    <n v="749300000"/>
    <n v="0"/>
    <n v="92.41"/>
    <n v="1.8"/>
    <n v="46"/>
    <n v="15000"/>
    <n v="25.8"/>
    <m/>
    <n v="48.97"/>
    <n v="126500000"/>
    <n v="2.8"/>
    <x v="21"/>
    <n v="0"/>
    <x v="0"/>
    <n v="0"/>
    <n v="495500000"/>
    <n v="5000"/>
    <m/>
    <m/>
    <n v="227000"/>
    <n v="93500000"/>
    <n v="3039126"/>
    <m/>
    <n v="894"/>
    <n v="40420000"/>
    <n v="7000"/>
    <n v="330000"/>
    <n v="3.54"/>
    <m/>
  </r>
  <r>
    <x v="57"/>
    <n v="240"/>
    <m/>
    <x v="0"/>
    <m/>
    <n v="141000000"/>
    <n v="25110000"/>
    <n v="27000000"/>
    <n v="9100000"/>
    <n v="105000000"/>
    <n v="5000"/>
    <n v="7.1"/>
    <m/>
    <m/>
    <m/>
    <n v="320"/>
    <n v="50700000"/>
    <n v="1"/>
    <m/>
    <n v="3.2"/>
    <m/>
    <n v="3600"/>
    <m/>
    <n v="8000"/>
    <m/>
    <m/>
    <m/>
    <x v="1"/>
    <m/>
    <x v="1"/>
    <m/>
    <m/>
    <n v="450"/>
    <m/>
    <m/>
    <n v="0"/>
    <m/>
    <n v="21388"/>
    <m/>
    <m/>
    <m/>
    <n v="6200"/>
    <n v="1500"/>
    <m/>
    <n v="13"/>
  </r>
  <r>
    <x v="58"/>
    <n v="51100"/>
    <n v="18.600000000000001"/>
    <x v="32"/>
    <n v="4.33"/>
    <n v="5962000000"/>
    <n v="5733000000"/>
    <n v="6614000000"/>
    <n v="6184000000"/>
    <n v="37970000000"/>
    <n v="9600"/>
    <n v="3.9"/>
    <n v="0.6"/>
    <n v="900"/>
    <n v="12000"/>
    <n v="35303"/>
    <n v="7842000000"/>
    <n v="3.1"/>
    <n v="9.9499999999999993"/>
    <n v="11.5"/>
    <n v="10826"/>
    <n v="800000"/>
    <n v="19.2"/>
    <n v="1810000"/>
    <n v="76.84"/>
    <n v="64200000"/>
    <n v="0.4"/>
    <x v="1"/>
    <m/>
    <x v="1"/>
    <m/>
    <m/>
    <n v="37000"/>
    <m/>
    <m/>
    <n v="0"/>
    <m/>
    <n v="4016173"/>
    <n v="58"/>
    <n v="950"/>
    <n v="1736000000"/>
    <n v="1132000"/>
    <n v="528047"/>
    <n v="2.2799999999999998"/>
    <n v="6.6"/>
  </r>
  <r>
    <x v="59"/>
    <n v="322460"/>
    <n v="35.51"/>
    <x v="33"/>
    <n v="14.94"/>
    <n v="11810000000"/>
    <n v="2976000000"/>
    <n v="4759000000"/>
    <n v="5124000000"/>
    <n v="24780000000"/>
    <n v="1500"/>
    <n v="-1"/>
    <n v="7"/>
    <n v="47000"/>
    <n v="570000"/>
    <n v="50400"/>
    <n v="3360000000"/>
    <n v="15"/>
    <n v="90.83"/>
    <n v="1.4"/>
    <n v="3795"/>
    <n v="90000"/>
    <n v="11.3"/>
    <n v="6700000"/>
    <n v="48.62"/>
    <n v="180200000"/>
    <n v="1.2"/>
    <x v="18"/>
    <n v="0"/>
    <x v="0"/>
    <n v="1350000000"/>
    <n v="14870000000"/>
    <n v="32000"/>
    <m/>
    <m/>
    <n v="29300"/>
    <n v="220000000"/>
    <n v="17298040"/>
    <n v="74.8"/>
    <n v="660"/>
    <n v="1950000000"/>
    <n v="328000"/>
    <n v="1236000"/>
    <n v="4.58"/>
    <n v="13"/>
  </r>
  <r>
    <x v="60"/>
    <n v="56542"/>
    <n v="9.57"/>
    <x v="34"/>
    <n v="11.38"/>
    <n v="26400000000"/>
    <n v="15200000000"/>
    <n v="12510000000"/>
    <n v="7845000000"/>
    <n v="50330000000"/>
    <n v="11200"/>
    <n v="3.7"/>
    <n v="0.1"/>
    <n v="10"/>
    <n v="200"/>
    <n v="28344"/>
    <n v="16700000000"/>
    <n v="2.7"/>
    <n v="6.84"/>
    <n v="2.5"/>
    <n v="29644"/>
    <n v="1014000"/>
    <n v="28.6"/>
    <n v="1710000"/>
    <n v="74.45"/>
    <n v="620000000"/>
    <n v="2.39"/>
    <x v="26"/>
    <n v="0"/>
    <x v="12"/>
    <n v="1760000000"/>
    <n v="34360000000"/>
    <n v="89000"/>
    <m/>
    <m/>
    <n v="21000"/>
    <n v="93600000"/>
    <n v="4495904"/>
    <n v="41.7"/>
    <n v="2726"/>
    <n v="8563000000"/>
    <n v="1825000"/>
    <n v="2553000"/>
    <n v="1.39"/>
    <n v="13.8"/>
  </r>
  <r>
    <x v="61"/>
    <n v="110860"/>
    <n v="12.03"/>
    <x v="35"/>
    <n v="7.19"/>
    <n v="12090000000"/>
    <n v="13400000000"/>
    <n v="14410000000"/>
    <n v="2104000000"/>
    <n v="33920000000"/>
    <n v="3000"/>
    <n v="3"/>
    <n v="0.1"/>
    <n v="200"/>
    <n v="3300"/>
    <n v="60858"/>
    <n v="5296000000"/>
    <n v="1.4"/>
    <n v="6.33"/>
    <n v="3.1"/>
    <n v="1529"/>
    <n v="120000"/>
    <n v="11.2"/>
    <n v="4550000"/>
    <n v="77.23"/>
    <n v="572300000"/>
    <n v="1.8"/>
    <x v="27"/>
    <n v="0"/>
    <x v="0"/>
    <n v="600000000"/>
    <n v="42620000000"/>
    <n v="163000"/>
    <m/>
    <m/>
    <n v="77900"/>
    <n v="532000000"/>
    <n v="11346670"/>
    <m/>
    <n v="4226"/>
    <n v="738600000"/>
    <n v="574400"/>
    <n v="17900"/>
    <n v="1.66"/>
    <n v="2.5"/>
  </r>
  <r>
    <x v="62"/>
    <n v="9250"/>
    <n v="12.57"/>
    <x v="36"/>
    <n v="7.64"/>
    <n v="7327000000"/>
    <n v="602000000"/>
    <n v="4000000000"/>
    <n v="49300000"/>
    <n v="4540000000"/>
    <n v="7135"/>
    <n v="2.6"/>
    <n v="0.1"/>
    <m/>
    <n v="1000"/>
    <n v="13943"/>
    <n v="415200000"/>
    <n v="-0.3"/>
    <n v="7.18"/>
    <n v="2.4"/>
    <n v="5901"/>
    <n v="210000"/>
    <n v="17.899999999999999"/>
    <n v="95025"/>
    <n v="77.650000000000006"/>
    <n v="384000000"/>
    <n v="3.8"/>
    <x v="1"/>
    <m/>
    <x v="1"/>
    <m/>
    <m/>
    <n v="49000"/>
    <m/>
    <m/>
    <n v="300"/>
    <m/>
    <n v="780133"/>
    <n v="74.900000000000006"/>
    <m/>
    <n v="941600000"/>
    <n v="86228"/>
    <n v="143178"/>
    <n v="1.83"/>
    <n v="3.2"/>
  </r>
  <r>
    <x v="63"/>
    <n v="78866"/>
    <n v="9.07"/>
    <x v="37"/>
    <n v="10.54"/>
    <n v="36280000000"/>
    <n v="55330000000"/>
    <n v="71750000000"/>
    <n v="66510000000"/>
    <n v="172200000000"/>
    <n v="16800"/>
    <n v="3.7"/>
    <n v="0.1"/>
    <n v="10"/>
    <n v="2500"/>
    <n v="127204"/>
    <n v="68190000000"/>
    <n v="4.7"/>
    <n v="3.93"/>
    <n v="3.2"/>
    <n v="295677"/>
    <n v="2700000"/>
    <n v="29"/>
    <n v="5250000"/>
    <n v="76.02"/>
    <n v="2170000000"/>
    <n v="2.02"/>
    <x v="28"/>
    <n v="1000000"/>
    <x v="13"/>
    <n v="160000000"/>
    <n v="3057000000"/>
    <n v="175700"/>
    <n v="26670"/>
    <n v="192300"/>
    <n v="7419"/>
    <n v="17250000"/>
    <n v="10241138"/>
    <n v="33.5"/>
    <n v="9520"/>
    <n v="32780000000"/>
    <n v="3626000"/>
    <n v="9708700"/>
    <n v="1.2"/>
    <n v="10.6"/>
  </r>
  <r>
    <x v="64"/>
    <n v="43094"/>
    <n v="11.36"/>
    <x v="38"/>
    <n v="10.43"/>
    <n v="21700000000"/>
    <n v="31630000000"/>
    <n v="36380000000"/>
    <n v="73060000000"/>
    <n v="174400000000"/>
    <n v="32200"/>
    <n v="2.1"/>
    <n v="0.2"/>
    <n v="100"/>
    <n v="5000"/>
    <n v="71847"/>
    <n v="63450000000"/>
    <n v="1.7"/>
    <n v="4.5599999999999996"/>
    <n v="1.4"/>
    <n v="1219925"/>
    <n v="2756000"/>
    <n v="19.8"/>
    <n v="2870000"/>
    <n v="77.62"/>
    <n v="3271600000"/>
    <n v="1.5"/>
    <x v="29"/>
    <n v="3100000000"/>
    <x v="0"/>
    <n v="8380000000"/>
    <n v="81980000000"/>
    <n v="218000"/>
    <n v="332100"/>
    <n v="195000"/>
    <n v="346200"/>
    <n v="1230000000"/>
    <n v="5432335"/>
    <n v="42.5"/>
    <n v="3002"/>
    <n v="37980000000"/>
    <n v="3610100"/>
    <n v="4785300"/>
    <n v="1.74"/>
    <n v="6.2"/>
  </r>
  <r>
    <x v="65"/>
    <n v="131"/>
    <m/>
    <x v="0"/>
    <m/>
    <m/>
    <m/>
    <m/>
    <m/>
    <m/>
    <m/>
    <m/>
    <m/>
    <m/>
    <m/>
    <m/>
    <m/>
    <m/>
    <m/>
    <m/>
    <m/>
    <m/>
    <m/>
    <m/>
    <m/>
    <m/>
    <m/>
    <x v="1"/>
    <m/>
    <x v="1"/>
    <m/>
    <m/>
    <m/>
    <m/>
    <m/>
    <m/>
    <m/>
    <m/>
    <m/>
    <m/>
    <m/>
    <m/>
    <m/>
    <m/>
    <m/>
  </r>
  <r>
    <x v="66"/>
    <n v="23000"/>
    <n v="39.979999999999997"/>
    <x v="0"/>
    <n v="19.39"/>
    <n v="366000000"/>
    <n v="167400000"/>
    <n v="180000000"/>
    <n v="155000000"/>
    <n v="619000000"/>
    <n v="1300"/>
    <n v="3.5"/>
    <n v="2.9"/>
    <n v="690"/>
    <n v="9100"/>
    <n v="2890"/>
    <n v="665000000"/>
    <n v="3"/>
    <n v="104.13"/>
    <n v="2"/>
    <n v="702"/>
    <n v="6500"/>
    <m/>
    <n v="282000"/>
    <n v="43.1"/>
    <n v="28600000"/>
    <n v="4.4000000000000004"/>
    <x v="1"/>
    <m/>
    <x v="1"/>
    <m/>
    <m/>
    <n v="11300"/>
    <m/>
    <m/>
    <n v="0"/>
    <m/>
    <n v="476703"/>
    <m/>
    <n v="100"/>
    <m/>
    <n v="9500"/>
    <n v="23000"/>
    <n v="5.4"/>
    <n v="50"/>
  </r>
  <r>
    <x v="67"/>
    <n v="754"/>
    <n v="15.73"/>
    <x v="0"/>
    <n v="6.81"/>
    <n v="161500000"/>
    <n v="63620000"/>
    <n v="68410000"/>
    <n v="39000000"/>
    <n v="384000000"/>
    <n v="5500"/>
    <n v="-1"/>
    <m/>
    <m/>
    <m/>
    <n v="780"/>
    <n v="98200000"/>
    <n v="-10"/>
    <n v="14.15"/>
    <n v="1"/>
    <n v="681"/>
    <n v="12500"/>
    <m/>
    <n v="25000"/>
    <n v="74.650000000000006"/>
    <m/>
    <m/>
    <x v="1"/>
    <m/>
    <x v="1"/>
    <m/>
    <m/>
    <n v="600"/>
    <m/>
    <m/>
    <n v="0"/>
    <m/>
    <n v="69029"/>
    <m/>
    <m/>
    <m/>
    <n v="23700"/>
    <n v="9400"/>
    <n v="1.96"/>
    <n v="23"/>
  </r>
  <r>
    <x v="68"/>
    <n v="48730"/>
    <n v="23.28"/>
    <x v="39"/>
    <n v="7.35"/>
    <n v="7745000000"/>
    <n v="8912000000"/>
    <n v="9583000000"/>
    <n v="5446000000"/>
    <n v="55680000000"/>
    <n v="6300"/>
    <n v="1.7"/>
    <n v="1.7"/>
    <n v="7900"/>
    <n v="88000"/>
    <n v="12600"/>
    <n v="8093000000"/>
    <n v="2"/>
    <n v="32.380000000000003"/>
    <n v="55"/>
    <n v="64197"/>
    <n v="500000"/>
    <n v="18.899999999999999"/>
    <m/>
    <n v="67.260000000000005"/>
    <n v="180000000"/>
    <n v="1.1000000000000001"/>
    <x v="1"/>
    <m/>
    <x v="1"/>
    <m/>
    <m/>
    <n v="129000"/>
    <m/>
    <n v="129900"/>
    <n v="0"/>
    <m/>
    <n v="8950034"/>
    <n v="61.1"/>
    <n v="1743"/>
    <n v="426000000"/>
    <n v="901800"/>
    <n v="2120400"/>
    <n v="2.86"/>
    <n v="17"/>
  </r>
  <r>
    <x v="69"/>
    <n v="15007"/>
    <n v="27.19"/>
    <x v="0"/>
    <n v="6.3"/>
    <m/>
    <m/>
    <m/>
    <n v="8000000"/>
    <n v="370000000"/>
    <n v="400"/>
    <n v="1"/>
    <m/>
    <m/>
    <m/>
    <n v="3800"/>
    <n v="167000000"/>
    <n v="8.5"/>
    <n v="47.41"/>
    <n v="4"/>
    <m/>
    <m/>
    <m/>
    <m/>
    <n v="65.900000000000006"/>
    <n v="4400000"/>
    <m/>
    <x v="1"/>
    <m/>
    <x v="1"/>
    <m/>
    <m/>
    <m/>
    <m/>
    <m/>
    <m/>
    <m/>
    <n v="1040880"/>
    <m/>
    <m/>
    <m/>
    <m/>
    <m/>
    <n v="3.61"/>
    <n v="50"/>
  </r>
  <r>
    <x v="70"/>
    <n v="283560"/>
    <n v="22.67"/>
    <x v="40"/>
    <n v="4.24"/>
    <n v="16810000000"/>
    <n v="75580000000"/>
    <n v="81270000000"/>
    <n v="7560000000"/>
    <n v="49510000000"/>
    <n v="3700"/>
    <n v="5.8"/>
    <n v="0.3"/>
    <n v="1700"/>
    <n v="21000"/>
    <n v="43197"/>
    <n v="7650000000"/>
    <n v="10"/>
    <n v="23.66"/>
    <n v="2"/>
    <n v="3188"/>
    <n v="569700"/>
    <n v="20.6"/>
    <n v="4530000"/>
    <n v="76.209999999999994"/>
    <n v="655000000"/>
    <n v="2.2000000000000002"/>
    <x v="30"/>
    <n v="0"/>
    <x v="0"/>
    <n v="160000000"/>
    <n v="106500000000"/>
    <n v="129000"/>
    <n v="387000"/>
    <m/>
    <n v="523000"/>
    <n v="4408000000"/>
    <n v="13363593"/>
    <n v="49.2"/>
    <n v="966"/>
    <n v="1436000000"/>
    <n v="1549000"/>
    <n v="2394400"/>
    <n v="2.72"/>
    <n v="11.1"/>
  </r>
  <r>
    <x v="71"/>
    <n v="1001450"/>
    <n v="23.32"/>
    <x v="41"/>
    <n v="5.26"/>
    <n v="33750000000"/>
    <n v="75580000000"/>
    <n v="81270000000"/>
    <n v="11000000000"/>
    <n v="316300000000"/>
    <n v="4200"/>
    <n v="4.5"/>
    <n v="0.1"/>
    <n v="700"/>
    <n v="12000"/>
    <n v="64000"/>
    <n v="19210000000"/>
    <n v="2.5"/>
    <n v="32.590000000000003"/>
    <n v="9.5"/>
    <n v="3401"/>
    <n v="2700000"/>
    <n v="15.8"/>
    <n v="20710000"/>
    <n v="71"/>
    <n v="2440000000"/>
    <n v="3.4"/>
    <x v="31"/>
    <n v="0"/>
    <x v="0"/>
    <n v="21200000000"/>
    <n v="1264000000000"/>
    <n v="562000"/>
    <m/>
    <m/>
    <n v="740000"/>
    <n v="2700000000"/>
    <n v="77505756"/>
    <n v="102.7"/>
    <n v="5063"/>
    <n v="14030000000"/>
    <n v="8735700"/>
    <n v="5797500"/>
    <n v="2.88"/>
    <n v="10.9"/>
  </r>
  <r>
    <x v="72"/>
    <n v="21040"/>
    <n v="27.04"/>
    <x v="42"/>
    <n v="5.85"/>
    <n v="4792000000"/>
    <n v="4450000000"/>
    <n v="4158000000"/>
    <n v="3249000000"/>
    <n v="32350000000"/>
    <n v="4900"/>
    <n v="1.8"/>
    <n v="0.7"/>
    <n v="2200"/>
    <n v="29000"/>
    <n v="10029"/>
    <n v="5968000000"/>
    <n v="0.7"/>
    <n v="25.1"/>
    <n v="5.4"/>
    <n v="4084"/>
    <n v="550000"/>
    <n v="16.600000000000001"/>
    <n v="2750000"/>
    <n v="71.22"/>
    <n v="157000000"/>
    <n v="1.1000000000000001"/>
    <x v="1"/>
    <m/>
    <x v="1"/>
    <m/>
    <m/>
    <n v="39000"/>
    <m/>
    <m/>
    <n v="0"/>
    <m/>
    <n v="6704932"/>
    <n v="41.7"/>
    <n v="283"/>
    <n v="1888000000"/>
    <n v="752600"/>
    <n v="1149800"/>
    <n v="3.16"/>
    <n v="6.3"/>
  </r>
  <r>
    <x v="73"/>
    <n v="28051"/>
    <n v="36.18"/>
    <x v="43"/>
    <n v="12"/>
    <n v="248000000"/>
    <n v="24820000"/>
    <n v="26690000"/>
    <n v="2771000000"/>
    <n v="1270000000"/>
    <n v="2700"/>
    <n v="20"/>
    <n v="3.4"/>
    <n v="370"/>
    <n v="5900"/>
    <n v="2880"/>
    <n v="1167000000"/>
    <n v="30"/>
    <n v="85.13"/>
    <n v="8.5"/>
    <n v="3"/>
    <n v="1800"/>
    <n v="50.8"/>
    <m/>
    <n v="55.56"/>
    <n v="126200000"/>
    <n v="2.5"/>
    <x v="32"/>
    <n v="0"/>
    <x v="0"/>
    <n v="20000000"/>
    <n v="68530000000"/>
    <n v="2000"/>
    <m/>
    <m/>
    <n v="350000"/>
    <n v="563500000"/>
    <n v="535881"/>
    <m/>
    <m/>
    <n v="235200000"/>
    <n v="9600"/>
    <n v="41500"/>
    <n v="4.62"/>
    <n v="30"/>
  </r>
  <r>
    <x v="74"/>
    <n v="121320"/>
    <n v="38.619999999999997"/>
    <x v="44"/>
    <n v="13.53"/>
    <n v="311000000"/>
    <n v="229400000"/>
    <n v="246600000"/>
    <n v="64440000"/>
    <n v="4154000000"/>
    <n v="900"/>
    <n v="2.5"/>
    <n v="2.7"/>
    <n v="6300"/>
    <n v="60000"/>
    <n v="4010"/>
    <n v="622000000"/>
    <m/>
    <n v="74.87"/>
    <n v="10"/>
    <n v="1047"/>
    <n v="9500"/>
    <n v="26.3"/>
    <m/>
    <n v="52.16"/>
    <n v="151000000"/>
    <n v="13.4"/>
    <x v="1"/>
    <m/>
    <x v="1"/>
    <m/>
    <m/>
    <n v="6000"/>
    <m/>
    <m/>
    <n v="0"/>
    <m/>
    <n v="4561599"/>
    <m/>
    <n v="306"/>
    <n v="30870000"/>
    <n v="38100"/>
    <m/>
    <n v="5.61"/>
    <m/>
  </r>
  <r>
    <x v="75"/>
    <n v="45226"/>
    <n v="9.91"/>
    <x v="45"/>
    <n v="13.21"/>
    <n v="8373000000"/>
    <n v="6358000000"/>
    <n v="8301000000"/>
    <n v="5701000000"/>
    <n v="19230000000"/>
    <n v="14300"/>
    <n v="6"/>
    <n v="1.1000000000000001"/>
    <n v="200"/>
    <n v="7800"/>
    <n v="55944"/>
    <n v="7318000000"/>
    <n v="5"/>
    <n v="7.87"/>
    <n v="3"/>
    <n v="82142"/>
    <n v="444000"/>
    <n v="28.2"/>
    <n v="660000"/>
    <n v="71.77"/>
    <n v="155000000"/>
    <n v="2"/>
    <x v="33"/>
    <n v="0"/>
    <x v="14"/>
    <n v="0"/>
    <m/>
    <n v="24000"/>
    <m/>
    <m/>
    <n v="5100"/>
    <m/>
    <n v="1332893"/>
    <n v="5.4"/>
    <n v="958"/>
    <n v="1503000000"/>
    <n v="475000"/>
    <n v="881000"/>
    <n v="1.39"/>
    <n v="9.6"/>
  </r>
  <r>
    <x v="76"/>
    <n v="1127127"/>
    <n v="38.61"/>
    <x v="46"/>
    <n v="15.06"/>
    <n v="2900000000"/>
    <n v="1998000000"/>
    <n v="2149000000"/>
    <n v="562800000"/>
    <n v="54890000000"/>
    <n v="800"/>
    <n v="11.6"/>
    <n v="4.4000000000000004"/>
    <n v="120000"/>
    <n v="1500000"/>
    <n v="33297"/>
    <n v="2104000000"/>
    <n v="6.7"/>
    <n v="95.32"/>
    <n v="2.4"/>
    <n v="9"/>
    <n v="75000"/>
    <n v="17.8"/>
    <m/>
    <n v="48.83"/>
    <n v="337100000"/>
    <n v="4.5999999999999996"/>
    <x v="1"/>
    <m/>
    <x v="1"/>
    <m/>
    <n v="12460000000"/>
    <n v="23000"/>
    <m/>
    <m/>
    <n v="0"/>
    <n v="214000"/>
    <n v="73053286"/>
    <m/>
    <n v="681"/>
    <n v="923100000"/>
    <n v="435000"/>
    <n v="97800"/>
    <n v="5.33"/>
    <m/>
  </r>
  <r>
    <x v="77"/>
    <n v="28"/>
    <m/>
    <x v="0"/>
    <m/>
    <m/>
    <m/>
    <m/>
    <m/>
    <m/>
    <m/>
    <m/>
    <m/>
    <m/>
    <m/>
    <m/>
    <m/>
    <m/>
    <m/>
    <m/>
    <m/>
    <m/>
    <m/>
    <m/>
    <m/>
    <m/>
    <m/>
    <x v="1"/>
    <m/>
    <x v="1"/>
    <m/>
    <m/>
    <m/>
    <m/>
    <m/>
    <m/>
    <m/>
    <m/>
    <m/>
    <m/>
    <m/>
    <m/>
    <m/>
    <m/>
    <m/>
  </r>
  <r>
    <x v="78"/>
    <n v="3976372"/>
    <n v="10.1"/>
    <x v="0"/>
    <n v="10.1"/>
    <m/>
    <n v="2661000000000"/>
    <n v="2888000000000"/>
    <n v="1109000000000"/>
    <n v="11650000000000"/>
    <n v="26900"/>
    <n v="2.4"/>
    <m/>
    <m/>
    <m/>
    <n v="4634810"/>
    <n v="1123000000000"/>
    <n v="2.4"/>
    <n v="5.2"/>
    <n v="2.1"/>
    <n v="22000414"/>
    <n v="206032067"/>
    <n v="19.5"/>
    <n v="215000000"/>
    <n v="78.2"/>
    <m/>
    <m/>
    <x v="34"/>
    <n v="78100000000"/>
    <x v="15"/>
    <n v="242600000000"/>
    <n v="3256000000000"/>
    <n v="14540000"/>
    <n v="5322000"/>
    <n v="15690000"/>
    <n v="2648000"/>
    <n v="28210000000"/>
    <n v="457030418"/>
    <m/>
    <n v="222293"/>
    <m/>
    <n v="238763162"/>
    <n v="314644700"/>
    <n v="1.48"/>
    <n v="9.5"/>
  </r>
  <r>
    <x v="79"/>
    <n v="12173"/>
    <m/>
    <x v="0"/>
    <m/>
    <m/>
    <n v="17720000"/>
    <n v="19060000"/>
    <n v="82000000"/>
    <n v="75000000"/>
    <n v="25000"/>
    <m/>
    <m/>
    <m/>
    <m/>
    <n v="440"/>
    <n v="53000000"/>
    <m/>
    <m/>
    <n v="3.6"/>
    <m/>
    <m/>
    <m/>
    <n v="1100"/>
    <m/>
    <m/>
    <m/>
    <x v="1"/>
    <m/>
    <x v="1"/>
    <m/>
    <m/>
    <n v="200"/>
    <m/>
    <m/>
    <n v="0"/>
    <m/>
    <n v="2967"/>
    <m/>
    <m/>
    <m/>
    <n v="2400"/>
    <n v="0"/>
    <m/>
    <m/>
  </r>
  <r>
    <x v="80"/>
    <n v="1399"/>
    <n v="13.97"/>
    <x v="0"/>
    <n v="8.69"/>
    <n v="64000000"/>
    <n v="204600000"/>
    <n v="220000000"/>
    <n v="408000000"/>
    <n v="1000000000"/>
    <n v="22000"/>
    <n v="10"/>
    <m/>
    <m/>
    <m/>
    <n v="463"/>
    <n v="466000000"/>
    <n v="8"/>
    <n v="6.24"/>
    <n v="5.0999999999999996"/>
    <m/>
    <n v="25000"/>
    <m/>
    <n v="24250"/>
    <n v="79.209999999999994"/>
    <m/>
    <m/>
    <x v="1"/>
    <m/>
    <x v="1"/>
    <m/>
    <m/>
    <n v="4500"/>
    <m/>
    <m/>
    <n v="0"/>
    <m/>
    <n v="46962"/>
    <m/>
    <m/>
    <m/>
    <n v="23000"/>
    <n v="30700"/>
    <n v="2.2000000000000002"/>
    <n v="1"/>
  </r>
  <r>
    <x v="81"/>
    <n v="18270"/>
    <n v="22.73"/>
    <x v="0"/>
    <n v="5.65"/>
    <n v="188100000"/>
    <n v="697500000"/>
    <n v="750000000"/>
    <n v="609000000"/>
    <n v="5173000000"/>
    <n v="5900"/>
    <n v="3.6"/>
    <n v="0.1"/>
    <n v="200"/>
    <n v="600"/>
    <n v="3440"/>
    <n v="835000000"/>
    <m/>
    <n v="12.62"/>
    <n v="1.6"/>
    <n v="493"/>
    <n v="55000"/>
    <m/>
    <n v="137000"/>
    <n v="69.53"/>
    <n v="36000000"/>
    <n v="2.2000000000000002"/>
    <x v="1"/>
    <m/>
    <x v="1"/>
    <m/>
    <m/>
    <n v="5700"/>
    <m/>
    <m/>
    <n v="0"/>
    <m/>
    <n v="893354"/>
    <m/>
    <n v="597"/>
    <m/>
    <n v="102000"/>
    <n v="109900"/>
    <n v="2.75"/>
    <n v="7.6"/>
  </r>
  <r>
    <x v="82"/>
    <n v="338145"/>
    <n v="10.5"/>
    <x v="47"/>
    <n v="9.7899999999999991"/>
    <n v="30000000000"/>
    <n v="78580000000"/>
    <n v="71590000000"/>
    <n v="61040000000"/>
    <n v="151200000000"/>
    <n v="29000"/>
    <n v="3"/>
    <n v="0.1"/>
    <n v="100"/>
    <n v="1500"/>
    <n v="78197"/>
    <n v="45170000000"/>
    <n v="2"/>
    <n v="3.57"/>
    <n v="0.7"/>
    <n v="1219173"/>
    <n v="2650000"/>
    <n v="18.3"/>
    <n v="2660000"/>
    <n v="78.349999999999994"/>
    <n v="1800000000"/>
    <n v="2"/>
    <x v="35"/>
    <n v="0"/>
    <x v="16"/>
    <n v="0"/>
    <m/>
    <n v="211400"/>
    <n v="101000"/>
    <n v="318300"/>
    <n v="0"/>
    <m/>
    <n v="5223442"/>
    <n v="46.8"/>
    <n v="5851"/>
    <n v="11170000000"/>
    <n v="2548000"/>
    <n v="4700000"/>
    <n v="1.73"/>
    <n v="8.9"/>
  </r>
  <r>
    <x v="83"/>
    <n v="547030"/>
    <n v="12.15"/>
    <x v="48"/>
    <n v="9.08"/>
    <m/>
    <n v="414700000000"/>
    <n v="528600000000"/>
    <n v="419000000000"/>
    <n v="1737000000000"/>
    <n v="28700"/>
    <n v="2.1"/>
    <n v="0.4"/>
    <n v="1000"/>
    <n v="120000"/>
    <n v="893100"/>
    <n v="419700000000"/>
    <n v="1.7"/>
    <n v="4.26"/>
    <n v="2.2999999999999998"/>
    <n v="2396761"/>
    <n v="21900000"/>
    <n v="19.2"/>
    <n v="27700000"/>
    <n v="79.599999999999994"/>
    <n v="45238100000"/>
    <n v="2.6"/>
    <x v="36"/>
    <n v="1725000000"/>
    <x v="17"/>
    <n v="1898000000"/>
    <n v="12860000000"/>
    <n v="2026000"/>
    <n v="409600"/>
    <n v="2281000"/>
    <n v="34920"/>
    <n v="144300000"/>
    <n v="60656178"/>
    <n v="67.7"/>
    <n v="32175"/>
    <n v="70760000000"/>
    <n v="33905400"/>
    <n v="41683100"/>
    <n v="1.85"/>
    <n v="10.1"/>
  </r>
  <r>
    <x v="84"/>
    <n v="91000"/>
    <n v="20.7"/>
    <x v="0"/>
    <n v="4.8499999999999996"/>
    <n v="1200000000"/>
    <n v="427900000"/>
    <n v="460100000"/>
    <n v="155000000"/>
    <n v="1551000000"/>
    <n v="8300"/>
    <m/>
    <m/>
    <m/>
    <m/>
    <n v="817"/>
    <n v="625000000"/>
    <m/>
    <n v="12.07"/>
    <n v="1.5"/>
    <m/>
    <n v="3200"/>
    <m/>
    <n v="58800"/>
    <n v="77.09"/>
    <m/>
    <m/>
    <x v="1"/>
    <m/>
    <x v="1"/>
    <m/>
    <m/>
    <n v="6500"/>
    <m/>
    <m/>
    <n v="0"/>
    <m/>
    <n v="195506"/>
    <m/>
    <m/>
    <m/>
    <n v="51000"/>
    <n v="138200"/>
    <n v="3.01"/>
    <n v="22"/>
  </r>
  <r>
    <x v="85"/>
    <n v="4167"/>
    <n v="16.93"/>
    <x v="0"/>
    <n v="4.63"/>
    <m/>
    <n v="353400000"/>
    <n v="380000000"/>
    <n v="244000000"/>
    <n v="4580000000"/>
    <n v="17500"/>
    <m/>
    <m/>
    <m/>
    <m/>
    <n v="2590"/>
    <n v="1341000000"/>
    <m/>
    <n v="8.44"/>
    <n v="1.5"/>
    <n v="5123"/>
    <n v="35000"/>
    <m/>
    <n v="70000"/>
    <n v="75.900000000000006"/>
    <m/>
    <m/>
    <x v="1"/>
    <m/>
    <x v="1"/>
    <m/>
    <m/>
    <n v="4750"/>
    <m/>
    <m/>
    <n v="0"/>
    <m/>
    <n v="270485"/>
    <m/>
    <m/>
    <m/>
    <n v="52500"/>
    <n v="90000"/>
    <n v="2.04"/>
    <n v="11.8"/>
  </r>
  <r>
    <x v="86"/>
    <n v="7829"/>
    <m/>
    <x v="0"/>
    <m/>
    <m/>
    <m/>
    <m/>
    <m/>
    <m/>
    <m/>
    <m/>
    <m/>
    <m/>
    <m/>
    <m/>
    <m/>
    <m/>
    <m/>
    <m/>
    <m/>
    <m/>
    <m/>
    <m/>
    <m/>
    <m/>
    <m/>
    <x v="1"/>
    <m/>
    <x v="1"/>
    <m/>
    <m/>
    <m/>
    <m/>
    <m/>
    <m/>
    <m/>
    <m/>
    <m/>
    <m/>
    <m/>
    <m/>
    <m/>
    <m/>
    <m/>
  </r>
  <r>
    <x v="87"/>
    <n v="267667"/>
    <n v="36.24"/>
    <x v="49"/>
    <n v="11.72"/>
    <n v="3804000000"/>
    <n v="1080000000"/>
    <n v="1161000000"/>
    <n v="3710000000"/>
    <n v="7966000000"/>
    <n v="5900"/>
    <n v="1.9"/>
    <n v="8.1"/>
    <n v="3000"/>
    <n v="48000"/>
    <n v="8464"/>
    <n v="1225000000"/>
    <n v="1.6"/>
    <n v="53.64"/>
    <n v="1.5"/>
    <n v="93"/>
    <n v="35000"/>
    <n v="21.8"/>
    <n v="650000"/>
    <n v="55.75"/>
    <n v="184800000"/>
    <n v="2"/>
    <x v="37"/>
    <n v="0"/>
    <x v="0"/>
    <n v="80000000"/>
    <n v="66470000000"/>
    <n v="13000"/>
    <m/>
    <m/>
    <n v="264900"/>
    <n v="2022000000"/>
    <n v="1389201"/>
    <n v="29.3"/>
    <n v="814"/>
    <n v="268600000"/>
    <n v="38400"/>
    <n v="300000"/>
    <n v="4.7699999999999996"/>
    <n v="21"/>
  </r>
  <r>
    <x v="88"/>
    <n v="11300"/>
    <n v="39.86"/>
    <x v="50"/>
    <n v="11.81"/>
    <n v="476000000"/>
    <n v="83990000"/>
    <n v="90310000"/>
    <n v="114400000"/>
    <n v="2799000000"/>
    <n v="1800"/>
    <n v="6"/>
    <n v="1.2"/>
    <n v="600"/>
    <n v="6800"/>
    <n v="2700"/>
    <n v="180900000"/>
    <m/>
    <n v="72.02"/>
    <n v="7"/>
    <n v="568"/>
    <n v="25000"/>
    <n v="25.3"/>
    <n v="400000"/>
    <n v="55.2"/>
    <n v="1000000"/>
    <n v="0.3"/>
    <x v="1"/>
    <m/>
    <x v="1"/>
    <m/>
    <m/>
    <n v="1900"/>
    <m/>
    <m/>
    <n v="0"/>
    <m/>
    <n v="1593256"/>
    <m/>
    <m/>
    <n v="113100000"/>
    <n v="38400"/>
    <n v="100000"/>
    <n v="5.38"/>
    <m/>
  </r>
  <r>
    <x v="89"/>
    <n v="360"/>
    <n v="40.03"/>
    <x v="0"/>
    <n v="3.87"/>
    <n v="108000000"/>
    <m/>
    <m/>
    <n v="205000000"/>
    <n v="768000000"/>
    <n v="600"/>
    <n v="4.5"/>
    <m/>
    <m/>
    <m/>
    <m/>
    <n v="1900000000"/>
    <m/>
    <n v="22.93"/>
    <n v="2.2000000000000002"/>
    <m/>
    <n v="60000"/>
    <m/>
    <n v="725000"/>
    <n v="71.790000000000006"/>
    <m/>
    <m/>
    <x v="1"/>
    <m/>
    <x v="1"/>
    <m/>
    <m/>
    <m/>
    <m/>
    <m/>
    <m/>
    <m/>
    <n v="1376289"/>
    <m/>
    <m/>
    <m/>
    <n v="95729"/>
    <n v="320000"/>
    <n v="5.91"/>
    <n v="50"/>
  </r>
  <r>
    <x v="90"/>
    <n v="69700"/>
    <n v="10.25"/>
    <x v="51"/>
    <n v="9.09"/>
    <n v="1800000000"/>
    <n v="6811000000"/>
    <n v="6732000000"/>
    <n v="909400000"/>
    <n v="14450000000"/>
    <n v="3100"/>
    <n v="9.5"/>
    <n v="0.1"/>
    <n v="200"/>
    <n v="3000"/>
    <n v="20229"/>
    <n v="1806000000"/>
    <n v="3"/>
    <n v="18.59"/>
    <n v="5.5"/>
    <n v="5160"/>
    <n v="150500"/>
    <n v="18.5"/>
    <n v="2100000"/>
    <n v="75.88"/>
    <n v="23000000"/>
    <n v="0.59"/>
    <x v="38"/>
    <n v="0"/>
    <x v="18"/>
    <n v="60000000"/>
    <m/>
    <n v="31500"/>
    <m/>
    <m/>
    <n v="2000"/>
    <m/>
    <n v="4677401"/>
    <m/>
    <n v="1612"/>
    <n v="231400000"/>
    <n v="650500"/>
    <n v="522300"/>
    <n v="1.41"/>
    <n v="17"/>
  </r>
  <r>
    <x v="91"/>
    <n v="357021"/>
    <n v="8.33"/>
    <x v="52"/>
    <n v="10.55"/>
    <m/>
    <n v="519500000000"/>
    <n v="560000000000"/>
    <n v="893300000000"/>
    <n v="2362000000000"/>
    <n v="28700"/>
    <n v="1.7"/>
    <n v="0.1"/>
    <n v="1000"/>
    <n v="43000"/>
    <n v="230735"/>
    <n v="716700000000"/>
    <n v="2.2000000000000002"/>
    <n v="4.16"/>
    <n v="1.6"/>
    <n v="2686119"/>
    <n v="39000000"/>
    <n v="17.600000000000001"/>
    <n v="42630000"/>
    <n v="78.650000000000006"/>
    <n v="35063000000"/>
    <n v="1.5"/>
    <x v="39"/>
    <n v="7731000000"/>
    <x v="19"/>
    <n v="21000000000"/>
    <n v="293000000000"/>
    <n v="2891000"/>
    <n v="12990"/>
    <n v="2135000"/>
    <n v="74100"/>
    <n v="395800000"/>
    <n v="82431390"/>
    <n v="65.8"/>
    <n v="46039"/>
    <n v="96840000000"/>
    <n v="54350000"/>
    <n v="64800000"/>
    <n v="1.39"/>
    <n v="10.6"/>
  </r>
  <r>
    <x v="92"/>
    <n v="239460"/>
    <n v="23.97"/>
    <x v="53"/>
    <n v="10.84"/>
    <n v="7396000000"/>
    <n v="6137000000"/>
    <n v="6922000000"/>
    <n v="3010000000"/>
    <n v="48270000000"/>
    <n v="2300"/>
    <n v="5.4"/>
    <n v="3.1"/>
    <n v="30000"/>
    <n v="350000"/>
    <n v="46176"/>
    <n v="3699000000"/>
    <n v="3.8"/>
    <n v="51.43"/>
    <n v="13"/>
    <n v="407"/>
    <n v="170000"/>
    <n v="19.7"/>
    <n v="10240000"/>
    <n v="56"/>
    <n v="49200000"/>
    <n v="0.6"/>
    <x v="1"/>
    <m/>
    <x v="1"/>
    <m/>
    <n v="11890000000"/>
    <n v="38000"/>
    <m/>
    <m/>
    <n v="7000"/>
    <n v="8255000"/>
    <n v="21029853"/>
    <m/>
    <n v="953"/>
    <n v="1267000000"/>
    <n v="302300"/>
    <n v="799900"/>
    <n v="3.02"/>
    <n v="20"/>
  </r>
  <r>
    <x v="93"/>
    <n v="7"/>
    <n v="10.87"/>
    <x v="0"/>
    <n v="9.18"/>
    <m/>
    <n v="96760000"/>
    <n v="104000000"/>
    <n v="136000000"/>
    <n v="769000000"/>
    <n v="27900"/>
    <m/>
    <m/>
    <m/>
    <m/>
    <n v="29"/>
    <n v="1743000000"/>
    <m/>
    <n v="5.13"/>
    <n v="1.5"/>
    <m/>
    <n v="6200"/>
    <m/>
    <n v="14800"/>
    <n v="79.67"/>
    <m/>
    <m/>
    <x v="1"/>
    <m/>
    <x v="1"/>
    <m/>
    <m/>
    <n v="42000"/>
    <m/>
    <m/>
    <n v="0"/>
    <m/>
    <n v="27884"/>
    <m/>
    <m/>
    <m/>
    <n v="24512"/>
    <n v="9797"/>
    <n v="1.65"/>
    <n v="2"/>
  </r>
  <r>
    <x v="94"/>
    <n v="5"/>
    <m/>
    <x v="0"/>
    <m/>
    <m/>
    <m/>
    <m/>
    <m/>
    <m/>
    <m/>
    <m/>
    <m/>
    <m/>
    <m/>
    <m/>
    <m/>
    <m/>
    <m/>
    <m/>
    <m/>
    <m/>
    <m/>
    <m/>
    <m/>
    <m/>
    <m/>
    <x v="1"/>
    <m/>
    <x v="1"/>
    <m/>
    <m/>
    <m/>
    <m/>
    <m/>
    <m/>
    <m/>
    <m/>
    <m/>
    <m/>
    <m/>
    <m/>
    <m/>
    <m/>
    <m/>
  </r>
  <r>
    <x v="95"/>
    <n v="131940"/>
    <n v="9.7200000000000006"/>
    <x v="54"/>
    <n v="10.15"/>
    <n v="67230000000"/>
    <n v="47420000000"/>
    <n v="47220000000"/>
    <n v="15500000000"/>
    <n v="226400000000"/>
    <n v="21300"/>
    <n v="3.7"/>
    <n v="0.2"/>
    <n v="100"/>
    <n v="9100"/>
    <n v="117000"/>
    <n v="54280000000"/>
    <n v="4.0999999999999996"/>
    <n v="5.53"/>
    <n v="2.9"/>
    <n v="208977"/>
    <n v="1718400"/>
    <n v="27"/>
    <n v="4400000"/>
    <n v="79.09"/>
    <n v="5890000000"/>
    <n v="4.3"/>
    <x v="40"/>
    <n v="0"/>
    <x v="20"/>
    <n v="35000000"/>
    <n v="254900000"/>
    <n v="405700"/>
    <n v="84720"/>
    <n v="468300"/>
    <n v="5992"/>
    <n v="4500000"/>
    <n v="10668354"/>
    <n v="112"/>
    <n v="2571"/>
    <n v="7300000000"/>
    <n v="5205100"/>
    <n v="8936200"/>
    <n v="1.33"/>
    <n v="10"/>
  </r>
  <r>
    <x v="96"/>
    <n v="2166086"/>
    <n v="15.93"/>
    <x v="0"/>
    <n v="7.77"/>
    <n v="25000000"/>
    <n v="227900000"/>
    <n v="245000000"/>
    <n v="388000000"/>
    <n v="1100000000"/>
    <n v="20000"/>
    <n v="1.8"/>
    <m/>
    <m/>
    <n v="100"/>
    <m/>
    <n v="445000000"/>
    <m/>
    <n v="15.82"/>
    <n v="1.6"/>
    <n v="2642"/>
    <n v="20000"/>
    <m/>
    <n v="24500"/>
    <n v="69.650000000000006"/>
    <m/>
    <m/>
    <x v="1"/>
    <m/>
    <x v="1"/>
    <m/>
    <m/>
    <n v="3700"/>
    <m/>
    <m/>
    <n v="0"/>
    <m/>
    <n v="56375"/>
    <m/>
    <m/>
    <m/>
    <n v="26000"/>
    <n v="16747"/>
    <n v="2.41"/>
    <n v="10"/>
  </r>
  <r>
    <x v="97"/>
    <n v="344"/>
    <n v="22.3"/>
    <x v="0"/>
    <n v="7.17"/>
    <n v="196000000"/>
    <n v="138600000"/>
    <n v="149000000"/>
    <n v="46000000"/>
    <n v="440000000"/>
    <n v="5000"/>
    <n v="2.5"/>
    <m/>
    <m/>
    <m/>
    <n v="1040"/>
    <n v="208000000"/>
    <n v="0.7"/>
    <n v="14.62"/>
    <n v="2.8"/>
    <n v="18"/>
    <n v="15000"/>
    <m/>
    <n v="42300"/>
    <n v="64.53"/>
    <m/>
    <m/>
    <x v="1"/>
    <m/>
    <x v="1"/>
    <m/>
    <m/>
    <n v="1000"/>
    <m/>
    <m/>
    <n v="0"/>
    <m/>
    <n v="89502"/>
    <m/>
    <m/>
    <m/>
    <n v="33500"/>
    <n v="7600"/>
    <n v="2.37"/>
    <n v="12.5"/>
  </r>
  <r>
    <x v="98"/>
    <n v="1780"/>
    <n v="15.42"/>
    <x v="0"/>
    <n v="6.06"/>
    <m/>
    <n v="1079000000"/>
    <n v="1160000000"/>
    <n v="140000000"/>
    <n v="3513000000"/>
    <n v="7900"/>
    <m/>
    <m/>
    <m/>
    <m/>
    <n v="947"/>
    <n v="1700000000"/>
    <m/>
    <n v="8.6"/>
    <m/>
    <m/>
    <n v="20000"/>
    <m/>
    <n v="125900"/>
    <n v="77.900000000000006"/>
    <m/>
    <m/>
    <x v="1"/>
    <m/>
    <x v="1"/>
    <m/>
    <m/>
    <n v="13000"/>
    <m/>
    <m/>
    <n v="0"/>
    <m/>
    <n v="448713"/>
    <m/>
    <m/>
    <m/>
    <n v="210000"/>
    <n v="323500"/>
    <n v="1.91"/>
    <n v="27.8"/>
  </r>
  <r>
    <x v="99"/>
    <n v="549"/>
    <n v="19.03"/>
    <x v="0"/>
    <n v="4.41"/>
    <m/>
    <n v="776600000"/>
    <n v="835000000"/>
    <n v="38000000"/>
    <n v="3200000000"/>
    <n v="21000"/>
    <m/>
    <m/>
    <m/>
    <m/>
    <n v="977"/>
    <n v="462000000"/>
    <m/>
    <n v="6.94"/>
    <n v="0"/>
    <m/>
    <n v="50000"/>
    <m/>
    <n v="60000"/>
    <n v="78.400000000000006"/>
    <m/>
    <m/>
    <x v="1"/>
    <m/>
    <x v="1"/>
    <m/>
    <m/>
    <n v="20000"/>
    <m/>
    <m/>
    <n v="0"/>
    <m/>
    <n v="168564"/>
    <m/>
    <m/>
    <m/>
    <n v="84134"/>
    <n v="32600"/>
    <n v="2.6"/>
    <n v="15"/>
  </r>
  <r>
    <x v="100"/>
    <n v="108890"/>
    <n v="34.11"/>
    <x v="55"/>
    <n v="6.81"/>
    <n v="5969000000"/>
    <n v="5760000000"/>
    <n v="6608000000"/>
    <n v="2911000000"/>
    <n v="59470000000"/>
    <n v="4200"/>
    <n v="2.6"/>
    <n v="1.1000000000000001"/>
    <n v="5800"/>
    <n v="78000"/>
    <n v="14118"/>
    <n v="7770000000"/>
    <n v="4.0999999999999996"/>
    <n v="35.93"/>
    <n v="7.2"/>
    <n v="20360"/>
    <n v="400000"/>
    <n v="14.9"/>
    <n v="3680000"/>
    <n v="65.14"/>
    <n v="201900000"/>
    <n v="0.8"/>
    <x v="1"/>
    <m/>
    <x v="1"/>
    <m/>
    <n v="1543000000"/>
    <n v="61000"/>
    <n v="3104"/>
    <m/>
    <n v="25000"/>
    <n v="263000000"/>
    <n v="14655189"/>
    <n v="32"/>
    <n v="886"/>
    <n v="3084000000"/>
    <n v="846000"/>
    <n v="1577100"/>
    <n v="4.53"/>
    <n v="7.5"/>
  </r>
  <r>
    <x v="101"/>
    <n v="78"/>
    <n v="9.01"/>
    <x v="0"/>
    <n v="9.9499999999999993"/>
    <m/>
    <m/>
    <m/>
    <m/>
    <n v="2590000000"/>
    <n v="40000"/>
    <n v="3"/>
    <m/>
    <m/>
    <m/>
    <m/>
    <m/>
    <m/>
    <n v="4.71"/>
    <n v="4.9000000000000004"/>
    <m/>
    <m/>
    <m/>
    <n v="32290"/>
    <n v="80.3"/>
    <m/>
    <m/>
    <x v="1"/>
    <m/>
    <x v="1"/>
    <m/>
    <m/>
    <m/>
    <m/>
    <m/>
    <m/>
    <m/>
    <n v="65228"/>
    <m/>
    <m/>
    <m/>
    <n v="55000"/>
    <n v="31500"/>
    <n v="1.38"/>
    <n v="0.5"/>
  </r>
  <r>
    <x v="102"/>
    <n v="245857"/>
    <n v="42.03"/>
    <x v="56"/>
    <n v="15.38"/>
    <n v="3250000000"/>
    <n v="795200000"/>
    <n v="855000000"/>
    <n v="709200000"/>
    <n v="19500000000"/>
    <n v="2100"/>
    <n v="1"/>
    <n v="3.2"/>
    <n v="9000"/>
    <n v="140000"/>
    <n v="30500"/>
    <n v="641500000"/>
    <n v="3.2"/>
    <n v="90.37"/>
    <n v="18"/>
    <n v="380"/>
    <n v="40000"/>
    <n v="21"/>
    <n v="3000000"/>
    <n v="49.86"/>
    <n v="56700000"/>
    <n v="1.7"/>
    <x v="1"/>
    <m/>
    <x v="1"/>
    <m/>
    <m/>
    <n v="8600"/>
    <m/>
    <m/>
    <n v="0"/>
    <m/>
    <n v="9467866"/>
    <m/>
    <n v="837"/>
    <n v="201700000"/>
    <n v="26200"/>
    <n v="111500"/>
    <n v="5.83"/>
    <m/>
  </r>
  <r>
    <x v="103"/>
    <n v="36120"/>
    <n v="37.65"/>
    <x v="0"/>
    <n v="16.53"/>
    <n v="941500000"/>
    <n v="51150000"/>
    <n v="55000000"/>
    <n v="54000000"/>
    <n v="1008000000"/>
    <n v="700"/>
    <n v="2.6"/>
    <n v="10"/>
    <n v="1200"/>
    <n v="17000"/>
    <n v="4400"/>
    <n v="104000000"/>
    <n v="2.6"/>
    <n v="107.17"/>
    <n v="4"/>
    <n v="2"/>
    <n v="19000"/>
    <m/>
    <n v="480000"/>
    <n v="46.97"/>
    <n v="8900000"/>
    <n v="3.1"/>
    <x v="1"/>
    <m/>
    <x v="1"/>
    <m/>
    <m/>
    <n v="2500"/>
    <m/>
    <m/>
    <n v="0"/>
    <m/>
    <n v="1416027"/>
    <m/>
    <m/>
    <m/>
    <n v="10600"/>
    <n v="1300"/>
    <n v="4.93"/>
    <m/>
  </r>
  <r>
    <x v="104"/>
    <n v="214970"/>
    <n v="18.45"/>
    <x v="57"/>
    <n v="8.32"/>
    <n v="1200000000"/>
    <n v="751400000"/>
    <n v="808000000"/>
    <n v="570200000"/>
    <n v="2899000000"/>
    <n v="3800"/>
    <n v="1.9"/>
    <n v="2.5"/>
    <n v="1100"/>
    <n v="11000"/>
    <n v="7970"/>
    <n v="650100000"/>
    <n v="7.1"/>
    <n v="33.26"/>
    <n v="4.5"/>
    <n v="613"/>
    <n v="125000"/>
    <n v="34.5"/>
    <n v="418000"/>
    <n v="65.5"/>
    <n v="6500000"/>
    <n v="0.9"/>
    <x v="1"/>
    <m/>
    <x v="1"/>
    <m/>
    <m/>
    <n v="11000"/>
    <m/>
    <m/>
    <n v="0"/>
    <m/>
    <n v="765283"/>
    <m/>
    <n v="187"/>
    <n v="280600000"/>
    <n v="80400"/>
    <n v="87300"/>
    <n v="2.0499999999999998"/>
    <m/>
  </r>
  <r>
    <x v="105"/>
    <n v="27750"/>
    <n v="36.590000000000003"/>
    <x v="58"/>
    <n v="12.34"/>
    <n v="1200000000"/>
    <n v="574700000"/>
    <n v="618000000"/>
    <n v="338100000"/>
    <n v="12050000000"/>
    <n v="1500"/>
    <n v="-3.5"/>
    <n v="5.6"/>
    <n v="24000"/>
    <n v="280000"/>
    <n v="4160"/>
    <n v="1085000000"/>
    <m/>
    <n v="73.45"/>
    <n v="22"/>
    <m/>
    <n v="80000"/>
    <m/>
    <n v="3600000"/>
    <n v="52.92"/>
    <n v="26000000"/>
    <n v="0.9"/>
    <x v="1"/>
    <m/>
    <x v="1"/>
    <m/>
    <m/>
    <n v="11000"/>
    <m/>
    <m/>
    <n v="0"/>
    <m/>
    <n v="8121622"/>
    <m/>
    <m/>
    <n v="80640000"/>
    <n v="130000"/>
    <n v="140000"/>
    <n v="5.0199999999999996"/>
    <m/>
  </r>
  <r>
    <x v="106"/>
    <n v="412"/>
    <m/>
    <x v="0"/>
    <m/>
    <m/>
    <m/>
    <m/>
    <m/>
    <m/>
    <m/>
    <m/>
    <m/>
    <m/>
    <m/>
    <m/>
    <m/>
    <m/>
    <m/>
    <m/>
    <m/>
    <m/>
    <m/>
    <m/>
    <m/>
    <m/>
    <m/>
    <x v="1"/>
    <m/>
    <x v="1"/>
    <m/>
    <m/>
    <m/>
    <m/>
    <m/>
    <m/>
    <m/>
    <m/>
    <m/>
    <m/>
    <m/>
    <m/>
    <m/>
    <m/>
    <m/>
  </r>
  <r>
    <x v="107"/>
    <n v="0"/>
    <m/>
    <x v="0"/>
    <m/>
    <m/>
    <m/>
    <m/>
    <m/>
    <m/>
    <m/>
    <m/>
    <m/>
    <m/>
    <m/>
    <m/>
    <m/>
    <m/>
    <m/>
    <m/>
    <n v="9"/>
    <m/>
    <m/>
    <m/>
    <m/>
    <m/>
    <m/>
    <x v="1"/>
    <m/>
    <x v="1"/>
    <m/>
    <m/>
    <m/>
    <m/>
    <m/>
    <m/>
    <m/>
    <n v="921"/>
    <m/>
    <m/>
    <m/>
    <m/>
    <m/>
    <m/>
    <m/>
  </r>
  <r>
    <x v="108"/>
    <n v="112090"/>
    <n v="30.38"/>
    <x v="59"/>
    <n v="6.87"/>
    <n v="5365000000"/>
    <n v="3771000000"/>
    <n v="3626000000"/>
    <n v="1457000000"/>
    <n v="18790000000"/>
    <n v="2800"/>
    <n v="4.2"/>
    <n v="1.8"/>
    <n v="4100"/>
    <n v="63000"/>
    <n v="13603"/>
    <n v="3332000000"/>
    <n v="7.7"/>
    <n v="29.32"/>
    <n v="7"/>
    <n v="1944"/>
    <n v="168600"/>
    <n v="24.1"/>
    <n v="2470000"/>
    <n v="65.599999999999994"/>
    <n v="100600000"/>
    <n v="1.4"/>
    <x v="1"/>
    <m/>
    <x v="1"/>
    <m/>
    <m/>
    <n v="29000"/>
    <m/>
    <m/>
    <n v="0"/>
    <m/>
    <n v="6975204"/>
    <n v="74.099999999999994"/>
    <n v="699"/>
    <n v="1464000000"/>
    <n v="322500"/>
    <n v="326500"/>
    <n v="3.87"/>
    <n v="28.5"/>
  </r>
  <r>
    <x v="109"/>
    <n v="1092"/>
    <n v="7.23"/>
    <x v="60"/>
    <n v="5.98"/>
    <n v="417600000000"/>
    <n v="38450000000"/>
    <n v="35510000000"/>
    <n v="268100000000"/>
    <n v="234500000000"/>
    <n v="34200"/>
    <n v="7.9"/>
    <n v="0.1"/>
    <n v="200"/>
    <n v="2600"/>
    <n v="1831"/>
    <n v="275900000000"/>
    <n v="1"/>
    <n v="2.97"/>
    <n v="-0.3"/>
    <n v="591993"/>
    <n v="3212800"/>
    <n v="22.7"/>
    <n v="3540000"/>
    <n v="81.39"/>
    <m/>
    <m/>
    <x v="41"/>
    <n v="0"/>
    <x v="21"/>
    <m/>
    <m/>
    <n v="257000"/>
    <m/>
    <m/>
    <n v="0"/>
    <m/>
    <n v="6898686"/>
    <n v="2.1"/>
    <m/>
    <n v="123600000000"/>
    <n v="3801300"/>
    <n v="7241400"/>
    <n v="0.91"/>
    <n v="6.7"/>
  </r>
  <r>
    <x v="110"/>
    <n v="2"/>
    <m/>
    <x v="0"/>
    <m/>
    <m/>
    <m/>
    <m/>
    <m/>
    <m/>
    <m/>
    <m/>
    <m/>
    <m/>
    <m/>
    <m/>
    <m/>
    <m/>
    <m/>
    <m/>
    <m/>
    <m/>
    <m/>
    <m/>
    <m/>
    <m/>
    <m/>
    <x v="1"/>
    <m/>
    <x v="1"/>
    <m/>
    <m/>
    <m/>
    <m/>
    <m/>
    <m/>
    <m/>
    <m/>
    <m/>
    <m/>
    <m/>
    <m/>
    <m/>
    <m/>
    <m/>
  </r>
  <r>
    <x v="111"/>
    <n v="93030"/>
    <n v="9.76"/>
    <x v="61"/>
    <n v="13.19"/>
    <n v="57000000000"/>
    <n v="35990000000"/>
    <n v="34070000000"/>
    <n v="54620000000"/>
    <n v="149300000000"/>
    <n v="14900"/>
    <n v="3.9"/>
    <n v="0.1"/>
    <n v="100"/>
    <n v="2800"/>
    <n v="159568"/>
    <n v="58680000000"/>
    <n v="9.6"/>
    <n v="8.57"/>
    <n v="7"/>
    <n v="383071"/>
    <n v="1600000"/>
    <n v="22.8"/>
    <n v="4170000"/>
    <n v="72.400000000000006"/>
    <n v="1080000000"/>
    <n v="1.75"/>
    <x v="42"/>
    <n v="4000000"/>
    <x v="22"/>
    <n v="3231000000"/>
    <n v="50450000000"/>
    <n v="140700"/>
    <n v="47180"/>
    <n v="136600"/>
    <n v="41190"/>
    <n v="110700000"/>
    <n v="10006835"/>
    <n v="58.3"/>
    <n v="7937"/>
    <n v="14800000000"/>
    <n v="3666400"/>
    <n v="6862800"/>
    <n v="1.32"/>
    <n v="5.9"/>
  </r>
  <r>
    <x v="112"/>
    <n v="103000"/>
    <n v="13.73"/>
    <x v="62"/>
    <n v="6.68"/>
    <n v="3073000000"/>
    <n v="7692000000"/>
    <n v="8271000000"/>
    <n v="2902000000"/>
    <n v="9373000000"/>
    <n v="31900"/>
    <n v="1.8"/>
    <n v="0.2"/>
    <n v="100"/>
    <n v="220"/>
    <n v="13004"/>
    <n v="3307000000"/>
    <n v="8.8000000000000007"/>
    <n v="3.31"/>
    <n v="4"/>
    <n v="122175"/>
    <n v="195000"/>
    <n v="23.8"/>
    <n v="158100"/>
    <n v="80.19"/>
    <m/>
    <m/>
    <x v="1"/>
    <m/>
    <x v="1"/>
    <m/>
    <m/>
    <n v="16300"/>
    <n v="0"/>
    <n v="15470"/>
    <n v="0"/>
    <m/>
    <n v="296737"/>
    <n v="35.9"/>
    <m/>
    <n v="935000000"/>
    <n v="190700"/>
    <n v="279100"/>
    <n v="1.92"/>
    <n v="3.1"/>
  </r>
  <r>
    <x v="113"/>
    <n v="3287590"/>
    <n v="22.32"/>
    <x v="63"/>
    <n v="8.2799999999999994"/>
    <n v="117200000000"/>
    <n v="510100000000"/>
    <n v="547200000000"/>
    <n v="69180000000"/>
    <n v="3319000000000"/>
    <n v="3100"/>
    <n v="6.2"/>
    <n v="0.9"/>
    <n v="310000"/>
    <n v="5100000"/>
    <n v="2525989"/>
    <n v="89330000000"/>
    <n v="7.4"/>
    <n v="56.29"/>
    <n v="4.2"/>
    <n v="86871"/>
    <n v="18481000"/>
    <n v="23.8"/>
    <n v="482200000"/>
    <n v="64.349999999999994"/>
    <n v="16970000000"/>
    <n v="2.5"/>
    <x v="43"/>
    <n v="0"/>
    <x v="0"/>
    <n v="22750000000"/>
    <n v="542400000000"/>
    <n v="2130000"/>
    <m/>
    <m/>
    <n v="780000"/>
    <n v="5700000000"/>
    <n v="1080264388"/>
    <n v="59.7"/>
    <n v="63140"/>
    <n v="126000000000"/>
    <n v="48917000"/>
    <n v="26154400"/>
    <n v="2.78"/>
    <n v="9.1999999999999993"/>
  </r>
  <r>
    <x v="114"/>
    <n v="1919440"/>
    <n v="20.71"/>
    <x v="64"/>
    <n v="6.25"/>
    <n v="141500000000"/>
    <n v="92350000000"/>
    <n v="110200000000"/>
    <n v="69860000000"/>
    <n v="827400000000"/>
    <n v="3500"/>
    <n v="4.9000000000000004"/>
    <n v="0.1"/>
    <n v="2400"/>
    <n v="110000"/>
    <n v="342700"/>
    <n v="45070000000"/>
    <n v="10.5"/>
    <n v="35.6"/>
    <n v="6.1"/>
    <n v="62036"/>
    <n v="8000000"/>
    <n v="16.600000000000001"/>
    <n v="111500000"/>
    <n v="69.569999999999993"/>
    <n v="1300000000"/>
    <n v="3"/>
    <x v="44"/>
    <n v="39700000000"/>
    <x v="0"/>
    <n v="77600000000"/>
    <n v="2549000000000"/>
    <n v="1183000"/>
    <n v="518100"/>
    <n v="370500"/>
    <n v="971000"/>
    <n v="4900000000"/>
    <n v="241973879"/>
    <n v="56.2"/>
    <n v="6458"/>
    <n v="35820000000"/>
    <n v="7750000"/>
    <n v="11700000"/>
    <n v="2.44"/>
    <n v="9.1999999999999993"/>
  </r>
  <r>
    <x v="115"/>
    <n v="1648000"/>
    <n v="16.829999999999998"/>
    <x v="65"/>
    <n v="5.55"/>
    <n v="13400000000"/>
    <n v="119900000000"/>
    <n v="129000000000"/>
    <n v="38790000000"/>
    <n v="516700000000"/>
    <n v="7700"/>
    <n v="6.3"/>
    <n v="0.1"/>
    <n v="800"/>
    <n v="31000"/>
    <n v="167157"/>
    <n v="31300000000"/>
    <n v="3.5"/>
    <n v="41.58"/>
    <n v="15.5"/>
    <n v="5269"/>
    <n v="4300000"/>
    <n v="31.3"/>
    <n v="23000000"/>
    <n v="69.959999999999994"/>
    <n v="4300000000"/>
    <n v="3.3"/>
    <x v="45"/>
    <n v="3400000000"/>
    <x v="23"/>
    <n v="79000000000"/>
    <n v="26700000000000"/>
    <n v="1400000"/>
    <n v="2500000"/>
    <m/>
    <n v="3962000"/>
    <n v="130800000000"/>
    <n v="68017860"/>
    <n v="27"/>
    <n v="7203"/>
    <n v="29870000000"/>
    <n v="14571100"/>
    <n v="3376500"/>
    <n v="1.82"/>
    <n v="11.2"/>
  </r>
  <r>
    <x v="116"/>
    <n v="437072"/>
    <n v="32.5"/>
    <x v="66"/>
    <n v="5.49"/>
    <n v="125000000000"/>
    <n v="33700000000"/>
    <n v="32600000000"/>
    <n v="10100000000"/>
    <n v="89800000000"/>
    <n v="3500"/>
    <n v="52.3"/>
    <n v="0.1"/>
    <m/>
    <n v="500"/>
    <n v="45550"/>
    <n v="9900000000"/>
    <m/>
    <n v="50.25"/>
    <n v="25.4"/>
    <m/>
    <n v="25000"/>
    <m/>
    <n v="6700000"/>
    <n v="68.7"/>
    <n v="1300000000"/>
    <m/>
    <x v="46"/>
    <n v="0"/>
    <x v="0"/>
    <n v="2350000000"/>
    <n v="3149000000000"/>
    <n v="383000"/>
    <n v="1490000"/>
    <m/>
    <n v="2250000"/>
    <n v="112500000000"/>
    <n v="26074906"/>
    <m/>
    <n v="1963"/>
    <m/>
    <n v="675000"/>
    <n v="20000"/>
    <n v="4.28"/>
    <n v="25"/>
  </r>
  <r>
    <x v="117"/>
    <n v="70280"/>
    <n v="14.47"/>
    <x v="67"/>
    <n v="7.85"/>
    <n v="11000000000"/>
    <n v="21780000000"/>
    <n v="22880000000"/>
    <n v="103800000000"/>
    <n v="126400000000"/>
    <n v="31900"/>
    <n v="5.0999999999999996"/>
    <n v="0.1"/>
    <n v="100"/>
    <n v="2800"/>
    <n v="95736"/>
    <n v="60650000000"/>
    <n v="7"/>
    <n v="5.39"/>
    <n v="2.2000000000000002"/>
    <n v="162228"/>
    <n v="1260000"/>
    <n v="23.8"/>
    <n v="1920000"/>
    <n v="77.56"/>
    <n v="700000000"/>
    <n v="0.9"/>
    <x v="47"/>
    <n v="0"/>
    <x v="24"/>
    <n v="815000000"/>
    <n v="9911000000"/>
    <n v="174400"/>
    <n v="27450"/>
    <n v="178600"/>
    <n v="0"/>
    <n v="0"/>
    <n v="4015676"/>
    <n v="31.2"/>
    <n v="3312"/>
    <n v="4152000000"/>
    <n v="1955000"/>
    <n v="3400000"/>
    <n v="1.87"/>
    <n v="4.3"/>
  </r>
  <r>
    <x v="118"/>
    <n v="20770"/>
    <n v="18.21"/>
    <x v="68"/>
    <n v="6.18"/>
    <n v="74460000000"/>
    <n v="38300000000"/>
    <n v="42670000000"/>
    <n v="34410000000"/>
    <n v="129000000000"/>
    <n v="20800"/>
    <n v="3.9"/>
    <n v="0.1"/>
    <n v="100"/>
    <n v="3000"/>
    <n v="16903"/>
    <n v="36840000000"/>
    <n v="4.5"/>
    <n v="7.03"/>
    <n v="0"/>
    <n v="437516"/>
    <n v="2000000"/>
    <n v="17.600000000000001"/>
    <n v="2680000"/>
    <n v="79.319999999999993"/>
    <n v="9110000000"/>
    <n v="8.6999999999999993"/>
    <x v="48"/>
    <n v="0"/>
    <x v="0"/>
    <n v="10000000"/>
    <n v="20810000000"/>
    <n v="260000"/>
    <m/>
    <m/>
    <n v="80"/>
    <n v="1920000"/>
    <n v="6276883"/>
    <n v="104.5"/>
    <n v="640"/>
    <n v="28480000000"/>
    <n v="3006000"/>
    <n v="6334000"/>
    <n v="2.44"/>
    <n v="10.7"/>
  </r>
  <r>
    <x v="119"/>
    <n v="301230"/>
    <n v="8.89"/>
    <x v="69"/>
    <n v="10.3"/>
    <n v="913900000000"/>
    <n v="293900000000"/>
    <n v="261600000000"/>
    <n v="336400000000"/>
    <n v="1609000000000"/>
    <n v="27700"/>
    <n v="1.3"/>
    <n v="0.5"/>
    <n v="1000"/>
    <n v="140000"/>
    <n v="479688"/>
    <n v="329300000000"/>
    <n v="0.7"/>
    <n v="5.94"/>
    <n v="2.2999999999999998"/>
    <n v="1437511"/>
    <n v="18500000"/>
    <n v="19.3"/>
    <n v="24270000"/>
    <n v="79.680000000000007"/>
    <n v="28182800000"/>
    <n v="1.8"/>
    <x v="49"/>
    <n v="61000000"/>
    <x v="25"/>
    <n v="15490000000"/>
    <n v="209700000000"/>
    <n v="1866000"/>
    <n v="456600"/>
    <n v="2158000"/>
    <n v="79460"/>
    <n v="586600000"/>
    <n v="58103033"/>
    <n v="105.6"/>
    <n v="19507"/>
    <n v="61500000000"/>
    <n v="26596000"/>
    <n v="55918000"/>
    <n v="1.28"/>
    <n v="8.6"/>
  </r>
  <r>
    <x v="120"/>
    <n v="10991"/>
    <n v="16.559999999999999"/>
    <x v="70"/>
    <n v="5.37"/>
    <n v="5964000000"/>
    <n v="5849000000"/>
    <n v="6289000000"/>
    <n v="1679000000"/>
    <n v="11130000000"/>
    <n v="4100"/>
    <n v="1.9"/>
    <n v="1.2"/>
    <n v="900"/>
    <n v="22000"/>
    <n v="18700"/>
    <n v="3624000000"/>
    <n v="-2"/>
    <n v="12.36"/>
    <n v="12.4"/>
    <n v="1480"/>
    <n v="600000"/>
    <n v="32"/>
    <n v="1140000"/>
    <n v="76.290000000000006"/>
    <n v="31200000"/>
    <n v="0.4"/>
    <x v="1"/>
    <m/>
    <x v="1"/>
    <m/>
    <m/>
    <n v="66000"/>
    <m/>
    <m/>
    <n v="0"/>
    <m/>
    <n v="2731832"/>
    <n v="146.1"/>
    <n v="272"/>
    <n v="1400000000"/>
    <n v="444400"/>
    <n v="1400000"/>
    <n v="1.95"/>
    <n v="15"/>
  </r>
  <r>
    <x v="121"/>
    <n v="373"/>
    <m/>
    <x v="0"/>
    <m/>
    <m/>
    <m/>
    <m/>
    <m/>
    <m/>
    <m/>
    <m/>
    <m/>
    <m/>
    <m/>
    <m/>
    <m/>
    <m/>
    <m/>
    <m/>
    <m/>
    <m/>
    <m/>
    <m/>
    <m/>
    <m/>
    <m/>
    <x v="1"/>
    <m/>
    <x v="1"/>
    <m/>
    <m/>
    <m/>
    <m/>
    <m/>
    <m/>
    <m/>
    <m/>
    <m/>
    <m/>
    <m/>
    <m/>
    <m/>
    <m/>
    <m/>
  </r>
  <r>
    <x v="122"/>
    <n v="377835"/>
    <n v="9.4700000000000006"/>
    <x v="71"/>
    <n v="8.9499999999999993"/>
    <m/>
    <n v="971000000000"/>
    <n v="1044000000000"/>
    <n v="538800000000"/>
    <n v="3745000000000"/>
    <n v="29400"/>
    <n v="2.9"/>
    <n v="0.1"/>
    <n v="500"/>
    <n v="12000"/>
    <n v="1171647"/>
    <n v="401800000000"/>
    <n v="6.6"/>
    <n v="3.26"/>
    <n v="-0.1"/>
    <n v="12962065"/>
    <n v="57200000"/>
    <n v="24"/>
    <n v="66970000"/>
    <n v="81.150000000000006"/>
    <n v="45841000000"/>
    <n v="1"/>
    <x v="50"/>
    <n v="0"/>
    <x v="26"/>
    <n v="2519000000"/>
    <n v="20020000000"/>
    <n v="5290000"/>
    <n v="93360"/>
    <n v="5449000"/>
    <n v="17330"/>
    <n v="29290000"/>
    <n v="127417244"/>
    <n v="164.3"/>
    <n v="23705"/>
    <n v="664600000000"/>
    <n v="71149000"/>
    <n v="86658600"/>
    <n v="1.39"/>
    <n v="4.7"/>
  </r>
  <r>
    <x v="123"/>
    <n v="5"/>
    <m/>
    <x v="0"/>
    <m/>
    <m/>
    <m/>
    <m/>
    <m/>
    <m/>
    <m/>
    <m/>
    <m/>
    <m/>
    <m/>
    <m/>
    <m/>
    <m/>
    <m/>
    <m/>
    <m/>
    <m/>
    <m/>
    <m/>
    <m/>
    <m/>
    <m/>
    <x v="1"/>
    <m/>
    <x v="1"/>
    <m/>
    <m/>
    <m/>
    <m/>
    <m/>
    <m/>
    <m/>
    <m/>
    <m/>
    <m/>
    <m/>
    <m/>
    <m/>
    <m/>
    <m/>
  </r>
  <r>
    <x v="124"/>
    <n v="116"/>
    <n v="9.66"/>
    <x v="0"/>
    <n v="9.19"/>
    <m/>
    <n v="630100000"/>
    <m/>
    <m/>
    <n v="3600000000"/>
    <n v="40000"/>
    <m/>
    <m/>
    <m/>
    <m/>
    <n v="577"/>
    <m/>
    <m/>
    <n v="5.24"/>
    <n v="5.3"/>
    <m/>
    <m/>
    <m/>
    <n v="52790"/>
    <n v="79.239999999999995"/>
    <m/>
    <m/>
    <x v="1"/>
    <m/>
    <x v="1"/>
    <m/>
    <m/>
    <m/>
    <m/>
    <m/>
    <m/>
    <m/>
    <n v="90812"/>
    <m/>
    <m/>
    <m/>
    <n v="73900"/>
    <n v="61400"/>
    <n v="1.57"/>
    <n v="0.9"/>
  </r>
  <r>
    <x v="125"/>
    <n v="3"/>
    <m/>
    <x v="0"/>
    <m/>
    <m/>
    <m/>
    <m/>
    <m/>
    <m/>
    <m/>
    <m/>
    <m/>
    <m/>
    <m/>
    <m/>
    <m/>
    <m/>
    <m/>
    <m/>
    <m/>
    <m/>
    <m/>
    <m/>
    <m/>
    <m/>
    <m/>
    <x v="1"/>
    <m/>
    <x v="1"/>
    <m/>
    <m/>
    <m/>
    <m/>
    <m/>
    <m/>
    <m/>
    <n v="361"/>
    <m/>
    <m/>
    <m/>
    <m/>
    <m/>
    <m/>
    <m/>
  </r>
  <r>
    <x v="126"/>
    <n v="92300"/>
    <n v="21.76"/>
    <x v="72"/>
    <n v="2.63"/>
    <n v="7320000000"/>
    <n v="7094000000"/>
    <n v="7307000000"/>
    <n v="3200000000"/>
    <n v="25500000000"/>
    <n v="4500"/>
    <n v="5.0999999999999996"/>
    <n v="0.1"/>
    <n v="500"/>
    <n v="600"/>
    <n v="7301"/>
    <n v="7600000000"/>
    <n v="5"/>
    <n v="17.350000000000001"/>
    <n v="3.2"/>
    <n v="3160"/>
    <n v="457000"/>
    <n v="11.6"/>
    <n v="1410000"/>
    <n v="78.239999999999995"/>
    <n v="1460000000"/>
    <n v="14.6"/>
    <x v="51"/>
    <n v="0"/>
    <x v="0"/>
    <n v="290000000"/>
    <n v="3256000000"/>
    <n v="103000"/>
    <n v="0"/>
    <n v="100000"/>
    <n v="40"/>
    <n v="445000"/>
    <n v="5759732"/>
    <n v="85.8"/>
    <n v="505"/>
    <n v="5457000000"/>
    <n v="622600"/>
    <n v="1325300"/>
    <n v="2.71"/>
    <n v="15"/>
  </r>
  <r>
    <x v="127"/>
    <n v="4"/>
    <m/>
    <x v="0"/>
    <m/>
    <m/>
    <m/>
    <m/>
    <m/>
    <m/>
    <m/>
    <m/>
    <m/>
    <m/>
    <m/>
    <m/>
    <m/>
    <m/>
    <m/>
    <m/>
    <m/>
    <m/>
    <m/>
    <m/>
    <m/>
    <m/>
    <m/>
    <x v="1"/>
    <m/>
    <x v="1"/>
    <m/>
    <m/>
    <m/>
    <m/>
    <m/>
    <m/>
    <m/>
    <m/>
    <m/>
    <m/>
    <m/>
    <m/>
    <m/>
    <m/>
    <m/>
  </r>
  <r>
    <x v="128"/>
    <n v="2717300"/>
    <n v="15.78"/>
    <x v="73"/>
    <n v="9.4600000000000009"/>
    <n v="26030000000"/>
    <n v="62210000000"/>
    <n v="66820000000"/>
    <n v="18470000000"/>
    <n v="118400000000"/>
    <n v="7800"/>
    <n v="9.1"/>
    <n v="0.2"/>
    <n v="200"/>
    <n v="16500"/>
    <n v="82980"/>
    <n v="13070000000"/>
    <n v="10.6"/>
    <n v="29.21"/>
    <n v="6.9"/>
    <n v="21984"/>
    <n v="250000"/>
    <n v="23.9"/>
    <n v="7950000"/>
    <n v="66.55"/>
    <n v="221800000"/>
    <n v="0.9"/>
    <x v="52"/>
    <n v="11010000000"/>
    <x v="27"/>
    <n v="11600000000"/>
    <n v="1800000000000"/>
    <n v="189400"/>
    <n v="890000"/>
    <n v="47000"/>
    <n v="1200000"/>
    <n v="26000000000"/>
    <n v="15185844"/>
    <n v="13.7"/>
    <n v="13601"/>
    <n v="14350000000"/>
    <n v="2081900"/>
    <n v="1027000"/>
    <n v="1.89"/>
    <n v="8"/>
  </r>
  <r>
    <x v="129"/>
    <n v="582650"/>
    <n v="40.130000000000003"/>
    <x v="74"/>
    <n v="14.65"/>
    <n v="6792000000"/>
    <n v="4337000000"/>
    <n v="4475000000"/>
    <n v="2589000000"/>
    <n v="34680000000"/>
    <n v="1100"/>
    <n v="2.2000000000000002"/>
    <n v="6.7"/>
    <n v="150000"/>
    <n v="1200000"/>
    <n v="63942"/>
    <n v="4190000000"/>
    <n v="2.6"/>
    <n v="61.47"/>
    <n v="9"/>
    <n v="8325"/>
    <n v="400000"/>
    <n v="14.7"/>
    <n v="11400000"/>
    <n v="47.99"/>
    <n v="177100000"/>
    <n v="1.3"/>
    <x v="1"/>
    <m/>
    <x v="1"/>
    <m/>
    <m/>
    <n v="57000"/>
    <m/>
    <m/>
    <n v="0"/>
    <m/>
    <n v="33829590"/>
    <n v="74.3"/>
    <n v="2778"/>
    <n v="1500000000"/>
    <n v="328400"/>
    <n v="1590800"/>
    <n v="4.96"/>
    <n v="40"/>
  </r>
  <r>
    <x v="130"/>
    <n v="1"/>
    <m/>
    <x v="0"/>
    <m/>
    <m/>
    <m/>
    <m/>
    <m/>
    <m/>
    <m/>
    <m/>
    <m/>
    <m/>
    <m/>
    <m/>
    <m/>
    <m/>
    <m/>
    <m/>
    <m/>
    <m/>
    <m/>
    <m/>
    <m/>
    <m/>
    <m/>
    <x v="1"/>
    <m/>
    <x v="1"/>
    <m/>
    <m/>
    <m/>
    <m/>
    <m/>
    <m/>
    <m/>
    <m/>
    <m/>
    <m/>
    <m/>
    <m/>
    <m/>
    <m/>
    <m/>
  </r>
  <r>
    <x v="131"/>
    <n v="811"/>
    <n v="30.86"/>
    <x v="0"/>
    <n v="8.3699999999999992"/>
    <n v="10000000"/>
    <n v="6510000"/>
    <n v="7000000"/>
    <n v="35000000"/>
    <n v="79000000"/>
    <n v="800"/>
    <n v="1.5"/>
    <m/>
    <m/>
    <m/>
    <n v="670"/>
    <n v="83000000"/>
    <n v="0.7"/>
    <n v="48.52"/>
    <n v="2.5"/>
    <m/>
    <n v="2000"/>
    <m/>
    <n v="7870"/>
    <n v="61.71"/>
    <m/>
    <m/>
    <x v="1"/>
    <m/>
    <x v="1"/>
    <m/>
    <m/>
    <n v="190"/>
    <m/>
    <m/>
    <n v="0"/>
    <m/>
    <n v="103092"/>
    <m/>
    <m/>
    <m/>
    <n v="4500"/>
    <n v="500"/>
    <n v="4.2"/>
    <n v="2"/>
  </r>
  <r>
    <x v="132"/>
    <n v="120540"/>
    <n v="16.09"/>
    <x v="0"/>
    <n v="7.05"/>
    <n v="12000000000"/>
    <n v="31260000000"/>
    <n v="33620000000"/>
    <n v="1200000000"/>
    <n v="30880000000"/>
    <n v="1400"/>
    <n v="1"/>
    <m/>
    <m/>
    <m/>
    <n v="31200"/>
    <n v="2100000000"/>
    <m/>
    <n v="24.04"/>
    <m/>
    <m/>
    <m/>
    <m/>
    <n v="9600000"/>
    <n v="71.37"/>
    <n v="5217400000"/>
    <m/>
    <x v="1"/>
    <m/>
    <x v="1"/>
    <m/>
    <m/>
    <n v="85000"/>
    <m/>
    <n v="11500"/>
    <n v="0"/>
    <m/>
    <n v="22912177"/>
    <m/>
    <n v="5214"/>
    <m/>
    <n v="1100000"/>
    <m/>
    <n v="2.15"/>
    <m/>
  </r>
  <r>
    <x v="133"/>
    <n v="98480"/>
    <n v="10.08"/>
    <x v="75"/>
    <n v="6.26"/>
    <n v="160000000000"/>
    <n v="293600000000"/>
    <n v="322500000000"/>
    <n v="250600000000"/>
    <n v="925100000000"/>
    <n v="19200"/>
    <n v="4.5999999999999996"/>
    <n v="0.1"/>
    <n v="200"/>
    <n v="8300"/>
    <n v="86990"/>
    <n v="214200000000"/>
    <n v="10.1"/>
    <n v="7.05"/>
    <n v="3.6"/>
    <n v="694206"/>
    <n v="29220000"/>
    <n v="28.7"/>
    <n v="22900000"/>
    <n v="75.819999999999993"/>
    <n v="16180000000"/>
    <n v="2.8"/>
    <x v="53"/>
    <n v="0"/>
    <x v="28"/>
    <n v="0"/>
    <m/>
    <n v="2070000"/>
    <n v="630100"/>
    <n v="2263000"/>
    <n v="0"/>
    <m/>
    <n v="48422644"/>
    <n v="21.3"/>
    <n v="3125"/>
    <n v="199100000000"/>
    <n v="22877000"/>
    <n v="33591800"/>
    <n v="1.26"/>
    <n v="3.6"/>
  </r>
  <r>
    <x v="134"/>
    <n v="17820"/>
    <n v="21.88"/>
    <x v="76"/>
    <n v="2.42"/>
    <n v="15020000000"/>
    <n v="30160000000"/>
    <n v="32430000000"/>
    <n v="27420000000"/>
    <n v="48000000000"/>
    <n v="21300"/>
    <n v="6.8"/>
    <n v="0.12"/>
    <m/>
    <m/>
    <n v="4450"/>
    <n v="11120000000"/>
    <n v="-5"/>
    <n v="9.9499999999999993"/>
    <n v="2.2999999999999998"/>
    <n v="3437"/>
    <n v="567000"/>
    <n v="8"/>
    <n v="1420000"/>
    <n v="77.03"/>
    <n v="2584500000"/>
    <n v="5.3"/>
    <x v="54"/>
    <n v="0"/>
    <x v="0"/>
    <n v="8700000000"/>
    <n v="1548000000000"/>
    <n v="293000"/>
    <n v="1970000"/>
    <m/>
    <n v="2319000"/>
    <n v="96500000000"/>
    <n v="2335648"/>
    <n v="29.6"/>
    <m/>
    <n v="7333000000"/>
    <n v="486900"/>
    <n v="1420000"/>
    <n v="2.97"/>
    <n v="2.2000000000000002"/>
  </r>
  <r>
    <x v="135"/>
    <n v="198500"/>
    <n v="22.48"/>
    <x v="77"/>
    <n v="7.13"/>
    <n v="1970000000"/>
    <n v="10210000000"/>
    <n v="11720000000"/>
    <n v="646700000"/>
    <n v="8495000000"/>
    <n v="1700"/>
    <n v="6"/>
    <n v="0.1"/>
    <n v="200"/>
    <n v="3900"/>
    <n v="18500"/>
    <n v="775100000"/>
    <n v="6"/>
    <n v="35.64"/>
    <n v="3.2"/>
    <n v="12299"/>
    <n v="152000"/>
    <n v="17"/>
    <n v="2700000"/>
    <n v="68.16"/>
    <n v="19200000"/>
    <n v="1.4"/>
    <x v="55"/>
    <n v="0"/>
    <x v="29"/>
    <n v="16000000"/>
    <m/>
    <n v="20000"/>
    <m/>
    <m/>
    <n v="2000"/>
    <m/>
    <n v="5146281"/>
    <m/>
    <n v="470"/>
    <n v="498700000"/>
    <n v="394800"/>
    <n v="53100"/>
    <n v="2.7"/>
    <n v="18"/>
  </r>
  <r>
    <x v="136"/>
    <n v="236800"/>
    <n v="35.99"/>
    <x v="78"/>
    <n v="11.83"/>
    <n v="2490000000"/>
    <n v="3036000000"/>
    <n v="3560000000"/>
    <n v="365500000"/>
    <n v="11280000000"/>
    <n v="1900"/>
    <n v="6"/>
    <n v="0.1"/>
    <n v="200"/>
    <n v="1700"/>
    <n v="21716"/>
    <n v="579500000"/>
    <n v="9.6999999999999993"/>
    <n v="85.22"/>
    <n v="12.3"/>
    <n v="937"/>
    <n v="15000"/>
    <m/>
    <n v="2600000"/>
    <n v="55.08"/>
    <n v="10700000"/>
    <n v="0.5"/>
    <x v="1"/>
    <m/>
    <x v="1"/>
    <m/>
    <m/>
    <n v="2750"/>
    <m/>
    <m/>
    <n v="0"/>
    <m/>
    <n v="6217141"/>
    <m/>
    <m/>
    <n v="193100000"/>
    <n v="61900"/>
    <n v="55200"/>
    <n v="4.7699999999999996"/>
    <n v="5.7"/>
  </r>
  <r>
    <x v="137"/>
    <n v="64589"/>
    <n v="9.0399999999999991"/>
    <x v="79"/>
    <n v="13.7"/>
    <n v="7368000000"/>
    <n v="5829000000"/>
    <n v="4547000000"/>
    <n v="3569000000"/>
    <n v="26530000000"/>
    <n v="11500"/>
    <n v="7.6"/>
    <n v="0.6"/>
    <n v="500"/>
    <n v="7600"/>
    <n v="60472"/>
    <n v="5970000000"/>
    <n v="8.5"/>
    <n v="9.5500000000000007"/>
    <n v="6"/>
    <n v="51758"/>
    <n v="936000"/>
    <n v="26.1"/>
    <n v="1170000"/>
    <n v="71.05"/>
    <n v="87000000"/>
    <n v="1.2"/>
    <x v="56"/>
    <n v="0"/>
    <x v="30"/>
    <n v="0"/>
    <m/>
    <n v="44000"/>
    <m/>
    <m/>
    <n v="0"/>
    <m/>
    <n v="2290237"/>
    <n v="11.8"/>
    <n v="2303"/>
    <n v="1650000000"/>
    <n v="653900"/>
    <n v="1219600"/>
    <n v="1.26"/>
    <n v="8.8000000000000007"/>
  </r>
  <r>
    <x v="138"/>
    <n v="10400"/>
    <n v="18.88"/>
    <x v="80"/>
    <n v="6.24"/>
    <n v="15840000000"/>
    <n v="8591000000"/>
    <n v="8066000000"/>
    <n v="1783000000"/>
    <n v="18830000000"/>
    <n v="5000"/>
    <n v="4"/>
    <n v="0.1"/>
    <n v="200"/>
    <n v="2800"/>
    <n v="7300"/>
    <n v="8162000000"/>
    <m/>
    <n v="24.52"/>
    <n v="2"/>
    <n v="6998"/>
    <n v="400000"/>
    <n v="26"/>
    <n v="2600000"/>
    <n v="72.63"/>
    <n v="540600000"/>
    <n v="3.1"/>
    <x v="1"/>
    <m/>
    <x v="1"/>
    <m/>
    <m/>
    <n v="107000"/>
    <m/>
    <m/>
    <n v="0"/>
    <m/>
    <n v="3826018"/>
    <n v="177.9"/>
    <n v="401"/>
    <n v="16300000000"/>
    <n v="678800"/>
    <n v="775100"/>
    <n v="1.92"/>
    <n v="18"/>
  </r>
  <r>
    <x v="139"/>
    <n v="30355"/>
    <n v="26.53"/>
    <x v="81"/>
    <n v="25.03"/>
    <n v="735000000"/>
    <n v="308000000"/>
    <n v="314000000"/>
    <n v="484500000"/>
    <n v="5892000000"/>
    <n v="3200"/>
    <n v="3.3"/>
    <n v="28.9"/>
    <n v="29000"/>
    <n v="320000"/>
    <n v="5940"/>
    <n v="730900000"/>
    <n v="15.5"/>
    <n v="84.23"/>
    <n v="5.3"/>
    <n v="119"/>
    <n v="21000"/>
    <n v="39.6"/>
    <n v="838000"/>
    <n v="36.68"/>
    <n v="32300000"/>
    <n v="2.2999999999999998"/>
    <x v="1"/>
    <m/>
    <x v="1"/>
    <m/>
    <m/>
    <n v="1500"/>
    <m/>
    <m/>
    <n v="0"/>
    <m/>
    <n v="1867035"/>
    <m/>
    <m/>
    <n v="402200000"/>
    <n v="28600"/>
    <n v="92000"/>
    <n v="3.35"/>
    <n v="45"/>
  </r>
  <r>
    <x v="140"/>
    <n v="111370"/>
    <n v="44.22"/>
    <x v="0"/>
    <n v="17.87"/>
    <n v="2100000000"/>
    <n v="454600000"/>
    <n v="488800000"/>
    <n v="1079000000"/>
    <n v="2903000000"/>
    <n v="900"/>
    <n v="21.8"/>
    <n v="5.9"/>
    <n v="7200"/>
    <n v="100000"/>
    <n v="10600"/>
    <n v="5051000000"/>
    <m/>
    <n v="128.87"/>
    <n v="15"/>
    <n v="14"/>
    <n v="1000"/>
    <m/>
    <m/>
    <n v="47.69"/>
    <n v="1500000"/>
    <n v="0.2"/>
    <x v="1"/>
    <m/>
    <x v="1"/>
    <m/>
    <m/>
    <n v="3100"/>
    <m/>
    <m/>
    <n v="0"/>
    <m/>
    <n v="3482211"/>
    <m/>
    <n v="490"/>
    <m/>
    <n v="7000"/>
    <n v="2000"/>
    <n v="6.09"/>
    <n v="85"/>
  </r>
  <r>
    <x v="141"/>
    <n v="1759540"/>
    <n v="26.82"/>
    <x v="82"/>
    <n v="3.48"/>
    <n v="4069000000"/>
    <n v="19430000000"/>
    <n v="20890000000"/>
    <n v="18650000000"/>
    <n v="37480000000"/>
    <n v="6700"/>
    <n v="4.9000000000000004"/>
    <n v="0.3"/>
    <m/>
    <n v="10000"/>
    <n v="83200"/>
    <n v="7224000000"/>
    <m/>
    <n v="24.6"/>
    <n v="2.9"/>
    <n v="67"/>
    <n v="160000"/>
    <n v="9.9"/>
    <n v="1590000"/>
    <n v="76.5"/>
    <n v="1300000000"/>
    <n v="3.9"/>
    <x v="57"/>
    <n v="770000000"/>
    <x v="0"/>
    <n v="6180000000"/>
    <n v="1321000000000"/>
    <n v="216000"/>
    <m/>
    <m/>
    <n v="1518000"/>
    <n v="38000000000"/>
    <n v="5765563"/>
    <n v="8.8000000000000007"/>
    <m/>
    <n v="24180000000"/>
    <n v="750000"/>
    <n v="100000"/>
    <n v="3.34"/>
    <n v="30"/>
  </r>
  <r>
    <x v="142"/>
    <n v="160"/>
    <n v="10.41"/>
    <x v="0"/>
    <n v="7.06"/>
    <n v="0"/>
    <m/>
    <m/>
    <n v="2470000000"/>
    <n v="825000000"/>
    <n v="25000"/>
    <n v="11"/>
    <m/>
    <m/>
    <m/>
    <n v="250"/>
    <n v="917300000"/>
    <m/>
    <n v="4.7"/>
    <n v="1"/>
    <n v="3727"/>
    <n v="20000"/>
    <m/>
    <n v="29000"/>
    <n v="79.55"/>
    <m/>
    <m/>
    <x v="1"/>
    <m/>
    <x v="1"/>
    <m/>
    <m/>
    <m/>
    <m/>
    <m/>
    <m/>
    <m/>
    <n v="33717"/>
    <m/>
    <m/>
    <m/>
    <n v="19900"/>
    <n v="11400"/>
    <n v="1.51"/>
    <n v="1.3"/>
  </r>
  <r>
    <x v="143"/>
    <n v="65200"/>
    <n v="8.6199999999999992"/>
    <x v="83"/>
    <n v="10.92"/>
    <n v="10010000000"/>
    <n v="10170000000"/>
    <n v="17930000000"/>
    <n v="8880000000"/>
    <n v="45230000000"/>
    <n v="12500"/>
    <n v="6.6"/>
    <n v="0.1"/>
    <n v="200"/>
    <n v="1300"/>
    <n v="77148"/>
    <n v="11020000000"/>
    <n v="12"/>
    <n v="6.89"/>
    <n v="1.1000000000000001"/>
    <n v="67769"/>
    <n v="695700"/>
    <n v="21.9"/>
    <n v="1630000"/>
    <n v="73.97"/>
    <n v="230800000"/>
    <n v="1.9"/>
    <x v="58"/>
    <n v="0"/>
    <x v="31"/>
    <n v="0"/>
    <m/>
    <n v="72000"/>
    <m/>
    <m/>
    <n v="4594"/>
    <m/>
    <n v="3596617"/>
    <n v="25.2"/>
    <n v="1998"/>
    <n v="4610000000"/>
    <n v="824200"/>
    <n v="2169900"/>
    <n v="1.19"/>
    <n v="8"/>
  </r>
  <r>
    <x v="144"/>
    <n v="2586"/>
    <n v="12.06"/>
    <x v="0"/>
    <n v="8.41"/>
    <m/>
    <n v="5735000000"/>
    <n v="2511000000"/>
    <n v="13400000000"/>
    <n v="27270000000"/>
    <n v="58900"/>
    <n v="2.2999999999999998"/>
    <n v="0.2"/>
    <n v="100"/>
    <n v="500"/>
    <n v="5210"/>
    <n v="16300000000"/>
    <n v="2.9"/>
    <n v="4.8099999999999996"/>
    <n v="2.4"/>
    <n v="28214"/>
    <n v="165000"/>
    <n v="19.8"/>
    <n v="293700"/>
    <n v="78.739999999999995"/>
    <n v="231600000"/>
    <n v="0.9"/>
    <x v="59"/>
    <n v="0"/>
    <x v="32"/>
    <n v="0"/>
    <m/>
    <n v="50650"/>
    <n v="634"/>
    <n v="50700"/>
    <n v="0"/>
    <m/>
    <n v="468571"/>
    <m/>
    <n v="274"/>
    <m/>
    <n v="355400"/>
    <n v="473000"/>
    <n v="1.79"/>
    <n v="4.5"/>
  </r>
  <r>
    <x v="145"/>
    <n v="25"/>
    <n v="8.0399999999999991"/>
    <x v="0"/>
    <n v="4.2300000000000004"/>
    <n v="2700000000"/>
    <n v="1772000000"/>
    <n v="1719000000"/>
    <n v="2580000000"/>
    <n v="9100000000"/>
    <n v="19400"/>
    <n v="15.6"/>
    <m/>
    <m/>
    <m/>
    <n v="341"/>
    <n v="2760000000"/>
    <m/>
    <n v="4.3899999999999997"/>
    <n v="2"/>
    <n v="89"/>
    <n v="120000"/>
    <m/>
    <n v="231500"/>
    <n v="82.03"/>
    <m/>
    <m/>
    <x v="1"/>
    <m/>
    <x v="1"/>
    <m/>
    <m/>
    <n v="11190"/>
    <m/>
    <m/>
    <n v="0"/>
    <m/>
    <n v="449198"/>
    <m/>
    <m/>
    <m/>
    <n v="174600"/>
    <n v="364000"/>
    <n v="0.93"/>
    <n v="4.7"/>
  </r>
  <r>
    <x v="146"/>
    <n v="25333"/>
    <n v="12"/>
    <x v="84"/>
    <n v="8.73"/>
    <n v="1863000000"/>
    <n v="7216000000"/>
    <n v="6273000000"/>
    <n v="1629000000"/>
    <n v="14400000000"/>
    <n v="7100"/>
    <n v="1.3"/>
    <n v="0.1"/>
    <n v="100"/>
    <n v="200"/>
    <n v="8684"/>
    <n v="2677000000"/>
    <n v="0"/>
    <n v="10.09"/>
    <n v="0.4"/>
    <n v="3738"/>
    <n v="100000"/>
    <n v="17.5"/>
    <n v="855000"/>
    <n v="73.73"/>
    <n v="200000000"/>
    <n v="6"/>
    <x v="1"/>
    <m/>
    <x v="1"/>
    <m/>
    <m/>
    <n v="22000"/>
    <m/>
    <m/>
    <n v="0"/>
    <m/>
    <n v="2045262"/>
    <n v="20"/>
    <n v="699"/>
    <n v="928000000"/>
    <n v="560000"/>
    <n v="365300"/>
    <n v="1.57"/>
    <n v="37.700000000000003"/>
  </r>
  <r>
    <x v="147"/>
    <n v="587040"/>
    <n v="41.66"/>
    <x v="85"/>
    <n v="11.35"/>
    <n v="4600000000"/>
    <n v="781400000"/>
    <n v="840200000"/>
    <n v="868200000"/>
    <n v="14560000000"/>
    <n v="800"/>
    <n v="5.5"/>
    <n v="1.7"/>
    <n v="7500"/>
    <n v="140000"/>
    <n v="49827"/>
    <n v="1147000000"/>
    <n v="3"/>
    <n v="76.83"/>
    <n v="7.5"/>
    <n v="773"/>
    <n v="70500"/>
    <n v="14.7"/>
    <n v="7300000"/>
    <n v="56.95"/>
    <n v="44600000"/>
    <n v="1.2"/>
    <x v="1"/>
    <m/>
    <x v="1"/>
    <m/>
    <n v="0"/>
    <n v="13000"/>
    <m/>
    <m/>
    <n v="0"/>
    <n v="0"/>
    <n v="18040341"/>
    <m/>
    <n v="732"/>
    <n v="500300000"/>
    <n v="59600"/>
    <n v="279500"/>
    <n v="5.66"/>
    <m/>
  </r>
  <r>
    <x v="148"/>
    <n v="118480"/>
    <n v="43.95"/>
    <x v="86"/>
    <n v="23.39"/>
    <n v="3129000000"/>
    <n v="1012000000"/>
    <n v="1088000000"/>
    <n v="503400000"/>
    <n v="7410000000"/>
    <n v="600"/>
    <n v="4"/>
    <n v="14.2"/>
    <n v="84000"/>
    <n v="900000"/>
    <n v="28400"/>
    <n v="521100000"/>
    <n v="1.4"/>
    <n v="103.32"/>
    <n v="12"/>
    <n v="18"/>
    <n v="36000"/>
    <n v="10.7"/>
    <n v="4500000"/>
    <n v="36.97"/>
    <n v="11100000"/>
    <n v="0.7"/>
    <x v="1"/>
    <m/>
    <x v="1"/>
    <m/>
    <m/>
    <n v="5400"/>
    <m/>
    <m/>
    <n v="0"/>
    <m/>
    <n v="12158924"/>
    <n v="228.3"/>
    <n v="797"/>
    <n v="160500000"/>
    <n v="85000"/>
    <n v="135100"/>
    <n v="5.98"/>
    <m/>
  </r>
  <r>
    <x v="149"/>
    <n v="329750"/>
    <n v="23.07"/>
    <x v="87"/>
    <n v="5.0599999999999996"/>
    <n v="53360000000"/>
    <n v="68400000000"/>
    <n v="75330000000"/>
    <n v="123500000000"/>
    <n v="229300000000"/>
    <n v="9700"/>
    <n v="7.1"/>
    <n v="0.4"/>
    <n v="2000"/>
    <n v="52000"/>
    <n v="65877"/>
    <n v="99300000000"/>
    <n v="10.199999999999999"/>
    <n v="17.7"/>
    <n v="1.3"/>
    <n v="107971"/>
    <n v="8692100"/>
    <n v="21.7"/>
    <n v="10490000"/>
    <n v="72.239999999999995"/>
    <n v="1690000000"/>
    <n v="2.0299999999999998"/>
    <x v="60"/>
    <n v="22410000000"/>
    <x v="0"/>
    <n v="53660000000"/>
    <n v="2230000000000"/>
    <n v="460000"/>
    <n v="230200"/>
    <m/>
    <n v="785000"/>
    <n v="3200000000"/>
    <n v="23953136"/>
    <n v="45.4"/>
    <n v="2418"/>
    <n v="55270000000"/>
    <n v="4571600"/>
    <n v="11124100"/>
    <n v="3.07"/>
    <n v="3"/>
  </r>
  <r>
    <x v="150"/>
    <n v="300"/>
    <n v="35.43"/>
    <x v="0"/>
    <n v="7.24"/>
    <n v="281000000"/>
    <n v="115700000"/>
    <n v="124400000"/>
    <n v="90000000"/>
    <n v="1250000000"/>
    <n v="3900"/>
    <n v="2.2999999999999998"/>
    <n v="0.1"/>
    <m/>
    <n v="100"/>
    <m/>
    <n v="392000000"/>
    <n v="4.4000000000000004"/>
    <n v="56.52"/>
    <n v="1"/>
    <n v="532"/>
    <n v="15000"/>
    <m/>
    <n v="88000"/>
    <n v="64.06"/>
    <n v="41100000"/>
    <n v="5.5"/>
    <x v="1"/>
    <m/>
    <x v="1"/>
    <m/>
    <m/>
    <n v="3200"/>
    <m/>
    <m/>
    <n v="0"/>
    <m/>
    <n v="349106"/>
    <m/>
    <m/>
    <m/>
    <n v="28700"/>
    <n v="41900"/>
    <n v="5.0199999999999996"/>
    <m/>
  </r>
  <r>
    <x v="151"/>
    <n v="1240000"/>
    <n v="46.77"/>
    <x v="0"/>
    <n v="19.05"/>
    <n v="3300000000"/>
    <n v="651000000"/>
    <n v="700000000"/>
    <n v="915000000"/>
    <n v="11000000000"/>
    <n v="900"/>
    <n v="4"/>
    <n v="1.9"/>
    <n v="12000"/>
    <n v="140000"/>
    <n v="15100"/>
    <n v="927000000"/>
    <m/>
    <n v="116.79"/>
    <n v="4.5"/>
    <n v="187"/>
    <n v="25000"/>
    <m/>
    <n v="3930000"/>
    <n v="45.09"/>
    <n v="22400000"/>
    <n v="0.4"/>
    <x v="1"/>
    <m/>
    <x v="1"/>
    <m/>
    <m/>
    <n v="4000"/>
    <m/>
    <m/>
    <n v="0"/>
    <m/>
    <n v="12291529"/>
    <m/>
    <n v="729"/>
    <m/>
    <n v="56600"/>
    <n v="250000"/>
    <n v="6.5"/>
    <n v="5.3"/>
  </r>
  <r>
    <x v="152"/>
    <n v="316"/>
    <n v="10.17"/>
    <x v="88"/>
    <n v="8"/>
    <n v="130000000"/>
    <n v="2000000000"/>
    <n v="2150000000"/>
    <n v="2625000000"/>
    <n v="7223000000"/>
    <n v="18200"/>
    <n v="1"/>
    <n v="0.2"/>
    <n v="100"/>
    <n v="500"/>
    <n v="2222"/>
    <n v="3407000000"/>
    <m/>
    <n v="3.89"/>
    <n v="2.9"/>
    <n v="7156"/>
    <n v="120000"/>
    <n v="26.4"/>
    <n v="160000"/>
    <n v="78.86"/>
    <n v="31100000"/>
    <n v="0.7"/>
    <x v="1"/>
    <m/>
    <x v="1"/>
    <m/>
    <m/>
    <n v="20000"/>
    <m/>
    <m/>
    <n v="0"/>
    <m/>
    <n v="398534"/>
    <m/>
    <m/>
    <n v="2865000000"/>
    <n v="208300"/>
    <n v="290000"/>
    <n v="1.5"/>
    <n v="7"/>
  </r>
  <r>
    <x v="153"/>
    <n v="572"/>
    <n v="11.18"/>
    <x v="0"/>
    <n v="11.26"/>
    <m/>
    <m/>
    <m/>
    <m/>
    <n v="2113000000"/>
    <n v="28500"/>
    <m/>
    <m/>
    <m/>
    <m/>
    <n v="800"/>
    <m/>
    <n v="3.2"/>
    <n v="5.93"/>
    <n v="3.6"/>
    <m/>
    <m/>
    <m/>
    <n v="39690"/>
    <n v="78.34"/>
    <m/>
    <m/>
    <x v="1"/>
    <m/>
    <x v="1"/>
    <m/>
    <m/>
    <m/>
    <m/>
    <m/>
    <m/>
    <m/>
    <n v="75049"/>
    <m/>
    <n v="61"/>
    <m/>
    <n v="51000"/>
    <m/>
    <n v="1.65"/>
    <n v="0.6"/>
  </r>
  <r>
    <x v="154"/>
    <n v="181"/>
    <n v="33.520000000000003"/>
    <x v="0"/>
    <n v="4.88"/>
    <n v="86500000"/>
    <m/>
    <m/>
    <n v="9000000"/>
    <n v="115000000"/>
    <n v="1600"/>
    <n v="1"/>
    <m/>
    <m/>
    <m/>
    <n v="65"/>
    <n v="54000000"/>
    <m/>
    <n v="29.45"/>
    <n v="2"/>
    <n v="6"/>
    <n v="1400"/>
    <m/>
    <n v="28700"/>
    <n v="70.010000000000005"/>
    <m/>
    <m/>
    <x v="1"/>
    <m/>
    <x v="1"/>
    <m/>
    <m/>
    <m/>
    <m/>
    <m/>
    <m/>
    <m/>
    <n v="59071"/>
    <m/>
    <m/>
    <m/>
    <n v="4500"/>
    <n v="600"/>
    <n v="3.93"/>
    <n v="30.9"/>
  </r>
  <r>
    <x v="155"/>
    <n v="1100"/>
    <n v="14.14"/>
    <x v="0"/>
    <n v="6.44"/>
    <n v="180000000"/>
    <n v="1095000000"/>
    <n v="1178000000"/>
    <n v="250000000"/>
    <n v="6117000000"/>
    <n v="14400"/>
    <m/>
    <m/>
    <m/>
    <m/>
    <n v="2105"/>
    <n v="2000000000"/>
    <m/>
    <n v="7.09"/>
    <n v="3.9"/>
    <m/>
    <n v="40000"/>
    <m/>
    <n v="165900"/>
    <n v="79.040000000000006"/>
    <m/>
    <m/>
    <x v="1"/>
    <m/>
    <x v="1"/>
    <m/>
    <m/>
    <n v="13500"/>
    <m/>
    <m/>
    <n v="0"/>
    <m/>
    <n v="432900"/>
    <m/>
    <m/>
    <m/>
    <n v="172000"/>
    <n v="319900"/>
    <n v="1.79"/>
    <n v="27.2"/>
  </r>
  <r>
    <x v="156"/>
    <n v="1030700"/>
    <n v="41.43"/>
    <x v="0"/>
    <n v="12.44"/>
    <n v="2500000000"/>
    <n v="176900000"/>
    <n v="190200000"/>
    <n v="541000000"/>
    <n v="5534000000"/>
    <n v="1800"/>
    <n v="3"/>
    <n v="0.6"/>
    <m/>
    <n v="9500"/>
    <n v="7660"/>
    <n v="860000000"/>
    <n v="2"/>
    <n v="70.89"/>
    <n v="7"/>
    <n v="25"/>
    <n v="10000"/>
    <m/>
    <n v="786000"/>
    <n v="52.73"/>
    <n v="20800000"/>
    <n v="1.7"/>
    <x v="1"/>
    <m/>
    <x v="1"/>
    <m/>
    <m/>
    <n v="24000"/>
    <m/>
    <m/>
    <n v="0"/>
    <m/>
    <n v="3086859"/>
    <m/>
    <m/>
    <m/>
    <n v="31500"/>
    <n v="300000"/>
    <n v="5.94"/>
    <n v="20"/>
  </r>
  <r>
    <x v="157"/>
    <n v="2040"/>
    <n v="15.62"/>
    <x v="89"/>
    <n v="6.83"/>
    <n v="1780000000"/>
    <n v="1707000000"/>
    <n v="1836000000"/>
    <n v="2012000000"/>
    <n v="15680000000"/>
    <n v="12800"/>
    <n v="4.7"/>
    <n v="0.1"/>
    <n v="100"/>
    <n v="700"/>
    <n v="2000"/>
    <n v="2245000000"/>
    <n v="8"/>
    <n v="15.03"/>
    <n v="4.5"/>
    <n v="3985"/>
    <n v="150000"/>
    <n v="22.5"/>
    <n v="560000"/>
    <n v="72.38"/>
    <n v="12500000"/>
    <n v="0.2"/>
    <x v="1"/>
    <m/>
    <x v="1"/>
    <m/>
    <m/>
    <n v="21000"/>
    <m/>
    <m/>
    <n v="0"/>
    <m/>
    <n v="1230602"/>
    <n v="29.2"/>
    <m/>
    <n v="1676000000"/>
    <n v="348200"/>
    <n v="462400"/>
    <n v="1.96"/>
    <n v="10.8"/>
  </r>
  <r>
    <x v="158"/>
    <n v="374"/>
    <n v="41.58"/>
    <x v="0"/>
    <n v="7.9"/>
    <m/>
    <m/>
    <m/>
    <n v="3440000"/>
    <n v="466800000"/>
    <n v="2600"/>
    <m/>
    <m/>
    <m/>
    <m/>
    <n v="93"/>
    <n v="141300000"/>
    <m/>
    <n v="62.4"/>
    <m/>
    <m/>
    <m/>
    <m/>
    <n v="48800"/>
    <n v="61.39"/>
    <m/>
    <m/>
    <x v="1"/>
    <m/>
    <x v="1"/>
    <m/>
    <m/>
    <m/>
    <m/>
    <m/>
    <m/>
    <m/>
    <n v="193633"/>
    <m/>
    <m/>
    <m/>
    <n v="10000"/>
    <n v="21700"/>
    <n v="5.89"/>
    <n v="38"/>
  </r>
  <r>
    <x v="159"/>
    <n v="1972550"/>
    <n v="21.01"/>
    <x v="90"/>
    <n v="4.7300000000000004"/>
    <n v="149900000000"/>
    <n v="189700000000"/>
    <n v="203600000000"/>
    <n v="182400000000"/>
    <n v="1006000000000"/>
    <n v="9600"/>
    <n v="4.0999999999999996"/>
    <n v="0.3"/>
    <n v="5000"/>
    <n v="160000"/>
    <n v="329532"/>
    <n v="190800000000"/>
    <n v="3.8"/>
    <n v="20.91"/>
    <n v="5.4"/>
    <n v="1333406"/>
    <n v="10033000"/>
    <n v="19.399999999999999"/>
    <n v="34730000"/>
    <n v="75.19"/>
    <n v="6043000000"/>
    <n v="0.9"/>
    <x v="61"/>
    <n v="0"/>
    <x v="33"/>
    <n v="47300000000"/>
    <n v="420000000000"/>
    <n v="1752000"/>
    <n v="1863000"/>
    <n v="205000"/>
    <n v="3460000"/>
    <n v="18000000000"/>
    <n v="106202903"/>
    <n v="23.5"/>
    <n v="19510"/>
    <n v="60670000000"/>
    <n v="15958700"/>
    <n v="28125000"/>
    <n v="2.4500000000000002"/>
    <n v="3.2"/>
  </r>
  <r>
    <x v="160"/>
    <n v="702"/>
    <n v="25.11"/>
    <x v="0"/>
    <n v="4.87"/>
    <n v="53100000"/>
    <n v="178600000"/>
    <n v="192000000"/>
    <n v="22000000"/>
    <n v="277000000"/>
    <n v="2000"/>
    <n v="1"/>
    <m/>
    <m/>
    <m/>
    <n v="240"/>
    <n v="149000000"/>
    <m/>
    <n v="30.21"/>
    <n v="1"/>
    <m/>
    <n v="6000"/>
    <m/>
    <m/>
    <n v="69.75"/>
    <m/>
    <m/>
    <x v="1"/>
    <m/>
    <x v="1"/>
    <m/>
    <m/>
    <m/>
    <m/>
    <m/>
    <m/>
    <m/>
    <n v="108105"/>
    <m/>
    <m/>
    <m/>
    <n v="10100"/>
    <n v="1800"/>
    <n v="3.25"/>
    <n v="16"/>
  </r>
  <r>
    <x v="161"/>
    <n v="6"/>
    <m/>
    <x v="0"/>
    <m/>
    <m/>
    <m/>
    <m/>
    <m/>
    <m/>
    <m/>
    <m/>
    <m/>
    <m/>
    <m/>
    <m/>
    <m/>
    <m/>
    <m/>
    <m/>
    <m/>
    <m/>
    <m/>
    <m/>
    <m/>
    <m/>
    <m/>
    <x v="1"/>
    <m/>
    <x v="1"/>
    <m/>
    <m/>
    <m/>
    <m/>
    <m/>
    <m/>
    <m/>
    <m/>
    <m/>
    <m/>
    <m/>
    <m/>
    <m/>
    <m/>
    <m/>
  </r>
  <r>
    <x v="162"/>
    <n v="33843"/>
    <n v="15.27"/>
    <x v="91"/>
    <n v="12.79"/>
    <n v="1400000000"/>
    <n v="4605000000"/>
    <n v="3876000000"/>
    <n v="1030000000"/>
    <n v="8581000000"/>
    <n v="1900"/>
    <n v="6.8"/>
    <n v="0.2"/>
    <n v="300"/>
    <n v="5500"/>
    <n v="12719"/>
    <n v="1830000000"/>
    <n v="17"/>
    <n v="40.42"/>
    <n v="11.5"/>
    <n v="11984"/>
    <n v="150000"/>
    <n v="17.100000000000001"/>
    <n v="1360000"/>
    <n v="65.180000000000007"/>
    <n v="8700000"/>
    <n v="0.4"/>
    <x v="62"/>
    <n v="0"/>
    <x v="34"/>
    <n v="0"/>
    <m/>
    <n v="24000"/>
    <m/>
    <m/>
    <n v="0"/>
    <m/>
    <n v="4455421"/>
    <n v="63.4"/>
    <n v="1138"/>
    <n v="390000000"/>
    <n v="706900"/>
    <n v="338200"/>
    <n v="1.81"/>
    <n v="8"/>
  </r>
  <r>
    <x v="163"/>
    <n v="2"/>
    <n v="9.26"/>
    <x v="0"/>
    <n v="12.71"/>
    <n v="18000000000"/>
    <m/>
    <m/>
    <m/>
    <n v="870000000"/>
    <n v="27000"/>
    <n v="0.9"/>
    <m/>
    <m/>
    <m/>
    <n v="50"/>
    <m/>
    <m/>
    <n v="5.43"/>
    <n v="1.9"/>
    <n v="533"/>
    <n v="16000"/>
    <m/>
    <n v="30540"/>
    <n v="79.569999999999993"/>
    <m/>
    <m/>
    <x v="1"/>
    <m/>
    <x v="1"/>
    <m/>
    <m/>
    <m/>
    <m/>
    <m/>
    <m/>
    <m/>
    <n v="32409"/>
    <m/>
    <m/>
    <m/>
    <n v="33700"/>
    <n v="19300"/>
    <n v="1.76"/>
    <n v="22"/>
  </r>
  <r>
    <x v="164"/>
    <n v="1564116"/>
    <n v="21.52"/>
    <x v="0"/>
    <n v="7.03"/>
    <n v="1191000000"/>
    <n v="2209000000"/>
    <n v="2692000000"/>
    <n v="853000000"/>
    <n v="5332000000"/>
    <n v="1900"/>
    <n v="10.6"/>
    <n v="0.1"/>
    <n v="200"/>
    <n v="500"/>
    <n v="49256"/>
    <n v="1000000000"/>
    <n v="4.0999999999999996"/>
    <n v="53.79"/>
    <n v="11"/>
    <n v="1000"/>
    <n v="220000"/>
    <m/>
    <n v="1488000"/>
    <n v="64.52"/>
    <n v="23100000"/>
    <n v="2.2000000000000002"/>
    <x v="1"/>
    <m/>
    <x v="1"/>
    <m/>
    <m/>
    <n v="11000"/>
    <n v="497"/>
    <n v="11000"/>
    <n v="542"/>
    <m/>
    <n v="2791272"/>
    <m/>
    <m/>
    <m/>
    <n v="142300"/>
    <n v="404400"/>
    <n v="2.2599999999999998"/>
    <n v="6.7"/>
  </r>
  <r>
    <x v="165"/>
    <n v="102"/>
    <n v="17.559999999999999"/>
    <x v="0"/>
    <n v="7.17"/>
    <n v="8900000"/>
    <n v="1674000"/>
    <n v="1800000"/>
    <n v="700000"/>
    <n v="29000000"/>
    <n v="3400"/>
    <n v="-1"/>
    <m/>
    <m/>
    <m/>
    <n v="227"/>
    <n v="17000000"/>
    <m/>
    <n v="7.35"/>
    <n v="2.6"/>
    <m/>
    <m/>
    <m/>
    <n v="4521"/>
    <n v="78.709999999999994"/>
    <m/>
    <m/>
    <x v="1"/>
    <m/>
    <x v="1"/>
    <m/>
    <m/>
    <n v="400"/>
    <m/>
    <m/>
    <n v="0"/>
    <m/>
    <n v="9341"/>
    <m/>
    <m/>
    <m/>
    <m/>
    <n v="70"/>
    <n v="1.78"/>
    <n v="6"/>
  </r>
  <r>
    <x v="166"/>
    <n v="446550"/>
    <n v="22.29"/>
    <x v="92"/>
    <n v="5.64"/>
    <n v="17070000000"/>
    <n v="14240000000"/>
    <n v="13910000000"/>
    <n v="9754000000"/>
    <n v="134600000000"/>
    <n v="4200"/>
    <n v="4.4000000000000004"/>
    <n v="0.1"/>
    <m/>
    <n v="15000"/>
    <n v="57694"/>
    <n v="15630000000"/>
    <m/>
    <n v="41.62"/>
    <n v="2.1"/>
    <n v="3627"/>
    <n v="800000"/>
    <n v="22.4"/>
    <n v="11020000"/>
    <n v="70.66"/>
    <n v="2305600000"/>
    <n v="5"/>
    <x v="63"/>
    <n v="0"/>
    <x v="0"/>
    <n v="50000000"/>
    <n v="665400000"/>
    <n v="167000"/>
    <m/>
    <m/>
    <n v="1000"/>
    <n v="300000000"/>
    <n v="32725847"/>
    <n v="70.2"/>
    <n v="1907"/>
    <n v="15140000000"/>
    <n v="1219200"/>
    <n v="7332800"/>
    <n v="2.73"/>
    <n v="12.1"/>
  </r>
  <r>
    <x v="167"/>
    <n v="801590"/>
    <n v="35.79"/>
    <x v="93"/>
    <n v="20.99"/>
    <n v="966000000"/>
    <n v="5046000000"/>
    <n v="8859000000"/>
    <n v="689400000"/>
    <n v="23380000000"/>
    <n v="1200"/>
    <n v="8.1999999999999993"/>
    <n v="12.2"/>
    <n v="110000"/>
    <n v="1300000"/>
    <n v="30400"/>
    <n v="972900000"/>
    <n v="3.4"/>
    <n v="130.79"/>
    <n v="12.8"/>
    <n v="3249"/>
    <n v="50000"/>
    <n v="47"/>
    <n v="9200000"/>
    <n v="40.32"/>
    <n v="117300000"/>
    <n v="2.2000000000000002"/>
    <x v="64"/>
    <n v="0"/>
    <x v="0"/>
    <n v="60000000"/>
    <n v="63710000000"/>
    <n v="8500"/>
    <m/>
    <m/>
    <n v="0"/>
    <n v="0"/>
    <n v="19406703"/>
    <m/>
    <n v="3123"/>
    <n v="1206000000"/>
    <n v="83700"/>
    <n v="428900"/>
    <n v="4.7"/>
    <n v="21"/>
  </r>
  <r>
    <x v="168"/>
    <n v="825418"/>
    <n v="25.16"/>
    <x v="94"/>
    <n v="18.36"/>
    <n v="1136000000"/>
    <n v="1920000000"/>
    <n v="1167000000"/>
    <n v="1356000000"/>
    <n v="14760000000"/>
    <n v="7300"/>
    <n v="4.8"/>
    <n v="21.3"/>
    <n v="16000"/>
    <n v="210000"/>
    <n v="42237"/>
    <n v="1473000000"/>
    <m/>
    <n v="48.98"/>
    <n v="4.2"/>
    <n v="3164"/>
    <n v="65000"/>
    <n v="19.600000000000001"/>
    <n v="840000"/>
    <n v="43.93"/>
    <n v="168400000"/>
    <n v="3.1"/>
    <x v="1"/>
    <m/>
    <x v="1"/>
    <m/>
    <n v="31150000000"/>
    <n v="13000"/>
    <m/>
    <m/>
    <n v="0"/>
    <n v="0"/>
    <n v="2030692"/>
    <n v="38.5"/>
    <n v="2382"/>
    <n v="360000000"/>
    <n v="127400"/>
    <n v="223700"/>
    <n v="3.18"/>
    <n v="35"/>
  </r>
  <r>
    <x v="169"/>
    <n v="21"/>
    <n v="25.14"/>
    <x v="0"/>
    <n v="6.82"/>
    <n v="33300000"/>
    <n v="27900000"/>
    <n v="30000000"/>
    <n v="640000"/>
    <n v="60000000"/>
    <n v="5000"/>
    <m/>
    <m/>
    <m/>
    <m/>
    <n v="30"/>
    <n v="19800000"/>
    <m/>
    <n v="9.9499999999999993"/>
    <n v="-3.6"/>
    <m/>
    <n v="300"/>
    <m/>
    <m/>
    <n v="62.73"/>
    <m/>
    <m/>
    <x v="1"/>
    <m/>
    <x v="1"/>
    <m/>
    <m/>
    <n v="1000"/>
    <m/>
    <m/>
    <n v="0"/>
    <m/>
    <n v="13048"/>
    <m/>
    <m/>
    <m/>
    <n v="1900"/>
    <n v="1500"/>
    <n v="3.19"/>
    <n v="90"/>
  </r>
  <r>
    <x v="170"/>
    <n v="5"/>
    <m/>
    <x v="0"/>
    <m/>
    <m/>
    <m/>
    <m/>
    <m/>
    <m/>
    <m/>
    <m/>
    <m/>
    <m/>
    <m/>
    <m/>
    <m/>
    <m/>
    <m/>
    <m/>
    <m/>
    <m/>
    <m/>
    <m/>
    <m/>
    <m/>
    <m/>
    <x v="1"/>
    <m/>
    <x v="1"/>
    <m/>
    <m/>
    <m/>
    <m/>
    <m/>
    <m/>
    <m/>
    <m/>
    <m/>
    <m/>
    <m/>
    <m/>
    <m/>
    <m/>
    <m/>
  </r>
  <r>
    <x v="171"/>
    <n v="140800"/>
    <n v="31.45"/>
    <x v="0"/>
    <n v="9.4700000000000006"/>
    <n v="2700000000"/>
    <n v="2005000000"/>
    <n v="2054000000"/>
    <n v="568000000"/>
    <n v="39530000000"/>
    <n v="1500"/>
    <n v="3"/>
    <n v="0.5"/>
    <n v="3100"/>
    <n v="61000"/>
    <n v="13223"/>
    <n v="1419000000"/>
    <n v="8.6999999999999993"/>
    <n v="66.98"/>
    <n v="2.9"/>
    <n v="917"/>
    <n v="80000"/>
    <m/>
    <n v="10000000"/>
    <n v="59.8"/>
    <n v="99200000"/>
    <n v="1.5"/>
    <x v="1"/>
    <m/>
    <x v="1"/>
    <m/>
    <m/>
    <n v="16000"/>
    <m/>
    <m/>
    <n v="0"/>
    <m/>
    <n v="27676547"/>
    <m/>
    <n v="59"/>
    <m/>
    <n v="371800"/>
    <n v="50400"/>
    <n v="4.1900000000000004"/>
    <n v="47"/>
  </r>
  <r>
    <x v="172"/>
    <n v="41526"/>
    <n v="11.14"/>
    <x v="95"/>
    <n v="8.68"/>
    <m/>
    <n v="100700000000"/>
    <n v="90610000000"/>
    <n v="293100000000"/>
    <n v="481100000000"/>
    <n v="29500"/>
    <n v="1.2"/>
    <n v="0.2"/>
    <n v="100"/>
    <n v="19000"/>
    <n v="116500"/>
    <n v="252700000000"/>
    <n v="0.8"/>
    <n v="5.04"/>
    <n v="1.4"/>
    <n v="4518226"/>
    <n v="8500000"/>
    <n v="19.899999999999999"/>
    <n v="7530000"/>
    <n v="78.81"/>
    <n v="9408000000"/>
    <n v="1.6"/>
    <x v="65"/>
    <n v="49280000000"/>
    <x v="35"/>
    <n v="77750000000"/>
    <n v="1693000000000"/>
    <n v="895300"/>
    <n v="1418000"/>
    <n v="2284000"/>
    <n v="46200"/>
    <n v="88060000"/>
    <n v="16407491"/>
    <n v="55.8"/>
    <n v="2808"/>
    <n v="21440000000"/>
    <n v="10004000"/>
    <n v="12500000"/>
    <n v="1.66"/>
    <n v="6"/>
  </r>
  <r>
    <x v="173"/>
    <n v="960"/>
    <n v="15"/>
    <x v="0"/>
    <n v="6.41"/>
    <n v="1350000000"/>
    <n v="934300000"/>
    <n v="1005000000"/>
    <n v="1579000000"/>
    <n v="2450000000"/>
    <n v="11400"/>
    <n v="0.5"/>
    <m/>
    <m/>
    <m/>
    <n v="600"/>
    <n v="2233000000"/>
    <m/>
    <n v="10.029999999999999"/>
    <n v="2.1"/>
    <n v="119"/>
    <n v="2000"/>
    <m/>
    <n v="89000"/>
    <n v="75.83"/>
    <m/>
    <m/>
    <x v="1"/>
    <m/>
    <x v="1"/>
    <m/>
    <m/>
    <n v="72000"/>
    <m/>
    <m/>
    <n v="0"/>
    <m/>
    <n v="219958"/>
    <m/>
    <m/>
    <m/>
    <n v="81000"/>
    <n v="81000"/>
    <n v="2"/>
    <n v="15.6"/>
  </r>
  <r>
    <x v="174"/>
    <n v="19060"/>
    <n v="18.489999999999998"/>
    <x v="0"/>
    <n v="5.65"/>
    <n v="79000000"/>
    <n v="1471000000"/>
    <n v="1581000000"/>
    <n v="448000000"/>
    <n v="3158000000"/>
    <n v="15000"/>
    <m/>
    <m/>
    <m/>
    <m/>
    <n v="5432"/>
    <n v="1007000000"/>
    <n v="-0.6"/>
    <n v="7.72"/>
    <n v="-0.6"/>
    <n v="4449"/>
    <n v="60000"/>
    <m/>
    <n v="79400"/>
    <n v="74.040000000000006"/>
    <m/>
    <m/>
    <x v="1"/>
    <m/>
    <x v="1"/>
    <m/>
    <m/>
    <n v="8750"/>
    <m/>
    <m/>
    <n v="0"/>
    <m/>
    <n v="216494"/>
    <m/>
    <m/>
    <m/>
    <n v="52000"/>
    <n v="80000"/>
    <n v="2.31"/>
    <n v="19"/>
  </r>
  <r>
    <x v="175"/>
    <n v="268680"/>
    <n v="13.9"/>
    <x v="96"/>
    <n v="7.53"/>
    <n v="47340000000"/>
    <n v="35710000000"/>
    <n v="38390000000"/>
    <n v="19850000000"/>
    <n v="92510000000"/>
    <n v="23200"/>
    <n v="4.8"/>
    <n v="0.1"/>
    <n v="200"/>
    <n v="1400"/>
    <n v="92382"/>
    <n v="19770000000"/>
    <n v="5.9"/>
    <n v="5.85"/>
    <n v="2.4"/>
    <n v="474395"/>
    <n v="2110000"/>
    <n v="22.4"/>
    <n v="2050000"/>
    <n v="78.66"/>
    <n v="1147000000"/>
    <n v="1"/>
    <x v="66"/>
    <n v="0"/>
    <x v="0"/>
    <n v="6504000000"/>
    <n v="58940000000"/>
    <n v="132700"/>
    <n v="30220"/>
    <n v="119700"/>
    <n v="42160"/>
    <n v="89620000"/>
    <n v="4035461"/>
    <n v="22.1"/>
    <n v="3898"/>
    <n v="4805000000"/>
    <n v="1765000"/>
    <n v="2599000"/>
    <n v="1.79"/>
    <n v="4.2"/>
  </r>
  <r>
    <x v="176"/>
    <n v="129494"/>
    <n v="24.88"/>
    <x v="97"/>
    <n v="4.49"/>
    <n v="4573000000"/>
    <n v="2318000000"/>
    <n v="2553000000"/>
    <n v="750000000"/>
    <n v="12340000000"/>
    <n v="2300"/>
    <n v="4"/>
    <n v="0.2"/>
    <m/>
    <n v="6400"/>
    <n v="18712"/>
    <n v="2020000000"/>
    <n v="4.4000000000000004"/>
    <n v="29.11"/>
    <n v="9.3000000000000007"/>
    <n v="7094"/>
    <n v="90000"/>
    <n v="28"/>
    <n v="1930000"/>
    <n v="70.33"/>
    <n v="32800000"/>
    <n v="0.7"/>
    <x v="1"/>
    <m/>
    <x v="1"/>
    <m/>
    <m/>
    <n v="25770"/>
    <n v="738"/>
    <n v="27950"/>
    <n v="0"/>
    <m/>
    <n v="5465100"/>
    <n v="69.5"/>
    <n v="6"/>
    <n v="670000000"/>
    <n v="171600"/>
    <n v="202800"/>
    <n v="2.81"/>
    <n v="7.8"/>
  </r>
  <r>
    <x v="177"/>
    <n v="1267000"/>
    <n v="48.3"/>
    <x v="0"/>
    <n v="21.33"/>
    <n v="1600000000"/>
    <n v="327600000"/>
    <n v="266200000"/>
    <n v="280000000"/>
    <n v="9716000000"/>
    <n v="900"/>
    <n v="3.5"/>
    <n v="1.2"/>
    <n v="4800"/>
    <n v="70000"/>
    <n v="10100"/>
    <n v="400000000"/>
    <m/>
    <n v="121.69"/>
    <n v="3"/>
    <n v="134"/>
    <n v="15000"/>
    <m/>
    <n v="70000"/>
    <n v="42.13"/>
    <n v="33300000"/>
    <n v="1.1000000000000001"/>
    <x v="1"/>
    <m/>
    <x v="1"/>
    <m/>
    <m/>
    <n v="5000"/>
    <m/>
    <m/>
    <n v="0"/>
    <m/>
    <n v="11665937"/>
    <m/>
    <m/>
    <m/>
    <n v="22400"/>
    <n v="24000"/>
    <n v="6.75"/>
    <m/>
  </r>
  <r>
    <x v="178"/>
    <n v="923768"/>
    <n v="40.65"/>
    <x v="98"/>
    <n v="17.18"/>
    <n v="30550000000"/>
    <n v="18430000000"/>
    <n v="19850000000"/>
    <n v="33990000000"/>
    <n v="125700000000"/>
    <n v="1000"/>
    <n v="6.2"/>
    <n v="5.4"/>
    <n v="310000"/>
    <n v="3600000"/>
    <n v="194394"/>
    <n v="17140000000"/>
    <n v="1.8"/>
    <n v="98.8"/>
    <n v="16.5"/>
    <n v="1142"/>
    <n v="750000"/>
    <n v="18"/>
    <n v="55670000"/>
    <n v="46.74"/>
    <n v="544600000"/>
    <n v="0.8"/>
    <x v="67"/>
    <n v="7830000000"/>
    <x v="0"/>
    <n v="15680000000"/>
    <n v="4007000000000"/>
    <n v="275000"/>
    <m/>
    <m/>
    <n v="2356000"/>
    <n v="34000000000"/>
    <n v="128771988"/>
    <n v="20"/>
    <n v="3557"/>
    <n v="14710000000"/>
    <n v="853100"/>
    <n v="3149500"/>
    <n v="5.53"/>
    <m/>
  </r>
  <r>
    <x v="179"/>
    <n v="260"/>
    <m/>
    <x v="0"/>
    <m/>
    <n v="418000"/>
    <n v="2790000"/>
    <n v="3000000"/>
    <n v="137200"/>
    <n v="7600000"/>
    <n v="3600"/>
    <n v="-0.3"/>
    <m/>
    <m/>
    <m/>
    <n v="234"/>
    <n v="2380000"/>
    <m/>
    <m/>
    <n v="1"/>
    <m/>
    <m/>
    <m/>
    <m/>
    <m/>
    <m/>
    <m/>
    <x v="1"/>
    <m/>
    <x v="1"/>
    <m/>
    <m/>
    <n v="20"/>
    <m/>
    <m/>
    <n v="0"/>
    <m/>
    <n v="2166"/>
    <m/>
    <m/>
    <m/>
    <n v="1100"/>
    <n v="400"/>
    <m/>
    <m/>
  </r>
  <r>
    <x v="180"/>
    <n v="35"/>
    <m/>
    <x v="0"/>
    <m/>
    <m/>
    <m/>
    <m/>
    <n v="1500000"/>
    <m/>
    <m/>
    <m/>
    <m/>
    <m/>
    <m/>
    <n v="80"/>
    <n v="17900000"/>
    <m/>
    <m/>
    <m/>
    <m/>
    <n v="700"/>
    <m/>
    <n v="1345"/>
    <m/>
    <m/>
    <m/>
    <x v="1"/>
    <m/>
    <x v="1"/>
    <m/>
    <m/>
    <m/>
    <m/>
    <m/>
    <m/>
    <m/>
    <n v="1828"/>
    <m/>
    <m/>
    <m/>
    <n v="2532"/>
    <n v="0"/>
    <m/>
    <n v="0"/>
  </r>
  <r>
    <x v="181"/>
    <n v="477"/>
    <n v="19.510000000000002"/>
    <x v="0"/>
    <n v="2.2999999999999998"/>
    <m/>
    <m/>
    <m/>
    <m/>
    <n v="900000000"/>
    <n v="12500"/>
    <m/>
    <m/>
    <m/>
    <m/>
    <n v="362"/>
    <m/>
    <m/>
    <n v="7.11"/>
    <n v="1.2"/>
    <m/>
    <m/>
    <m/>
    <n v="6006"/>
    <n v="75.88"/>
    <m/>
    <m/>
    <x v="1"/>
    <m/>
    <x v="1"/>
    <m/>
    <m/>
    <m/>
    <m/>
    <m/>
    <m/>
    <m/>
    <n v="80362"/>
    <m/>
    <m/>
    <m/>
    <n v="21000"/>
    <n v="3000"/>
    <n v="1.27"/>
    <m/>
  </r>
  <r>
    <x v="182"/>
    <n v="324220"/>
    <n v="11.67"/>
    <x v="99"/>
    <n v="9.4499999999999993"/>
    <n v="0"/>
    <n v="107400000000"/>
    <n v="125900000000"/>
    <n v="76640000000"/>
    <n v="183000000000"/>
    <n v="40000"/>
    <n v="3.3"/>
    <n v="0.1"/>
    <n v="100"/>
    <n v="2100"/>
    <n v="91852"/>
    <n v="45960000000"/>
    <n v="5.2"/>
    <n v="3.7"/>
    <n v="1"/>
    <n v="593850"/>
    <n v="2288000"/>
    <n v="17.5"/>
    <n v="2380000"/>
    <n v="79.400000000000006"/>
    <n v="4033500000"/>
    <n v="1.9"/>
    <x v="68"/>
    <n v="50500000000"/>
    <x v="0"/>
    <n v="54600000000"/>
    <n v="1716000000000"/>
    <n v="171100"/>
    <n v="3466000"/>
    <n v="88870"/>
    <n v="3310000"/>
    <n v="9859000000"/>
    <n v="4593041"/>
    <n v="33.1"/>
    <n v="4077"/>
    <m/>
    <n v="3343000"/>
    <n v="4163400"/>
    <n v="1.78"/>
    <n v="4.3"/>
  </r>
  <r>
    <x v="183"/>
    <n v="212460"/>
    <n v="36.729999999999997"/>
    <x v="100"/>
    <n v="3.86"/>
    <n v="4814000000"/>
    <n v="9792000000"/>
    <n v="9896000000"/>
    <n v="13140000000"/>
    <n v="38090000000"/>
    <n v="13100"/>
    <n v="1.2"/>
    <n v="0.1"/>
    <n v="200"/>
    <n v="1300"/>
    <n v="34965"/>
    <n v="6373000000"/>
    <n v="-1.2"/>
    <n v="19.510000000000002"/>
    <n v="0.2"/>
    <n v="726"/>
    <n v="180000"/>
    <n v="13.5"/>
    <n v="920000"/>
    <n v="73.13"/>
    <n v="252990000"/>
    <n v="11.4"/>
    <x v="69"/>
    <n v="7430000000"/>
    <x v="0"/>
    <n v="13770000000"/>
    <n v="829700000000"/>
    <n v="54000"/>
    <n v="721000"/>
    <m/>
    <n v="775000"/>
    <n v="5500000000"/>
    <n v="3001583"/>
    <n v="10.3"/>
    <m/>
    <n v="4144000000"/>
    <n v="233900"/>
    <n v="464900"/>
    <n v="5.84"/>
    <n v="15"/>
  </r>
  <r>
    <x v="184"/>
    <n v="803940"/>
    <n v="30.42"/>
    <x v="101"/>
    <n v="8.4499999999999993"/>
    <n v="33970000000"/>
    <n v="52660000000"/>
    <n v="75270000000"/>
    <n v="15070000000"/>
    <n v="347300000000"/>
    <n v="2200"/>
    <n v="6.1"/>
    <n v="0.1"/>
    <n v="4900"/>
    <n v="74000"/>
    <n v="257683"/>
    <n v="14010000000"/>
    <n v="13.1"/>
    <n v="72.44"/>
    <n v="4.8"/>
    <n v="15124"/>
    <n v="1500000"/>
    <n v="16.399999999999999"/>
    <n v="45430000"/>
    <n v="63"/>
    <n v="3848000000"/>
    <n v="4.9000000000000004"/>
    <x v="70"/>
    <n v="0"/>
    <x v="0"/>
    <n v="23400000000"/>
    <n v="695600000000"/>
    <n v="365000"/>
    <m/>
    <m/>
    <n v="61000"/>
    <n v="325500000"/>
    <n v="162419946"/>
    <n v="71.400000000000006"/>
    <n v="8163"/>
    <n v="12580000000"/>
    <n v="3982800"/>
    <n v="2624800"/>
    <n v="4.1399999999999997"/>
    <n v="8.3000000000000007"/>
  </r>
  <r>
    <x v="185"/>
    <n v="458"/>
    <n v="18.37"/>
    <x v="0"/>
    <n v="6.85"/>
    <n v="0"/>
    <m/>
    <m/>
    <n v="18000000"/>
    <n v="174000000"/>
    <n v="9000"/>
    <n v="1"/>
    <m/>
    <m/>
    <m/>
    <n v="61"/>
    <n v="99000000"/>
    <m/>
    <n v="14.84"/>
    <n v="3.4"/>
    <m/>
    <m/>
    <m/>
    <n v="9845"/>
    <n v="70.14"/>
    <m/>
    <m/>
    <x v="1"/>
    <m/>
    <x v="1"/>
    <m/>
    <m/>
    <m/>
    <m/>
    <m/>
    <m/>
    <m/>
    <n v="20303"/>
    <m/>
    <m/>
    <m/>
    <n v="6700"/>
    <n v="1000"/>
    <n v="2.46"/>
    <n v="2.2999999999999998"/>
  </r>
  <r>
    <x v="186"/>
    <n v="12"/>
    <m/>
    <x v="0"/>
    <m/>
    <m/>
    <m/>
    <m/>
    <m/>
    <m/>
    <m/>
    <m/>
    <m/>
    <m/>
    <m/>
    <m/>
    <m/>
    <m/>
    <m/>
    <m/>
    <m/>
    <m/>
    <m/>
    <m/>
    <m/>
    <m/>
    <m/>
    <x v="1"/>
    <m/>
    <x v="1"/>
    <m/>
    <m/>
    <m/>
    <m/>
    <m/>
    <m/>
    <m/>
    <m/>
    <m/>
    <m/>
    <m/>
    <m/>
    <m/>
    <m/>
    <m/>
  </r>
  <r>
    <x v="187"/>
    <n v="78200"/>
    <n v="19.96"/>
    <x v="102"/>
    <n v="6.54"/>
    <n v="8780000000"/>
    <n v="4473000000"/>
    <n v="4873000000"/>
    <n v="5699000000"/>
    <n v="20570000000"/>
    <n v="6900"/>
    <n v="6"/>
    <n v="0.9"/>
    <m/>
    <n v="16000"/>
    <n v="11643"/>
    <n v="7164000000"/>
    <n v="5.4"/>
    <n v="20.47"/>
    <n v="2"/>
    <n v="7129"/>
    <n v="120000"/>
    <n v="25"/>
    <n v="1320000"/>
    <n v="71.94"/>
    <n v="147000000"/>
    <n v="1.1000000000000001"/>
    <x v="1"/>
    <m/>
    <x v="1"/>
    <m/>
    <m/>
    <n v="40520"/>
    <m/>
    <m/>
    <n v="0"/>
    <m/>
    <n v="3039150"/>
    <n v="69.2"/>
    <n v="355"/>
    <n v="1076000000"/>
    <n v="386900"/>
    <n v="834000"/>
    <n v="2.4500000000000002"/>
    <n v="12.6"/>
  </r>
  <r>
    <x v="188"/>
    <n v="462840"/>
    <n v="29.95"/>
    <x v="103"/>
    <n v="7.37"/>
    <n v="2463000000"/>
    <n v="1561000000"/>
    <n v="1679000000"/>
    <n v="2437000000"/>
    <n v="11990000000"/>
    <n v="2200"/>
    <n v="0.9"/>
    <n v="0.6"/>
    <n v="600"/>
    <n v="16000"/>
    <n v="19600"/>
    <n v="1353000000"/>
    <m/>
    <n v="51.45"/>
    <n v="4.2"/>
    <n v="389"/>
    <n v="75000"/>
    <n v="13.6"/>
    <n v="3320000"/>
    <n v="64.930000000000007"/>
    <n v="16900000"/>
    <n v="1.4"/>
    <x v="71"/>
    <n v="0"/>
    <x v="0"/>
    <n v="110000000"/>
    <n v="385500000000"/>
    <n v="15000"/>
    <m/>
    <m/>
    <n v="46200"/>
    <n v="170000000"/>
    <n v="5545268"/>
    <n v="59.3"/>
    <m/>
    <n v="635800000"/>
    <n v="62000"/>
    <n v="15000"/>
    <n v="3.96"/>
    <m/>
  </r>
  <r>
    <x v="189"/>
    <n v="406750"/>
    <n v="29.43"/>
    <x v="104"/>
    <n v="4.53"/>
    <n v="3239000000"/>
    <n v="2469000000"/>
    <n v="48360000000"/>
    <n v="2936000000"/>
    <n v="29930000000"/>
    <n v="4800"/>
    <n v="2.8"/>
    <n v="0.5"/>
    <n v="600"/>
    <n v="15000"/>
    <n v="29500"/>
    <n v="3330000000"/>
    <n v="0"/>
    <n v="25.63"/>
    <n v="5.0999999999999996"/>
    <n v="9243"/>
    <n v="120000"/>
    <n v="18.100000000000001"/>
    <n v="2660000"/>
    <n v="74.89"/>
    <n v="53100000"/>
    <n v="0.9"/>
    <x v="1"/>
    <m/>
    <x v="1"/>
    <m/>
    <m/>
    <n v="25000"/>
    <m/>
    <m/>
    <n v="0"/>
    <m/>
    <n v="6347884"/>
    <n v="39.200000000000003"/>
    <n v="441"/>
    <n v="1164000000"/>
    <n v="273200"/>
    <n v="1770300"/>
    <n v="3.93"/>
    <n v="15.1"/>
  </r>
  <r>
    <x v="190"/>
    <n v="1285220"/>
    <n v="20.87"/>
    <x v="105"/>
    <n v="6.26"/>
    <n v="29790000000"/>
    <n v="20220000000"/>
    <n v="22880000000"/>
    <n v="12300000000"/>
    <n v="155300000000"/>
    <n v="5600"/>
    <n v="4.5"/>
    <n v="0.5"/>
    <n v="4200"/>
    <n v="82000"/>
    <n v="78230"/>
    <n v="9600000000"/>
    <n v="5.2"/>
    <n v="31.94"/>
    <n v="3.8"/>
    <n v="65868"/>
    <n v="2850000"/>
    <n v="17.8"/>
    <n v="11000000"/>
    <n v="69.53"/>
    <n v="829300000"/>
    <n v="1.4"/>
    <x v="72"/>
    <n v="0"/>
    <x v="0"/>
    <n v="910000000"/>
    <n v="245100000000"/>
    <n v="161000"/>
    <n v="49000"/>
    <m/>
    <n v="95500"/>
    <n v="408800000"/>
    <n v="27925628"/>
    <n v="44.1"/>
    <n v="3462"/>
    <n v="12700000000"/>
    <n v="1839200"/>
    <n v="2908800"/>
    <n v="2.56"/>
    <n v="9.6"/>
  </r>
  <r>
    <x v="191"/>
    <n v="300000"/>
    <n v="25.31"/>
    <x v="106"/>
    <n v="5.47"/>
    <n v="55600000000"/>
    <n v="46050000000"/>
    <n v="52860000000"/>
    <n v="38630000000"/>
    <n v="430600000000"/>
    <n v="5000"/>
    <n v="5.9"/>
    <n v="0.1"/>
    <n v="500"/>
    <n v="9000"/>
    <n v="202124"/>
    <n v="37500000000"/>
    <n v="5"/>
    <n v="23.51"/>
    <n v="5.5"/>
    <n v="38440"/>
    <n v="3500000"/>
    <n v="17"/>
    <n v="35860000"/>
    <n v="69.91"/>
    <n v="805500000"/>
    <n v="1"/>
    <x v="73"/>
    <n v="0"/>
    <x v="0"/>
    <n v="2500000"/>
    <n v="107600000000"/>
    <n v="338000"/>
    <n v="0"/>
    <n v="312000"/>
    <n v="26000"/>
    <n v="152000000"/>
    <n v="87857473"/>
    <n v="74.2"/>
    <n v="897"/>
    <n v="16050000000"/>
    <n v="3310900"/>
    <n v="15201000"/>
    <n v="3.16"/>
    <n v="11.7"/>
  </r>
  <r>
    <x v="192"/>
    <n v="47"/>
    <m/>
    <x v="0"/>
    <m/>
    <m/>
    <m/>
    <m/>
    <m/>
    <m/>
    <m/>
    <m/>
    <m/>
    <m/>
    <m/>
    <n v="6"/>
    <m/>
    <m/>
    <m/>
    <m/>
    <m/>
    <m/>
    <m/>
    <n v="15"/>
    <m/>
    <m/>
    <m/>
    <x v="1"/>
    <m/>
    <x v="1"/>
    <m/>
    <m/>
    <m/>
    <m/>
    <m/>
    <m/>
    <m/>
    <n v="46"/>
    <m/>
    <m/>
    <m/>
    <n v="1"/>
    <m/>
    <m/>
    <m/>
  </r>
  <r>
    <x v="193"/>
    <n v="312685"/>
    <n v="10.78"/>
    <x v="107"/>
    <n v="10.01"/>
    <n v="99150000000"/>
    <n v="117400000000"/>
    <n v="133800000000"/>
    <n v="75980000000"/>
    <n v="463000000000"/>
    <n v="12000"/>
    <n v="5.6"/>
    <n v="0.1"/>
    <n v="100"/>
    <n v="14000"/>
    <n v="364697"/>
    <n v="81610000000"/>
    <n v="10"/>
    <n v="8.51"/>
    <n v="3.4"/>
    <n v="804915"/>
    <n v="8970000"/>
    <n v="18.399999999999999"/>
    <n v="17020000"/>
    <n v="74.41"/>
    <n v="3500000000"/>
    <n v="1.71"/>
    <x v="74"/>
    <n v="41000000"/>
    <x v="36"/>
    <n v="5471000000"/>
    <n v="154400000000"/>
    <n v="424100"/>
    <n v="53000"/>
    <n v="413700"/>
    <n v="17180"/>
    <n v="116400000"/>
    <n v="38635144"/>
    <n v="49.9"/>
    <n v="23852"/>
    <n v="41880000000"/>
    <n v="12300000"/>
    <n v="17401000"/>
    <n v="1.39"/>
    <n v="19.5"/>
  </r>
  <r>
    <x v="194"/>
    <n v="92391"/>
    <n v="10.82"/>
    <x v="108"/>
    <n v="10.43"/>
    <n v="274700000000"/>
    <n v="42150000000"/>
    <n v="43280000000"/>
    <n v="37680000000"/>
    <n v="188700000000"/>
    <n v="17900"/>
    <n v="1.1000000000000001"/>
    <n v="0.4"/>
    <n v="1000"/>
    <n v="22000"/>
    <n v="17135"/>
    <n v="52100000000"/>
    <n v="1.1000000000000001"/>
    <n v="5.05"/>
    <n v="2.1"/>
    <n v="346078"/>
    <n v="3600000"/>
    <n v="22.3"/>
    <n v="5480000"/>
    <n v="77.53"/>
    <n v="3497800000"/>
    <n v="2.2999999999999998"/>
    <x v="75"/>
    <n v="0"/>
    <x v="37"/>
    <n v="0"/>
    <m/>
    <n v="339800"/>
    <n v="28830"/>
    <n v="357300"/>
    <n v="0"/>
    <m/>
    <n v="10566212"/>
    <n v="61.5"/>
    <n v="2850"/>
    <n v="12300000000"/>
    <n v="4278800"/>
    <n v="9341400"/>
    <n v="1.47"/>
    <n v="6.5"/>
  </r>
  <r>
    <x v="195"/>
    <n v="9104"/>
    <n v="13.93"/>
    <x v="0"/>
    <n v="7.86"/>
    <m/>
    <n v="20540000000"/>
    <n v="22090000000"/>
    <n v="46900000000"/>
    <n v="68950000000"/>
    <n v="17700"/>
    <n v="2.7"/>
    <m/>
    <m/>
    <n v="7397"/>
    <n v="25328"/>
    <n v="29100000000"/>
    <m/>
    <n v="8.24"/>
    <n v="6.5"/>
    <m/>
    <n v="600000"/>
    <m/>
    <n v="1300000"/>
    <n v="77.62"/>
    <m/>
    <m/>
    <x v="76"/>
    <n v="0"/>
    <x v="38"/>
    <n v="0"/>
    <m/>
    <n v="190000"/>
    <m/>
    <m/>
    <n v="0"/>
    <m/>
    <n v="3916632"/>
    <m/>
    <n v="96"/>
    <m/>
    <n v="1329500"/>
    <n v="1211111"/>
    <n v="1.91"/>
    <n v="12"/>
  </r>
  <r>
    <x v="196"/>
    <n v="11437"/>
    <n v="15.54"/>
    <x v="109"/>
    <n v="4.6100000000000003"/>
    <n v="18620000000"/>
    <n v="9046000000"/>
    <n v="9727000000"/>
    <n v="15000000000"/>
    <n v="19490000000"/>
    <n v="23200"/>
    <n v="8.6999999999999993"/>
    <n v="0.09"/>
    <m/>
    <m/>
    <n v="1230"/>
    <n v="6150000000"/>
    <n v="10"/>
    <n v="18.61"/>
    <n v="3"/>
    <n v="221"/>
    <n v="126000"/>
    <n v="22.9"/>
    <n v="140000"/>
    <n v="73.67"/>
    <n v="723000000"/>
    <n v="10"/>
    <x v="77"/>
    <n v="18200000000"/>
    <x v="0"/>
    <n v="32400000000"/>
    <n v="14410000000000"/>
    <n v="30000"/>
    <m/>
    <m/>
    <n v="790000"/>
    <n v="16000000000"/>
    <n v="863051"/>
    <m/>
    <m/>
    <n v="3351000000"/>
    <n v="184500"/>
    <n v="376500"/>
    <n v="2.87"/>
    <n v="2.7"/>
  </r>
  <r>
    <x v="197"/>
    <n v="2517"/>
    <n v="19.260000000000002"/>
    <x v="0"/>
    <n v="5.48"/>
    <m/>
    <n v="1084000000"/>
    <n v="1166000000"/>
    <n v="214000000"/>
    <n v="4570000000"/>
    <n v="6000"/>
    <n v="2.5"/>
    <m/>
    <m/>
    <m/>
    <n v="1214"/>
    <n v="2500000000"/>
    <m/>
    <n v="7.78"/>
    <m/>
    <m/>
    <n v="150000"/>
    <m/>
    <n v="309900"/>
    <n v="73.95"/>
    <m/>
    <m/>
    <x v="1"/>
    <m/>
    <x v="1"/>
    <m/>
    <m/>
    <n v="18000"/>
    <m/>
    <m/>
    <n v="0"/>
    <m/>
    <n v="776948"/>
    <m/>
    <m/>
    <m/>
    <n v="300000"/>
    <n v="489800"/>
    <n v="2.4700000000000002"/>
    <n v="36"/>
  </r>
  <r>
    <x v="198"/>
    <n v="237500"/>
    <n v="10.7"/>
    <x v="110"/>
    <n v="11.74"/>
    <n v="24590000000"/>
    <n v="57500000000"/>
    <n v="56530000000"/>
    <n v="23540000000"/>
    <n v="171500000000"/>
    <n v="7700"/>
    <n v="8.1"/>
    <n v="0.1"/>
    <n v="350"/>
    <n v="6500"/>
    <n v="198755"/>
    <n v="28430000000"/>
    <n v="4"/>
    <n v="26.43"/>
    <n v="9.6"/>
    <n v="50807"/>
    <n v="4000000"/>
    <n v="23.3"/>
    <n v="9660000"/>
    <n v="71.349999999999994"/>
    <n v="985000000"/>
    <n v="2.4700000000000002"/>
    <x v="78"/>
    <n v="0"/>
    <x v="39"/>
    <n v="12600000000"/>
    <n v="111100000000"/>
    <n v="253800"/>
    <m/>
    <m/>
    <n v="128000"/>
    <n v="1055000000"/>
    <n v="22329977"/>
    <n v="23.6"/>
    <n v="11385"/>
    <n v="16210000000"/>
    <n v="4300000"/>
    <n v="6900000"/>
    <n v="1.36"/>
    <n v="6.3"/>
  </r>
  <r>
    <x v="199"/>
    <n v="17075200"/>
    <n v="9.8000000000000007"/>
    <x v="111"/>
    <n v="14.52"/>
    <n v="169600000000"/>
    <n v="894300000000"/>
    <n v="915000000000"/>
    <n v="162500000000"/>
    <n v="1408000000000"/>
    <n v="9800"/>
    <n v="6.7"/>
    <n v="1.1000000000000001"/>
    <n v="9000"/>
    <n v="860000"/>
    <n v="537289"/>
    <n v="92910000000"/>
    <n v="6.4"/>
    <n v="15.39"/>
    <n v="11.5"/>
    <n v="560874"/>
    <n v="6000000"/>
    <n v="19.100000000000001"/>
    <n v="71830000"/>
    <n v="67.099999999999994"/>
    <m/>
    <m/>
    <x v="79"/>
    <n v="171000000000"/>
    <x v="40"/>
    <n v="578600000000"/>
    <n v="47000000000000"/>
    <n v="2310000"/>
    <n v="6110000"/>
    <m/>
    <n v="8420000"/>
    <n v="69000000000"/>
    <n v="143420309"/>
    <n v="28.2"/>
    <n v="87157"/>
    <n v="124500000000"/>
    <n v="35500000"/>
    <n v="17608800"/>
    <n v="1.27"/>
    <n v="8.3000000000000007"/>
  </r>
  <r>
    <x v="200"/>
    <n v="26338"/>
    <n v="40.6"/>
    <x v="112"/>
    <n v="16.32"/>
    <n v="1300000000"/>
    <n v="195000000"/>
    <n v="166700000"/>
    <n v="69780000"/>
    <n v="10430000000"/>
    <n v="1300"/>
    <n v="0.9"/>
    <n v="5.0999999999999996"/>
    <n v="22000"/>
    <n v="250000"/>
    <n v="12000"/>
    <n v="260000000"/>
    <n v="7"/>
    <n v="91.23"/>
    <n v="7"/>
    <n v="1495"/>
    <n v="25000"/>
    <n v="20"/>
    <n v="4600000"/>
    <n v="46.96"/>
    <n v="50100000"/>
    <n v="3.2"/>
    <x v="1"/>
    <m/>
    <x v="1"/>
    <m/>
    <n v="28320000000"/>
    <n v="5300"/>
    <m/>
    <m/>
    <n v="0"/>
    <n v="0"/>
    <n v="8440820"/>
    <m/>
    <m/>
    <n v="210900000"/>
    <n v="23200"/>
    <n v="134000"/>
    <n v="5.49"/>
    <m/>
  </r>
  <r>
    <x v="201"/>
    <n v="410"/>
    <n v="12.33"/>
    <x v="0"/>
    <n v="6.43"/>
    <m/>
    <n v="4650000"/>
    <n v="5000000"/>
    <n v="17000000"/>
    <n v="18000000"/>
    <n v="2500"/>
    <m/>
    <m/>
    <m/>
    <m/>
    <n v="198"/>
    <n v="42000000"/>
    <m/>
    <n v="19"/>
    <n v="3.2"/>
    <m/>
    <n v="500"/>
    <m/>
    <n v="3500"/>
    <n v="77.760000000000005"/>
    <m/>
    <m/>
    <x v="1"/>
    <m/>
    <x v="1"/>
    <m/>
    <m/>
    <n v="200"/>
    <m/>
    <m/>
    <n v="0"/>
    <m/>
    <n v="7460"/>
    <m/>
    <m/>
    <m/>
    <n v="2200"/>
    <n v="0"/>
    <n v="1.54"/>
    <n v="14"/>
  </r>
  <r>
    <x v="202"/>
    <n v="261"/>
    <n v="18.12"/>
    <x v="0"/>
    <n v="8.4700000000000006"/>
    <n v="171000000"/>
    <n v="98440000"/>
    <n v="105800000"/>
    <n v="70000000"/>
    <n v="339000000"/>
    <n v="8800"/>
    <n v="-1.9"/>
    <m/>
    <m/>
    <m/>
    <n v="320"/>
    <n v="195000000"/>
    <m/>
    <n v="14.49"/>
    <n v="1.7"/>
    <n v="51"/>
    <n v="10000"/>
    <m/>
    <n v="18170"/>
    <n v="72.150000000000006"/>
    <m/>
    <m/>
    <x v="1"/>
    <m/>
    <x v="1"/>
    <m/>
    <m/>
    <n v="710"/>
    <m/>
    <m/>
    <n v="0"/>
    <m/>
    <n v="38958"/>
    <m/>
    <n v="50"/>
    <m/>
    <n v="23500"/>
    <n v="5000"/>
    <n v="2.33"/>
    <n v="4.5"/>
  </r>
  <r>
    <x v="203"/>
    <n v="616"/>
    <n v="20.05"/>
    <x v="0"/>
    <n v="5.12"/>
    <n v="214000000"/>
    <n v="251300000"/>
    <n v="270300000"/>
    <n v="66000000"/>
    <n v="866000000"/>
    <n v="5400"/>
    <n v="3.3"/>
    <m/>
    <m/>
    <m/>
    <n v="1210"/>
    <n v="267000000"/>
    <n v="-8.9"/>
    <n v="13.53"/>
    <n v="3"/>
    <n v="41"/>
    <n v="13000"/>
    <m/>
    <n v="43800"/>
    <n v="73.61"/>
    <m/>
    <m/>
    <x v="1"/>
    <m/>
    <x v="1"/>
    <m/>
    <m/>
    <n v="2400"/>
    <m/>
    <m/>
    <n v="0"/>
    <m/>
    <n v="166312"/>
    <m/>
    <m/>
    <m/>
    <n v="51100"/>
    <n v="14300"/>
    <n v="2.21"/>
    <n v="20"/>
  </r>
  <r>
    <x v="204"/>
    <n v="242"/>
    <n v="13.83"/>
    <x v="0"/>
    <n v="6.7"/>
    <m/>
    <n v="40060000"/>
    <n v="43080000"/>
    <n v="10000000"/>
    <n v="48300000"/>
    <n v="7000"/>
    <m/>
    <m/>
    <m/>
    <m/>
    <n v="114"/>
    <n v="106000000"/>
    <m/>
    <n v="7.54"/>
    <n v="2.1"/>
    <m/>
    <m/>
    <m/>
    <n v="3261"/>
    <n v="78.459999999999994"/>
    <m/>
    <m/>
    <x v="1"/>
    <m/>
    <x v="1"/>
    <m/>
    <m/>
    <n v="600"/>
    <m/>
    <m/>
    <n v="0"/>
    <m/>
    <n v="7012"/>
    <m/>
    <m/>
    <m/>
    <n v="4800"/>
    <n v="0"/>
    <n v="2.0299999999999998"/>
    <n v="9.8000000000000007"/>
  </r>
  <r>
    <x v="205"/>
    <n v="389"/>
    <n v="16.34"/>
    <x v="0"/>
    <n v="6"/>
    <n v="167200000"/>
    <n v="84820000"/>
    <n v="91200000"/>
    <n v="38000000"/>
    <n v="342000000"/>
    <n v="2900"/>
    <n v="0.7"/>
    <m/>
    <m/>
    <m/>
    <n v="829"/>
    <n v="174000000"/>
    <n v="-0.9"/>
    <n v="14.78"/>
    <n v="-0.4"/>
    <n v="4"/>
    <n v="7000"/>
    <m/>
    <n v="67000"/>
    <n v="73.62"/>
    <m/>
    <m/>
    <x v="1"/>
    <m/>
    <x v="1"/>
    <m/>
    <m/>
    <n v="1250"/>
    <m/>
    <m/>
    <n v="0"/>
    <m/>
    <n v="117534"/>
    <m/>
    <m/>
    <m/>
    <n v="27300"/>
    <n v="10000"/>
    <n v="1.85"/>
    <n v="15"/>
  </r>
  <r>
    <x v="206"/>
    <n v="2944"/>
    <n v="15.95"/>
    <x v="0"/>
    <n v="6.54"/>
    <n v="197000000"/>
    <n v="113500000"/>
    <n v="122000000"/>
    <n v="14000000"/>
    <n v="1000000000"/>
    <n v="5600"/>
    <n v="5"/>
    <m/>
    <n v="3"/>
    <n v="12"/>
    <n v="790"/>
    <n v="113000000"/>
    <n v="2.8"/>
    <n v="27.71"/>
    <n v="4"/>
    <n v="8225"/>
    <n v="4000"/>
    <m/>
    <n v="90000"/>
    <n v="70.72"/>
    <m/>
    <m/>
    <x v="1"/>
    <m/>
    <x v="1"/>
    <m/>
    <m/>
    <n v="1000"/>
    <m/>
    <m/>
    <n v="0"/>
    <m/>
    <n v="177287"/>
    <m/>
    <m/>
    <m/>
    <n v="11800"/>
    <n v="2700"/>
    <n v="3.01"/>
    <m/>
  </r>
  <r>
    <x v="207"/>
    <n v="61"/>
    <n v="10.18"/>
    <x v="0"/>
    <n v="8.07"/>
    <m/>
    <m/>
    <m/>
    <m/>
    <n v="940000000"/>
    <n v="34600"/>
    <n v="7.5"/>
    <m/>
    <m/>
    <m/>
    <n v="220"/>
    <m/>
    <n v="6"/>
    <n v="5.73"/>
    <n v="3.3"/>
    <n v="1763"/>
    <n v="14300"/>
    <m/>
    <n v="18500"/>
    <n v="81.62"/>
    <n v="700000"/>
    <m/>
    <x v="1"/>
    <m/>
    <x v="1"/>
    <m/>
    <m/>
    <m/>
    <m/>
    <m/>
    <m/>
    <m/>
    <n v="28880"/>
    <m/>
    <m/>
    <m/>
    <n v="20600"/>
    <n v="16800"/>
    <n v="1.33"/>
    <n v="2.6"/>
  </r>
  <r>
    <x v="208"/>
    <n v="1001"/>
    <n v="40.799999999999997"/>
    <x v="113"/>
    <n v="6.68"/>
    <n v="318000000"/>
    <n v="15810000"/>
    <n v="17000000"/>
    <n v="6700000"/>
    <n v="214000000"/>
    <n v="1200"/>
    <n v="6"/>
    <m/>
    <m/>
    <m/>
    <n v="320"/>
    <n v="41000000"/>
    <m/>
    <n v="43.11"/>
    <n v="14"/>
    <n v="1069"/>
    <n v="15000"/>
    <n v="31.5"/>
    <m/>
    <n v="66.989999999999995"/>
    <n v="700000"/>
    <n v="0.8"/>
    <x v="1"/>
    <m/>
    <x v="1"/>
    <m/>
    <m/>
    <n v="700"/>
    <m/>
    <m/>
    <n v="0"/>
    <m/>
    <n v="187410"/>
    <m/>
    <m/>
    <n v="29780000"/>
    <n v="7000"/>
    <n v="4800"/>
    <n v="5.71"/>
    <m/>
  </r>
  <r>
    <x v="209"/>
    <n v="1960582"/>
    <n v="29.56"/>
    <x v="114"/>
    <n v="2.62"/>
    <n v="34350000000"/>
    <n v="128500000000"/>
    <n v="138200000000"/>
    <n v="113000000000"/>
    <n v="310200000000"/>
    <n v="12000"/>
    <n v="5"/>
    <n v="0.01"/>
    <m/>
    <m/>
    <n v="152044"/>
    <n v="36210000000"/>
    <n v="2.8"/>
    <n v="13.24"/>
    <n v="0.8"/>
    <n v="15931"/>
    <n v="1500000"/>
    <n v="17.2"/>
    <n v="6620000"/>
    <n v="75.459999999999994"/>
    <n v="18000000000"/>
    <n v="10"/>
    <x v="80"/>
    <n v="0"/>
    <x v="0"/>
    <n v="56400000000"/>
    <n v="6339000000000"/>
    <n v="1550000"/>
    <n v="7920000"/>
    <n v="0"/>
    <n v="9021000"/>
    <n v="261700000000"/>
    <n v="26417599"/>
    <n v="75"/>
    <n v="1392"/>
    <n v="23620000000"/>
    <n v="3502600"/>
    <n v="7238200"/>
    <n v="4.05"/>
    <n v="25"/>
  </r>
  <r>
    <x v="210"/>
    <n v="196190"/>
    <n v="35.21"/>
    <x v="115"/>
    <n v="10.6"/>
    <n v="3476000000"/>
    <n v="1615000000"/>
    <n v="1737000000"/>
    <n v="1374000000"/>
    <n v="18360000000"/>
    <n v="1700"/>
    <n v="3.2"/>
    <n v="0.8"/>
    <n v="3500"/>
    <n v="44000"/>
    <n v="14576"/>
    <n v="2128000000"/>
    <n v="4.7"/>
    <n v="55.51"/>
    <n v="0.8"/>
    <n v="672"/>
    <n v="225000"/>
    <n v="20.100000000000001"/>
    <n v="4650000"/>
    <n v="56.75"/>
    <n v="107300000"/>
    <n v="1.5"/>
    <x v="63"/>
    <n v="0"/>
    <x v="0"/>
    <n v="50000000"/>
    <m/>
    <n v="31000"/>
    <m/>
    <m/>
    <n v="0"/>
    <m/>
    <n v="11126832"/>
    <n v="55.2"/>
    <n v="906"/>
    <n v="820000000"/>
    <n v="228800"/>
    <n v="575900"/>
    <n v="4.75"/>
    <n v="48"/>
  </r>
  <r>
    <x v="211"/>
    <n v="102350"/>
    <n v="12.12"/>
    <x v="116"/>
    <n v="10.49"/>
    <n v="12970000000"/>
    <n v="32330000000"/>
    <n v="31640000000"/>
    <n v="3245000000"/>
    <n v="26270000000"/>
    <n v="2400"/>
    <n v="6.5"/>
    <n v="0.2"/>
    <n v="100"/>
    <n v="10000"/>
    <n v="45290"/>
    <n v="9538000000"/>
    <n v="1.7"/>
    <n v="12.89"/>
    <n v="8.8000000000000007"/>
    <n v="20207"/>
    <n v="847000"/>
    <n v="14.4"/>
    <n v="3200000"/>
    <n v="74.73"/>
    <n v="654000000"/>
    <m/>
    <x v="81"/>
    <n v="0"/>
    <x v="0"/>
    <n v="602000000"/>
    <n v="24070000000"/>
    <n v="64000"/>
    <m/>
    <m/>
    <n v="15000"/>
    <n v="38750000"/>
    <n v="10829175"/>
    <n v="80"/>
    <n v="4380"/>
    <n v="3550000000"/>
    <n v="2611700"/>
    <n v="3634600"/>
    <n v="1.67"/>
    <n v="30"/>
  </r>
  <r>
    <x v="212"/>
    <n v="455"/>
    <n v="16.22"/>
    <x v="117"/>
    <n v="6.34"/>
    <n v="218100000"/>
    <n v="202800000"/>
    <n v="218000000"/>
    <n v="256200000"/>
    <n v="626000000"/>
    <n v="7800"/>
    <n v="1.5"/>
    <m/>
    <m/>
    <m/>
    <n v="373"/>
    <n v="393400000"/>
    <m/>
    <n v="15.53"/>
    <n v="5"/>
    <n v="264"/>
    <n v="11700"/>
    <n v="39.5"/>
    <n v="30900"/>
    <n v="71.819999999999993"/>
    <n v="12300000"/>
    <n v="1.8"/>
    <x v="1"/>
    <m/>
    <x v="1"/>
    <m/>
    <m/>
    <n v="4000"/>
    <m/>
    <m/>
    <n v="0"/>
    <m/>
    <n v="81188"/>
    <n v="122.8"/>
    <m/>
    <n v="70940000"/>
    <n v="21700"/>
    <n v="54500"/>
    <n v="1.75"/>
    <m/>
  </r>
  <r>
    <x v="213"/>
    <n v="71740"/>
    <n v="42.84"/>
    <x v="0"/>
    <n v="20.61"/>
    <n v="1500000000"/>
    <n v="237400000"/>
    <n v="255300000"/>
    <n v="49000000"/>
    <n v="3335000000"/>
    <n v="600"/>
    <n v="6"/>
    <n v="7"/>
    <n v="11000"/>
    <n v="170000"/>
    <n v="11300"/>
    <n v="264000000"/>
    <m/>
    <n v="143.63999999999999"/>
    <n v="1"/>
    <n v="277"/>
    <n v="8000"/>
    <m/>
    <n v="1369000"/>
    <n v="42.52"/>
    <n v="13200000"/>
    <n v="1.7"/>
    <x v="1"/>
    <m/>
    <x v="1"/>
    <m/>
    <m/>
    <n v="6500"/>
    <m/>
    <m/>
    <n v="0"/>
    <m/>
    <n v="6017643"/>
    <m/>
    <m/>
    <m/>
    <n v="24000"/>
    <n v="67000"/>
    <n v="5.72"/>
    <m/>
  </r>
  <r>
    <x v="214"/>
    <n v="693"/>
    <n v="9.49"/>
    <x v="118"/>
    <n v="4.16"/>
    <n v="19400000000"/>
    <n v="32000000000"/>
    <n v="35330000000"/>
    <n v="174000000000"/>
    <n v="120900000000"/>
    <n v="27800"/>
    <n v="8.1"/>
    <n v="0.2"/>
    <n v="200"/>
    <n v="4100"/>
    <n v="3130"/>
    <n v="155200000000"/>
    <n v="11.1"/>
    <n v="2.29"/>
    <n v="1.7"/>
    <n v="484825"/>
    <n v="2310000"/>
    <n v="27.4"/>
    <n v="2180000"/>
    <n v="81.62"/>
    <n v="4470000000"/>
    <n v="4.9000000000000004"/>
    <x v="82"/>
    <n v="0"/>
    <x v="41"/>
    <n v="0"/>
    <m/>
    <n v="700000"/>
    <m/>
    <m/>
    <n v="0"/>
    <m/>
    <n v="4425720"/>
    <n v="102.5"/>
    <m/>
    <n v="112800000000"/>
    <n v="1896100"/>
    <n v="3521800"/>
    <n v="1.05"/>
    <n v="3.4"/>
  </r>
  <r>
    <x v="215"/>
    <n v="48845"/>
    <n v="10.62"/>
    <x v="119"/>
    <n v="9.43"/>
    <n v="19540000000"/>
    <n v="28890000000"/>
    <n v="31150000000"/>
    <n v="29240000000"/>
    <n v="78890000000"/>
    <n v="14500"/>
    <n v="5.3"/>
    <n v="0.1"/>
    <n v="100"/>
    <n v="200"/>
    <n v="42970"/>
    <n v="29670000000"/>
    <n v="5.0999999999999996"/>
    <n v="7.41"/>
    <n v="7.5"/>
    <n v="89592"/>
    <n v="1375800"/>
    <n v="24"/>
    <n v="2200000"/>
    <n v="74.5"/>
    <n v="406000000"/>
    <n v="1.89"/>
    <x v="83"/>
    <n v="0"/>
    <x v="42"/>
    <n v="190000000"/>
    <n v="7504000000"/>
    <n v="82000"/>
    <m/>
    <m/>
    <n v="1000"/>
    <n v="4500000"/>
    <n v="5431363"/>
    <n v="46.6"/>
    <n v="3661"/>
    <n v="14910000000"/>
    <n v="1294700"/>
    <n v="3678800"/>
    <n v="1.32"/>
    <n v="13.1"/>
  </r>
  <r>
    <x v="216"/>
    <n v="20273"/>
    <n v="8.9499999999999993"/>
    <x v="120"/>
    <n v="10.220000000000001"/>
    <n v="14650000000"/>
    <n v="11800000000"/>
    <n v="12490000000"/>
    <n v="14970000000"/>
    <n v="39410000000"/>
    <n v="19600"/>
    <n v="3.9"/>
    <n v="0.1"/>
    <n v="100"/>
    <n v="280"/>
    <n v="20250"/>
    <n v="16070000000"/>
    <n v="3.9"/>
    <n v="4.45"/>
    <n v="3.3"/>
    <n v="45491"/>
    <n v="750000"/>
    <n v="24.9"/>
    <n v="870000"/>
    <n v="76.14"/>
    <n v="370000000"/>
    <n v="1.7"/>
    <x v="84"/>
    <n v="0"/>
    <x v="43"/>
    <n v="0"/>
    <m/>
    <n v="53300"/>
    <m/>
    <m/>
    <n v="20"/>
    <m/>
    <n v="2011070"/>
    <n v="31.5"/>
    <n v="1201"/>
    <n v="8493000000"/>
    <n v="812300"/>
    <n v="1739100"/>
    <n v="1.24"/>
    <n v="6.4"/>
  </r>
  <r>
    <x v="217"/>
    <n v="28450"/>
    <n v="30.74"/>
    <x v="0"/>
    <n v="3.98"/>
    <n v="180400000"/>
    <n v="29760000"/>
    <n v="32000000"/>
    <n v="74000000"/>
    <n v="800000000"/>
    <n v="1700"/>
    <n v="5.8"/>
    <m/>
    <m/>
    <m/>
    <n v="1360"/>
    <n v="67000000"/>
    <m/>
    <n v="21.29"/>
    <n v="10"/>
    <n v="398"/>
    <n v="2200"/>
    <m/>
    <n v="26840"/>
    <n v="72.66"/>
    <m/>
    <m/>
    <x v="1"/>
    <m/>
    <x v="1"/>
    <m/>
    <m/>
    <n v="1250"/>
    <m/>
    <m/>
    <n v="0"/>
    <m/>
    <n v="538032"/>
    <m/>
    <m/>
    <m/>
    <n v="6600"/>
    <n v="1000"/>
    <n v="4.04"/>
    <m/>
  </r>
  <r>
    <x v="218"/>
    <n v="637657"/>
    <n v="45.62"/>
    <x v="0"/>
    <n v="16.97"/>
    <n v="3000000000"/>
    <n v="223500000"/>
    <n v="240300000"/>
    <n v="79000000"/>
    <n v="4597000000"/>
    <n v="600"/>
    <n v="2.8"/>
    <n v="1"/>
    <m/>
    <n v="43000"/>
    <n v="22100"/>
    <n v="344000000"/>
    <m/>
    <n v="116.7"/>
    <m/>
    <n v="4"/>
    <n v="89000"/>
    <m/>
    <n v="3700000"/>
    <n v="48.09"/>
    <n v="18900000"/>
    <n v="0.9"/>
    <x v="1"/>
    <m/>
    <x v="1"/>
    <m/>
    <n v="2832000000"/>
    <n v="4000"/>
    <m/>
    <m/>
    <n v="0"/>
    <n v="0"/>
    <n v="8591629"/>
    <m/>
    <m/>
    <m/>
    <n v="100000"/>
    <n v="35000"/>
    <n v="6.84"/>
    <m/>
  </r>
  <r>
    <x v="219"/>
    <n v="1219912"/>
    <n v="18.48"/>
    <x v="121"/>
    <n v="21.32"/>
    <n v="27010000000"/>
    <n v="189400000000"/>
    <n v="202600000000"/>
    <n v="41970000000"/>
    <n v="491400000000"/>
    <n v="11100"/>
    <n v="3.5"/>
    <n v="21.5"/>
    <n v="370000"/>
    <n v="5300000"/>
    <n v="275971"/>
    <n v="39420000000"/>
    <n v="5.5"/>
    <n v="61.81"/>
    <n v="4.5"/>
    <n v="288633"/>
    <n v="3100000"/>
    <n v="16.7"/>
    <n v="16630000"/>
    <n v="43.27"/>
    <n v="3172000000"/>
    <n v="1.5"/>
    <x v="85"/>
    <n v="0"/>
    <x v="0"/>
    <n v="1800000000"/>
    <n v="14160000000"/>
    <n v="460000"/>
    <m/>
    <m/>
    <n v="196200"/>
    <n v="7840000"/>
    <n v="44344136"/>
    <n v="45.9"/>
    <n v="22298"/>
    <n v="11680000000"/>
    <n v="4844000"/>
    <n v="16860000"/>
    <n v="2.2400000000000002"/>
    <n v="26.2"/>
  </r>
  <r>
    <x v="220"/>
    <n v="3903"/>
    <m/>
    <x v="0"/>
    <m/>
    <m/>
    <m/>
    <m/>
    <m/>
    <m/>
    <m/>
    <m/>
    <m/>
    <m/>
    <m/>
    <m/>
    <m/>
    <m/>
    <m/>
    <m/>
    <m/>
    <m/>
    <m/>
    <m/>
    <m/>
    <m/>
    <m/>
    <x v="1"/>
    <m/>
    <x v="1"/>
    <m/>
    <m/>
    <m/>
    <m/>
    <m/>
    <m/>
    <m/>
    <m/>
    <m/>
    <m/>
    <m/>
    <m/>
    <m/>
    <m/>
    <m/>
  </r>
  <r>
    <x v="221"/>
    <n v="504782"/>
    <n v="10.1"/>
    <x v="122"/>
    <n v="9.6300000000000008"/>
    <n v="771100000000"/>
    <n v="218400000000"/>
    <n v="229000000000"/>
    <n v="172500000000"/>
    <n v="937600000000"/>
    <n v="23300"/>
    <n v="2.6"/>
    <n v="0.7"/>
    <n v="1000"/>
    <n v="140000"/>
    <n v="664852"/>
    <n v="222000000000"/>
    <n v="3"/>
    <n v="4.42"/>
    <n v="3.2"/>
    <n v="1056950"/>
    <n v="9789000"/>
    <n v="25.4"/>
    <n v="19330000"/>
    <n v="79.52"/>
    <n v="9906500000"/>
    <n v="1.2"/>
    <x v="86"/>
    <n v="0"/>
    <x v="44"/>
    <n v="516000000"/>
    <n v="254900000"/>
    <n v="1497000"/>
    <n v="135100"/>
    <n v="1582000"/>
    <n v="7099"/>
    <n v="10500000"/>
    <n v="40341462"/>
    <n v="53.2"/>
    <n v="14268"/>
    <n v="19700000000"/>
    <n v="17567500"/>
    <n v="37506700"/>
    <n v="1.28"/>
    <n v="10.4"/>
  </r>
  <r>
    <x v="222"/>
    <n v="5"/>
    <m/>
    <x v="0"/>
    <m/>
    <m/>
    <m/>
    <m/>
    <m/>
    <m/>
    <m/>
    <m/>
    <m/>
    <m/>
    <m/>
    <m/>
    <m/>
    <m/>
    <m/>
    <m/>
    <m/>
    <m/>
    <m/>
    <m/>
    <m/>
    <m/>
    <m/>
    <x v="1"/>
    <m/>
    <x v="1"/>
    <m/>
    <m/>
    <m/>
    <m/>
    <m/>
    <m/>
    <m/>
    <m/>
    <m/>
    <m/>
    <m/>
    <m/>
    <m/>
    <m/>
    <m/>
  </r>
  <r>
    <x v="223"/>
    <n v="65610"/>
    <n v="15.63"/>
    <x v="123"/>
    <n v="6.49"/>
    <n v="10850000000"/>
    <n v="6228000000"/>
    <n v="6697000000"/>
    <n v="5306000000"/>
    <n v="80580000000"/>
    <n v="4000"/>
    <n v="5.2"/>
    <n v="0.1"/>
    <n v="200"/>
    <n v="3500"/>
    <n v="11650"/>
    <n v="7265000000"/>
    <n v="7.1"/>
    <n v="14.35"/>
    <n v="5.8"/>
    <n v="1882"/>
    <n v="200000"/>
    <n v="22.4"/>
    <n v="7260000"/>
    <n v="73.17"/>
    <n v="514800000"/>
    <n v="2.6"/>
    <x v="1"/>
    <m/>
    <x v="1"/>
    <m/>
    <m/>
    <n v="75000"/>
    <m/>
    <m/>
    <n v="0"/>
    <m/>
    <n v="20064776"/>
    <n v="104.3"/>
    <n v="1449"/>
    <n v="2475000000"/>
    <n v="881400"/>
    <n v="931600"/>
    <n v="1.85"/>
    <n v="7.8"/>
  </r>
  <r>
    <x v="224"/>
    <n v="2505810"/>
    <n v="35.17"/>
    <x v="124"/>
    <n v="9.16"/>
    <n v="21000000000"/>
    <n v="2400000000"/>
    <n v="2581000000"/>
    <n v="3395000000"/>
    <n v="76190000000"/>
    <n v="1900"/>
    <n v="6.4"/>
    <n v="2.2999999999999998"/>
    <n v="23000"/>
    <n v="400000"/>
    <n v="11900"/>
    <n v="3496000000"/>
    <n v="8.5"/>
    <n v="62.5"/>
    <n v="9"/>
    <m/>
    <n v="300000"/>
    <n v="16"/>
    <n v="11000000"/>
    <n v="58.54"/>
    <n v="587000000"/>
    <n v="3"/>
    <x v="1"/>
    <m/>
    <x v="1"/>
    <m/>
    <n v="99110000000"/>
    <n v="70000"/>
    <n v="275000"/>
    <n v="0"/>
    <n v="345000"/>
    <n v="1600000000"/>
    <n v="40187486"/>
    <n v="79.7"/>
    <n v="5995"/>
    <n v="1652000000"/>
    <n v="900000"/>
    <n v="650000"/>
    <n v="4.8499999999999996"/>
    <n v="18.7"/>
  </r>
  <r>
    <x v="225"/>
    <n v="163270"/>
    <n v="18.39"/>
    <x v="0"/>
    <n v="7.16"/>
    <n v="321000000"/>
    <n v="1845000000"/>
    <n v="1984000000"/>
    <n v="495000000"/>
    <n v="1885000000"/>
    <n v="4300"/>
    <n v="4.2"/>
    <n v="1.7"/>
    <n v="500"/>
    <n v="5200"/>
    <n v="4492"/>
    <n v="604000000"/>
    <n v="6.5"/>
    <n v="23.57"/>
    <n v="23"/>
    <n v="18"/>
    <n v="20000"/>
    <m/>
    <n v="104000"/>
    <n v="68.959999999999994"/>
    <n v="7500000"/>
    <n v="0.7"/>
    <x v="1"/>
    <m/>
    <x v="1"/>
    <m/>
    <n v="0"/>
    <n v="14000"/>
    <n v="1370"/>
    <n v="1644"/>
    <n v="12000"/>
    <n v="99000000"/>
    <n v="438144"/>
    <m/>
    <m/>
    <m/>
    <n v="79800"/>
    <n v="168100"/>
    <n v="2.34"/>
    <n v="17"/>
  </r>
  <r>
    <x v="226"/>
    <n v="62049"/>
    <m/>
    <x v="0"/>
    <m/>
    <m/>
    <m/>
    <m/>
    <m/>
    <m/>
    <m/>
    <m/>
    <n v="0"/>
    <n v="0"/>
    <n v="0"/>
    <m/>
    <m/>
    <m/>
    <m/>
    <m/>
    <m/>
    <m/>
    <m/>
    <m/>
    <m/>
    <m/>
    <m/>
    <x v="1"/>
    <m/>
    <x v="1"/>
    <m/>
    <m/>
    <m/>
    <m/>
    <m/>
    <m/>
    <m/>
    <n v="2701"/>
    <m/>
    <m/>
    <m/>
    <m/>
    <m/>
    <m/>
    <m/>
  </r>
  <r>
    <x v="227"/>
    <n v="17363"/>
    <n v="27.72"/>
    <x v="125"/>
    <n v="25.26"/>
    <n v="320000000"/>
    <n v="1173000000"/>
    <n v="402000000"/>
    <n v="900100000"/>
    <n v="6018000000"/>
    <n v="5100"/>
    <n v="2.5"/>
    <n v="38.799999999999997"/>
    <n v="17000"/>
    <n v="220000"/>
    <n v="3107"/>
    <n v="1140000000"/>
    <n v="3.7"/>
    <n v="69.27"/>
    <n v="5.4"/>
    <n v="1401"/>
    <n v="27000"/>
    <n v="23.6"/>
    <n v="383200"/>
    <n v="35.65"/>
    <n v="40500000"/>
    <n v="1.4"/>
    <x v="1"/>
    <m/>
    <x v="1"/>
    <m/>
    <m/>
    <n v="3500"/>
    <m/>
    <m/>
    <n v="0"/>
    <m/>
    <n v="1173900"/>
    <m/>
    <n v="301"/>
    <n v="320500000"/>
    <n v="46200"/>
    <n v="88000"/>
    <n v="3.7"/>
    <n v="34"/>
  </r>
  <r>
    <x v="228"/>
    <n v="449964"/>
    <n v="10.36"/>
    <x v="126"/>
    <n v="10.36"/>
    <n v="66500000000"/>
    <n v="138100000000"/>
    <n v="142800000000"/>
    <n v="121700000000"/>
    <n v="255400000000"/>
    <n v="28400"/>
    <n v="3.6"/>
    <n v="0.1"/>
    <n v="100"/>
    <n v="3600"/>
    <n v="213237"/>
    <n v="97970000000"/>
    <n v="5.5"/>
    <n v="2.77"/>
    <n v="0.7"/>
    <n v="945221"/>
    <n v="5125000"/>
    <n v="15.8"/>
    <n v="4460000"/>
    <n v="80.400000000000006"/>
    <n v="5729000000"/>
    <n v="1.7"/>
    <x v="87"/>
    <n v="0"/>
    <x v="45"/>
    <n v="0"/>
    <m/>
    <n v="328600"/>
    <n v="203700"/>
    <n v="553100"/>
    <n v="0"/>
    <m/>
    <n v="9001774"/>
    <n v="51.6"/>
    <n v="11481"/>
    <n v="19990000000"/>
    <n v="6579200"/>
    <n v="7949000"/>
    <n v="1.66"/>
    <n v="5.6"/>
  </r>
  <r>
    <x v="229"/>
    <n v="41290"/>
    <n v="9.77"/>
    <x v="127"/>
    <n v="8.48"/>
    <m/>
    <n v="54530000000"/>
    <n v="63470000000"/>
    <n v="130700000000"/>
    <n v="251900000000"/>
    <n v="33800"/>
    <n v="1.8"/>
    <n v="0.4"/>
    <n v="100"/>
    <n v="13000"/>
    <n v="71212"/>
    <n v="121100000000"/>
    <n v="4.7"/>
    <n v="4.3899999999999997"/>
    <n v="0.9"/>
    <n v="667275"/>
    <n v="2556000"/>
    <n v="20.399999999999999"/>
    <n v="3770000"/>
    <n v="80.39"/>
    <n v="2548000000"/>
    <n v="1"/>
    <x v="88"/>
    <n v="0"/>
    <x v="46"/>
    <n v="0"/>
    <m/>
    <n v="290400"/>
    <n v="10420"/>
    <n v="289500"/>
    <n v="0"/>
    <m/>
    <n v="7489370"/>
    <n v="57.2"/>
    <n v="4533"/>
    <n v="69580000000"/>
    <n v="5419000"/>
    <n v="6172000"/>
    <n v="1.42"/>
    <n v="3.4"/>
  </r>
  <r>
    <x v="230"/>
    <n v="185180"/>
    <n v="28.29"/>
    <x v="128"/>
    <n v="4.88"/>
    <n v="4000000000"/>
    <n v="24320000000"/>
    <n v="26150000000"/>
    <n v="6086000000"/>
    <n v="60440000000"/>
    <n v="3400"/>
    <n v="2.2999999999999998"/>
    <n v="0.1"/>
    <n v="200"/>
    <n v="500"/>
    <n v="45697"/>
    <n v="5042000000"/>
    <n v="7"/>
    <n v="29.53"/>
    <n v="2.1"/>
    <n v="11"/>
    <n v="220000"/>
    <n v="16.3"/>
    <n v="5120000"/>
    <n v="70.03"/>
    <n v="858000000"/>
    <n v="5.9"/>
    <x v="89"/>
    <n v="0"/>
    <x v="0"/>
    <n v="5840000000"/>
    <n v="240700000000"/>
    <n v="240000"/>
    <n v="285000"/>
    <m/>
    <n v="525000"/>
    <n v="2500000000"/>
    <n v="18448752"/>
    <n v="32"/>
    <n v="2711"/>
    <n v="5000000000"/>
    <n v="2099300"/>
    <n v="400000"/>
    <n v="3.5"/>
    <n v="20"/>
  </r>
  <r>
    <x v="231"/>
    <n v="35980"/>
    <n v="12.64"/>
    <x v="129"/>
    <n v="6.38"/>
    <n v="55500000000"/>
    <n v="147400000000"/>
    <n v="158500000000"/>
    <n v="170500000000"/>
    <n v="576200000000"/>
    <n v="25300"/>
    <n v="6"/>
    <m/>
    <m/>
    <m/>
    <n v="37299"/>
    <n v="165400000000"/>
    <n v="12.2"/>
    <n v="6.4"/>
    <n v="1.7"/>
    <n v="2777085"/>
    <n v="13800000"/>
    <n v="18"/>
    <n v="10220000"/>
    <n v="77.260000000000005"/>
    <n v="7574000000"/>
    <n v="2.6"/>
    <x v="90"/>
    <n v="410000000"/>
    <x v="47"/>
    <n v="750000000"/>
    <n v="38230000000"/>
    <n v="988000"/>
    <m/>
    <m/>
    <n v="500"/>
    <n v="2900000"/>
    <n v="22894384"/>
    <n v="32.4"/>
    <n v="2508"/>
    <n v="246500000000"/>
    <n v="13355000"/>
    <n v="25089600"/>
    <n v="1.57"/>
    <n v="4.5"/>
  </r>
  <r>
    <x v="232"/>
    <n v="143100"/>
    <n v="32.58"/>
    <x v="130"/>
    <n v="8.39"/>
    <n v="888000000"/>
    <n v="14410000000"/>
    <n v="15080000000"/>
    <n v="1130000000"/>
    <n v="7950000000"/>
    <n v="1100"/>
    <n v="10.5"/>
    <n v="0.1"/>
    <n v="100"/>
    <n v="200"/>
    <n v="27767"/>
    <n v="1300000000"/>
    <n v="8.1999999999999993"/>
    <n v="110.76"/>
    <n v="8"/>
    <n v="69"/>
    <n v="4100"/>
    <n v="22"/>
    <n v="3187000"/>
    <n v="64.56"/>
    <n v="35400000"/>
    <n v="3.9"/>
    <x v="91"/>
    <n v="0"/>
    <x v="48"/>
    <n v="50000000"/>
    <m/>
    <n v="20000"/>
    <m/>
    <m/>
    <n v="250"/>
    <m/>
    <n v="7163506"/>
    <m/>
    <n v="482"/>
    <n v="145300000"/>
    <n v="242100"/>
    <n v="47600"/>
    <n v="4.05"/>
    <n v="40"/>
  </r>
  <r>
    <x v="233"/>
    <n v="945087"/>
    <n v="38.159999999999997"/>
    <x v="131"/>
    <n v="16.71"/>
    <n v="7321000000"/>
    <n v="2566000000"/>
    <n v="2727000000"/>
    <n v="1248000000"/>
    <n v="23710000000"/>
    <n v="700"/>
    <n v="5.8"/>
    <n v="8.8000000000000007"/>
    <n v="160000"/>
    <n v="1600000"/>
    <n v="88200"/>
    <n v="1972000000"/>
    <n v="8.4"/>
    <n v="98.54"/>
    <n v="5.4"/>
    <n v="5534"/>
    <n v="250000"/>
    <n v="16.2"/>
    <n v="19000000"/>
    <n v="45.24"/>
    <n v="20600000"/>
    <n v="0.2"/>
    <x v="1"/>
    <m/>
    <x v="1"/>
    <m/>
    <n v="11330000000"/>
    <n v="17000"/>
    <m/>
    <m/>
    <n v="0"/>
    <n v="0"/>
    <n v="36766356"/>
    <n v="5"/>
    <n v="3690"/>
    <n v="2175000000"/>
    <n v="149100"/>
    <n v="891200"/>
    <n v="5.0599999999999996"/>
    <m/>
  </r>
  <r>
    <x v="234"/>
    <n v="514000"/>
    <n v="15.7"/>
    <x v="132"/>
    <n v="7.02"/>
    <n v="50590000000"/>
    <n v="106100000000"/>
    <n v="118900000000"/>
    <n v="87910000000"/>
    <n v="524800000000"/>
    <n v="8100"/>
    <n v="6.1"/>
    <n v="1.5"/>
    <n v="58000"/>
    <n v="570000"/>
    <n v="57403"/>
    <n v="80840000000"/>
    <n v="8.5"/>
    <n v="20.48"/>
    <n v="2.8"/>
    <n v="103700"/>
    <n v="6971500"/>
    <n v="22.5"/>
    <n v="36430000"/>
    <n v="71.569999999999993"/>
    <n v="1775000000"/>
    <n v="1.8"/>
    <x v="92"/>
    <n v="0"/>
    <x v="49"/>
    <n v="18730000000"/>
    <n v="368200000000"/>
    <n v="785000"/>
    <m/>
    <m/>
    <n v="225000"/>
    <n v="600000000"/>
    <n v="65444371"/>
    <n v="47.6"/>
    <n v="4071"/>
    <n v="48300000000"/>
    <n v="6617400"/>
    <n v="26500000"/>
    <n v="1.88"/>
    <n v="1.5"/>
  </r>
  <r>
    <x v="235"/>
    <n v="56785"/>
    <n v="33.479999999999997"/>
    <x v="133"/>
    <n v="11.8"/>
    <n v="1400000000"/>
    <n v="451200000"/>
    <n v="108800000"/>
    <n v="663100000"/>
    <n v="8684000000"/>
    <n v="1600"/>
    <n v="3"/>
    <n v="4.0999999999999996"/>
    <n v="10000"/>
    <n v="110000"/>
    <n v="7520"/>
    <n v="824900000"/>
    <m/>
    <n v="66.61"/>
    <n v="1"/>
    <n v="82"/>
    <n v="210000"/>
    <n v="19.100000000000001"/>
    <n v="1740000"/>
    <n v="52.64"/>
    <n v="35500000"/>
    <n v="1.9"/>
    <x v="1"/>
    <m/>
    <x v="1"/>
    <m/>
    <m/>
    <n v="10000"/>
    <m/>
    <m/>
    <n v="0"/>
    <m/>
    <n v="5681519"/>
    <m/>
    <n v="568"/>
    <n v="267400000"/>
    <n v="60600"/>
    <n v="220000"/>
    <n v="4.6100000000000003"/>
    <m/>
  </r>
  <r>
    <x v="236"/>
    <n v="10"/>
    <m/>
    <x v="0"/>
    <m/>
    <n v="0"/>
    <m/>
    <m/>
    <n v="98000"/>
    <n v="1500000"/>
    <n v="1000"/>
    <m/>
    <m/>
    <m/>
    <m/>
    <m/>
    <n v="323000"/>
    <m/>
    <m/>
    <m/>
    <m/>
    <m/>
    <m/>
    <m/>
    <m/>
    <m/>
    <m/>
    <x v="1"/>
    <m/>
    <x v="1"/>
    <m/>
    <m/>
    <m/>
    <m/>
    <m/>
    <m/>
    <m/>
    <n v="1405"/>
    <m/>
    <m/>
    <m/>
    <n v="300"/>
    <n v="0"/>
    <m/>
    <m/>
  </r>
  <r>
    <x v="237"/>
    <n v="748"/>
    <n v="25.18"/>
    <x v="0"/>
    <n v="5.35"/>
    <n v="63400000"/>
    <n v="23060000"/>
    <n v="24790000"/>
    <n v="27000000"/>
    <n v="244000000"/>
    <n v="2300"/>
    <n v="1.5"/>
    <m/>
    <m/>
    <m/>
    <n v="680"/>
    <n v="86000000"/>
    <n v="8.6"/>
    <n v="12.62"/>
    <n v="10.3"/>
    <n v="18906"/>
    <n v="2900"/>
    <m/>
    <n v="33910"/>
    <n v="69.53"/>
    <m/>
    <m/>
    <x v="1"/>
    <m/>
    <x v="1"/>
    <m/>
    <m/>
    <n v="1000"/>
    <m/>
    <m/>
    <n v="0"/>
    <m/>
    <n v="112422"/>
    <m/>
    <m/>
    <m/>
    <n v="11200"/>
    <n v="9000"/>
    <n v="3"/>
    <n v="13.3"/>
  </r>
  <r>
    <x v="238"/>
    <n v="5128"/>
    <n v="12.81"/>
    <x v="134"/>
    <n v="9.3699999999999992"/>
    <n v="2940000000"/>
    <n v="5341000000"/>
    <n v="5743000000"/>
    <n v="6671000000"/>
    <n v="11480000000"/>
    <n v="10500"/>
    <n v="5.7"/>
    <n v="3.2"/>
    <n v="1900"/>
    <n v="29000"/>
    <n v="8320"/>
    <n v="4650000000"/>
    <n v="7.2"/>
    <n v="24.31"/>
    <n v="3.3"/>
    <n v="8003"/>
    <n v="138000"/>
    <n v="19.399999999999999"/>
    <n v="590000"/>
    <n v="68.91"/>
    <n v="66700000"/>
    <n v="0.6"/>
    <x v="93"/>
    <n v="11790000000"/>
    <x v="0"/>
    <n v="25000000000"/>
    <n v="589000000000"/>
    <n v="24000"/>
    <m/>
    <m/>
    <n v="140000"/>
    <n v="990000000"/>
    <n v="1088644"/>
    <n v="54.4"/>
    <m/>
    <n v="2927000000"/>
    <n v="325100"/>
    <n v="361900"/>
    <n v="1.75"/>
    <n v="10.4"/>
  </r>
  <r>
    <x v="239"/>
    <n v="1"/>
    <m/>
    <x v="0"/>
    <m/>
    <m/>
    <m/>
    <m/>
    <m/>
    <m/>
    <m/>
    <m/>
    <m/>
    <m/>
    <m/>
    <m/>
    <m/>
    <m/>
    <m/>
    <m/>
    <m/>
    <m/>
    <m/>
    <m/>
    <m/>
    <m/>
    <m/>
    <x v="1"/>
    <m/>
    <x v="1"/>
    <m/>
    <m/>
    <m/>
    <m/>
    <m/>
    <m/>
    <m/>
    <m/>
    <m/>
    <m/>
    <m/>
    <m/>
    <m/>
    <m/>
    <m/>
  </r>
  <r>
    <x v="240"/>
    <n v="163610"/>
    <n v="15.5"/>
    <x v="135"/>
    <n v="5.09"/>
    <n v="14710000000"/>
    <n v="10050000000"/>
    <n v="10720000000"/>
    <n v="9926000000"/>
    <n v="70880000000"/>
    <n v="7100"/>
    <n v="5.0999999999999996"/>
    <n v="0.1"/>
    <n v="200"/>
    <n v="1000"/>
    <n v="18997"/>
    <n v="11520000000"/>
    <n v="4.4000000000000004"/>
    <n v="24.77"/>
    <n v="4.0999999999999996"/>
    <n v="281"/>
    <n v="630000"/>
    <n v="24.5"/>
    <n v="3550000"/>
    <n v="74.89"/>
    <n v="356000000"/>
    <n v="1.5"/>
    <x v="94"/>
    <n v="0"/>
    <x v="50"/>
    <n v="2250000000"/>
    <n v="77160000000"/>
    <n v="87000"/>
    <m/>
    <m/>
    <n v="72580"/>
    <n v="1700000000"/>
    <n v="10074951"/>
    <n v="59.2"/>
    <n v="2152"/>
    <n v="3509000000"/>
    <n v="1163800"/>
    <n v="1899900"/>
    <n v="1.75"/>
    <n v="13.8"/>
  </r>
  <r>
    <x v="241"/>
    <n v="780580"/>
    <n v="16.829999999999998"/>
    <x v="136"/>
    <n v="5.96"/>
    <n v="16900000000"/>
    <n v="117900000000"/>
    <n v="139700000000"/>
    <n v="69460000000"/>
    <n v="508700000000"/>
    <n v="7400"/>
    <n v="8.1999999999999993"/>
    <n v="0.1"/>
    <m/>
    <m/>
    <n v="354421"/>
    <n v="94500000000"/>
    <n v="16.5"/>
    <n v="41.04"/>
    <n v="9.3000000000000007"/>
    <n v="355215"/>
    <n v="5500000"/>
    <n v="17.3"/>
    <n v="25300000"/>
    <n v="72.36"/>
    <n v="12155000000"/>
    <n v="5.3"/>
    <x v="95"/>
    <n v="0"/>
    <x v="51"/>
    <n v="312000000"/>
    <n v="8685000000"/>
    <n v="619500"/>
    <n v="46110"/>
    <n v="616500"/>
    <n v="48000"/>
    <n v="288400000"/>
    <n v="69660559"/>
    <n v="74.3"/>
    <n v="8671"/>
    <n v="37100000000"/>
    <n v="18916700"/>
    <n v="27887500"/>
    <n v="1.94"/>
    <n v="9.3000000000000007"/>
  </r>
  <r>
    <x v="242"/>
    <n v="488100"/>
    <n v="27.68"/>
    <x v="137"/>
    <n v="8.7799999999999994"/>
    <n v="2400000000"/>
    <n v="8908000000"/>
    <n v="11410000000"/>
    <n v="4000000000"/>
    <n v="27600000000"/>
    <n v="5700"/>
    <n v="7.5"/>
    <n v="0.1"/>
    <n v="100"/>
    <n v="200"/>
    <n v="24000"/>
    <n v="2850000000"/>
    <n v="22"/>
    <n v="73.08"/>
    <n v="9"/>
    <n v="524"/>
    <n v="8000"/>
    <n v="29"/>
    <n v="2320000"/>
    <n v="61.39"/>
    <n v="90000000"/>
    <n v="3.4"/>
    <x v="96"/>
    <n v="43500000000"/>
    <x v="0"/>
    <n v="58570000000"/>
    <n v="1430000000000"/>
    <n v="63000"/>
    <m/>
    <m/>
    <n v="162500"/>
    <n v="273000000"/>
    <n v="4952081"/>
    <m/>
    <n v="2440"/>
    <n v="3034000000"/>
    <n v="374000"/>
    <n v="52000"/>
    <n v="3.41"/>
    <n v="60"/>
  </r>
  <r>
    <x v="243"/>
    <n v="430"/>
    <n v="22.23"/>
    <x v="0"/>
    <n v="4.28"/>
    <m/>
    <n v="4650000"/>
    <n v="5000000"/>
    <n v="169200000"/>
    <n v="216000000"/>
    <n v="11500"/>
    <n v="4.9000000000000004"/>
    <m/>
    <m/>
    <m/>
    <n v="121"/>
    <n v="175600000"/>
    <m/>
    <n v="15.67"/>
    <n v="4"/>
    <m/>
    <m/>
    <m/>
    <n v="4848"/>
    <n v="74.510000000000005"/>
    <m/>
    <m/>
    <x v="1"/>
    <m/>
    <x v="1"/>
    <m/>
    <m/>
    <n v="0"/>
    <m/>
    <m/>
    <n v="0"/>
    <m/>
    <n v="20556"/>
    <m/>
    <m/>
    <m/>
    <n v="5700"/>
    <n v="1700"/>
    <n v="3.08"/>
    <n v="10"/>
  </r>
  <r>
    <x v="244"/>
    <n v="26"/>
    <n v="21.91"/>
    <x v="0"/>
    <n v="7.22"/>
    <m/>
    <m/>
    <m/>
    <n v="1000000"/>
    <n v="12200000"/>
    <n v="1100"/>
    <n v="3"/>
    <m/>
    <m/>
    <m/>
    <n v="8"/>
    <n v="79000000"/>
    <m/>
    <n v="20.03"/>
    <n v="5"/>
    <m/>
    <n v="1300"/>
    <m/>
    <n v="7000"/>
    <n v="68.010000000000005"/>
    <m/>
    <m/>
    <x v="1"/>
    <m/>
    <x v="1"/>
    <m/>
    <m/>
    <m/>
    <m/>
    <m/>
    <m/>
    <m/>
    <n v="11636"/>
    <m/>
    <m/>
    <m/>
    <n v="700"/>
    <n v="0"/>
    <n v="3"/>
    <m/>
  </r>
  <r>
    <x v="245"/>
    <n v="236040"/>
    <n v="47.39"/>
    <x v="138"/>
    <n v="12.8"/>
    <n v="3865000000"/>
    <n v="1401000000"/>
    <n v="1775000000"/>
    <n v="621700000"/>
    <n v="39390000000"/>
    <n v="1500"/>
    <n v="5"/>
    <n v="4.0999999999999996"/>
    <n v="78000"/>
    <n v="530000"/>
    <n v="27000"/>
    <n v="1306000000"/>
    <n v="5.6"/>
    <n v="67.83"/>
    <n v="3.5"/>
    <n v="2692"/>
    <n v="125000"/>
    <n v="22.4"/>
    <n v="12410000"/>
    <n v="51.59"/>
    <n v="170300000"/>
    <n v="2.2000000000000002"/>
    <x v="1"/>
    <m/>
    <x v="1"/>
    <m/>
    <m/>
    <n v="8750"/>
    <m/>
    <m/>
    <n v="0"/>
    <m/>
    <n v="27269482"/>
    <n v="73.900000000000006"/>
    <n v="1241"/>
    <n v="1200000000"/>
    <n v="61000"/>
    <n v="776200"/>
    <n v="6.74"/>
    <m/>
  </r>
  <r>
    <x v="246"/>
    <n v="603700"/>
    <n v="10.49"/>
    <x v="139"/>
    <n v="16.420000000000002"/>
    <n v="16370000000"/>
    <n v="132000000000"/>
    <n v="180000000000"/>
    <n v="32910000000"/>
    <n v="299100000000"/>
    <n v="6300"/>
    <n v="12"/>
    <n v="1.4"/>
    <n v="20000"/>
    <n v="360000"/>
    <n v="169679"/>
    <n v="31450000000"/>
    <n v="16.5"/>
    <n v="20.34"/>
    <n v="12"/>
    <n v="94345"/>
    <n v="3800000"/>
    <n v="18.8"/>
    <n v="21110000"/>
    <n v="66.849999999999994"/>
    <n v="617900000"/>
    <n v="1.4"/>
    <x v="97"/>
    <n v="5800000000"/>
    <x v="52"/>
    <n v="19600000000"/>
    <n v="560700000000"/>
    <n v="303000"/>
    <m/>
    <m/>
    <n v="72000"/>
    <n v="395000000"/>
    <n v="47425336"/>
    <n v="24.7"/>
    <n v="22473"/>
    <n v="11330000000"/>
    <n v="10833300"/>
    <n v="4200000"/>
    <n v="1.4"/>
    <n v="3.5"/>
  </r>
  <r>
    <x v="247"/>
    <n v="82880"/>
    <n v="18.78"/>
    <x v="140"/>
    <n v="4.26"/>
    <n v="5900000000"/>
    <n v="36510000000"/>
    <n v="45120000000"/>
    <n v="69480000000"/>
    <n v="63670000000"/>
    <n v="25200"/>
    <n v="5.7"/>
    <n v="0.18"/>
    <m/>
    <m/>
    <n v="1088"/>
    <n v="45660000000"/>
    <n v="4"/>
    <n v="14.51"/>
    <n v="3.2"/>
    <n v="56283"/>
    <n v="1110200"/>
    <n v="20.8"/>
    <n v="2360000"/>
    <n v="75.239999999999995"/>
    <n v="1600000000"/>
    <n v="3.1"/>
    <x v="98"/>
    <n v="7190000000"/>
    <x v="0"/>
    <n v="44400000000"/>
    <n v="6060000000000"/>
    <n v="310000"/>
    <n v="2500000"/>
    <n v="0"/>
    <n v="2335000"/>
    <n v="97800000000"/>
    <n v="2563212"/>
    <n v="17.600000000000001"/>
    <m/>
    <n v="18640000000"/>
    <n v="1135800"/>
    <n v="2972300"/>
    <n v="2.94"/>
    <n v="2.4"/>
  </r>
  <r>
    <x v="248"/>
    <n v="244820"/>
    <n v="10.78"/>
    <x v="141"/>
    <n v="10.18"/>
    <n v="4710000000000"/>
    <n v="337400000000"/>
    <n v="395900000000"/>
    <n v="347200000000"/>
    <n v="1782000000000"/>
    <n v="29600"/>
    <n v="3.2"/>
    <n v="0.2"/>
    <n v="500"/>
    <n v="51000"/>
    <n v="392931"/>
    <n v="439400000000"/>
    <n v="0.9"/>
    <n v="5.16"/>
    <n v="1.4"/>
    <n v="3398708"/>
    <n v="25000000"/>
    <n v="16.2"/>
    <n v="29780000"/>
    <n v="78.38"/>
    <n v="42836500000"/>
    <n v="2.4"/>
    <x v="99"/>
    <n v="15750000000"/>
    <x v="53"/>
    <n v="105900000000"/>
    <n v="714900000000"/>
    <n v="1692000"/>
    <n v="1498000"/>
    <n v="1084000"/>
    <n v="1957000"/>
    <n v="25410000000"/>
    <n v="60441457"/>
    <n v="39.6"/>
    <n v="17186"/>
    <n v="48730000000"/>
    <n v="34898000"/>
    <n v="49677000"/>
    <n v="1.66"/>
    <n v="4.8"/>
  </r>
  <r>
    <x v="249"/>
    <n v="9631418"/>
    <n v="14.14"/>
    <x v="142"/>
    <n v="8.25"/>
    <n v="1400000000000"/>
    <n v="3660000000000"/>
    <n v="3839000000000"/>
    <n v="795000000000"/>
    <n v="11750000000000"/>
    <n v="40100"/>
    <n v="4.4000000000000004"/>
    <n v="0.6"/>
    <n v="14000"/>
    <n v="950000"/>
    <n v="6393603"/>
    <n v="1476000000000"/>
    <n v="4.4000000000000004"/>
    <n v="6.5"/>
    <n v="2.5"/>
    <n v="115311958"/>
    <n v="159000000"/>
    <n v="15.7"/>
    <n v="147400000"/>
    <n v="77.709999999999994"/>
    <n v="370700000000"/>
    <n v="3.3"/>
    <x v="100"/>
    <n v="11160000000"/>
    <x v="54"/>
    <n v="548100000000"/>
    <n v="5195000000000"/>
    <n v="19650000"/>
    <m/>
    <m/>
    <n v="7800000"/>
    <n v="22450000000"/>
    <n v="295734134"/>
    <n v="65"/>
    <n v="228464"/>
    <n v="85940000000"/>
    <n v="181599900"/>
    <n v="158722000"/>
    <n v="2.08"/>
    <n v="5.5"/>
  </r>
  <r>
    <x v="250"/>
    <n v="176220"/>
    <n v="14.09"/>
    <x v="143"/>
    <n v="9.06"/>
    <n v="12800000000"/>
    <n v="5878000000"/>
    <n v="8536000000"/>
    <n v="2200000000"/>
    <n v="49270000000"/>
    <n v="14500"/>
    <n v="10.199999999999999"/>
    <n v="0.3"/>
    <n v="500"/>
    <n v="6000"/>
    <n v="8983"/>
    <n v="2071000000"/>
    <n v="22"/>
    <n v="11.95"/>
    <n v="7.6"/>
    <n v="87630"/>
    <n v="400000"/>
    <n v="9.6"/>
    <n v="1560000"/>
    <n v="76.13"/>
    <n v="257500000"/>
    <n v="2"/>
    <x v="101"/>
    <n v="0"/>
    <x v="55"/>
    <n v="0"/>
    <m/>
    <n v="41500"/>
    <m/>
    <m/>
    <n v="0"/>
    <m/>
    <n v="3415920"/>
    <m/>
    <n v="2073"/>
    <n v="2362000000"/>
    <n v="946500"/>
    <n v="652000"/>
    <n v="1.91"/>
    <n v="13"/>
  </r>
  <r>
    <x v="251"/>
    <n v="447400"/>
    <n v="26.22"/>
    <x v="144"/>
    <n v="7.95"/>
    <n v="4351000000"/>
    <n v="46660000000"/>
    <n v="47700000000"/>
    <n v="3700000000"/>
    <n v="47590000000"/>
    <n v="1800"/>
    <n v="4.4000000000000004"/>
    <n v="0.1"/>
    <n v="500"/>
    <n v="11000"/>
    <n v="81600"/>
    <n v="2820000000"/>
    <n v="6.2"/>
    <n v="71.099999999999994"/>
    <n v="3"/>
    <n v="1040"/>
    <n v="492000"/>
    <m/>
    <n v="14640000"/>
    <n v="64.19"/>
    <n v="200000000"/>
    <n v="2"/>
    <x v="102"/>
    <n v="17900000000"/>
    <x v="0"/>
    <n v="63100000000"/>
    <n v="937300000000"/>
    <n v="142000"/>
    <m/>
    <m/>
    <n v="143300"/>
    <n v="297000000"/>
    <n v="26851195"/>
    <n v="41.5"/>
    <n v="3950"/>
    <n v="1603000000"/>
    <n v="1717100"/>
    <n v="320800"/>
    <n v="2.94"/>
    <n v="0.6"/>
  </r>
  <r>
    <x v="252"/>
    <n v="12200"/>
    <n v="23.06"/>
    <x v="0"/>
    <n v="7.9"/>
    <n v="83700000"/>
    <n v="45030000"/>
    <n v="48420000"/>
    <n v="26600000"/>
    <n v="580000000"/>
    <n v="2900"/>
    <n v="1.1000000000000001"/>
    <m/>
    <m/>
    <m/>
    <n v="1070"/>
    <n v="138000000"/>
    <n v="1"/>
    <n v="55.16"/>
    <n v="3.1"/>
    <n v="512"/>
    <n v="7500"/>
    <m/>
    <m/>
    <n v="62.49"/>
    <m/>
    <m/>
    <x v="1"/>
    <m/>
    <x v="1"/>
    <m/>
    <m/>
    <n v="600"/>
    <m/>
    <m/>
    <n v="0"/>
    <m/>
    <n v="205754"/>
    <m/>
    <m/>
    <m/>
    <n v="6500"/>
    <n v="7800"/>
    <n v="2.77"/>
    <m/>
  </r>
  <r>
    <x v="253"/>
    <n v="912050"/>
    <n v="18.91"/>
    <x v="145"/>
    <n v="4.9000000000000004"/>
    <n v="33290000000"/>
    <n v="89300000000"/>
    <n v="89700000000"/>
    <n v="35840000000"/>
    <n v="145200000000"/>
    <n v="5800"/>
    <n v="16.8"/>
    <n v="0.7"/>
    <n v="4100"/>
    <n v="110000"/>
    <n v="96155"/>
    <n v="14980000000"/>
    <n v="12.3"/>
    <n v="22.2"/>
    <n v="22.4"/>
    <n v="35301"/>
    <n v="1274400"/>
    <n v="12.9"/>
    <n v="12250000"/>
    <n v="74.31"/>
    <n v="1687000000"/>
    <n v="1.5"/>
    <x v="103"/>
    <n v="0"/>
    <x v="0"/>
    <n v="29400000000"/>
    <n v="4190000000000"/>
    <n v="500000"/>
    <n v="2100000"/>
    <m/>
    <n v="2600000"/>
    <n v="78000000000"/>
    <n v="25375281"/>
    <n v="43.1"/>
    <n v="682"/>
    <n v="25750000000"/>
    <n v="2841800"/>
    <n v="6463600"/>
    <n v="2.2599999999999998"/>
    <n v="17.100000000000001"/>
  </r>
  <r>
    <x v="254"/>
    <n v="329560"/>
    <n v="17.07"/>
    <x v="146"/>
    <n v="6.2"/>
    <n v="16550000000"/>
    <n v="32060000000"/>
    <n v="34480000000"/>
    <n v="23720000000"/>
    <n v="227200000000"/>
    <n v="2700"/>
    <n v="7.7"/>
    <n v="0.4"/>
    <n v="9000"/>
    <n v="220000"/>
    <n v="93300"/>
    <n v="26310000000"/>
    <n v="16"/>
    <n v="25.95"/>
    <n v="9.5"/>
    <n v="340"/>
    <n v="3500000"/>
    <n v="36.6"/>
    <n v="42980000"/>
    <n v="70.61"/>
    <n v="650000000"/>
    <n v="2.5"/>
    <x v="91"/>
    <n v="0"/>
    <x v="0"/>
    <n v="1300000000"/>
    <n v="192600000000"/>
    <n v="185000"/>
    <m/>
    <m/>
    <n v="359400"/>
    <n v="650000000"/>
    <n v="83535576"/>
    <n v="65.900000000000006"/>
    <n v="2600"/>
    <n v="6510000000"/>
    <n v="4402000"/>
    <n v="2742000"/>
    <n v="1.94"/>
    <n v="1.9"/>
  </r>
  <r>
    <x v="255"/>
    <n v="352"/>
    <n v="14.2"/>
    <x v="0"/>
    <n v="6.26"/>
    <m/>
    <n v="962600000"/>
    <n v="1035000000"/>
    <m/>
    <n v="2500000000"/>
    <n v="17200"/>
    <n v="2"/>
    <m/>
    <m/>
    <m/>
    <n v="1257"/>
    <m/>
    <m/>
    <n v="8.0299999999999994"/>
    <n v="2.2000000000000002"/>
    <m/>
    <n v="30000"/>
    <m/>
    <n v="48900"/>
    <n v="78.91"/>
    <m/>
    <m/>
    <x v="1"/>
    <m/>
    <x v="1"/>
    <m/>
    <m/>
    <n v="66000"/>
    <m/>
    <m/>
    <n v="0"/>
    <m/>
    <n v="108708"/>
    <m/>
    <m/>
    <m/>
    <n v="69400"/>
    <n v="41000"/>
    <n v="2.19"/>
    <n v="9.3000000000000007"/>
  </r>
  <r>
    <x v="256"/>
    <n v="7"/>
    <m/>
    <x v="0"/>
    <m/>
    <m/>
    <m/>
    <m/>
    <m/>
    <m/>
    <m/>
    <m/>
    <m/>
    <m/>
    <m/>
    <m/>
    <m/>
    <m/>
    <m/>
    <m/>
    <m/>
    <m/>
    <m/>
    <m/>
    <m/>
    <m/>
    <m/>
    <x v="1"/>
    <m/>
    <x v="1"/>
    <m/>
    <m/>
    <m/>
    <m/>
    <m/>
    <m/>
    <m/>
    <m/>
    <m/>
    <m/>
    <m/>
    <m/>
    <m/>
    <m/>
    <m/>
  </r>
  <r>
    <x v="257"/>
    <n v="274"/>
    <m/>
    <x v="0"/>
    <m/>
    <m/>
    <m/>
    <m/>
    <n v="250000"/>
    <n v="60000000"/>
    <n v="3800"/>
    <m/>
    <m/>
    <m/>
    <m/>
    <n v="120"/>
    <n v="300000"/>
    <m/>
    <m/>
    <m/>
    <m/>
    <n v="900"/>
    <m/>
    <m/>
    <m/>
    <m/>
    <m/>
    <x v="1"/>
    <m/>
    <x v="1"/>
    <m/>
    <m/>
    <m/>
    <m/>
    <m/>
    <m/>
    <m/>
    <n v="16025"/>
    <m/>
    <m/>
    <m/>
    <n v="1900"/>
    <n v="0"/>
    <m/>
    <m/>
  </r>
  <r>
    <x v="258"/>
    <n v="5860"/>
    <n v="32.369999999999997"/>
    <x v="0"/>
    <n v="3.99"/>
    <n v="108000000"/>
    <m/>
    <m/>
    <n v="205000000"/>
    <n v="1800000000"/>
    <n v="800"/>
    <n v="6"/>
    <m/>
    <m/>
    <m/>
    <n v="4500"/>
    <n v="1500000000"/>
    <m/>
    <n v="19.62"/>
    <n v="2.2000000000000002"/>
    <m/>
    <n v="145000"/>
    <m/>
    <n v="364000"/>
    <n v="73.08"/>
    <m/>
    <m/>
    <x v="1"/>
    <m/>
    <x v="1"/>
    <m/>
    <m/>
    <m/>
    <m/>
    <m/>
    <m/>
    <m/>
    <n v="2385615"/>
    <m/>
    <m/>
    <m/>
    <n v="301600"/>
    <n v="480000"/>
    <n v="4.4000000000000004"/>
    <n v="27.2"/>
  </r>
  <r>
    <x v="259"/>
    <n v="266000"/>
    <m/>
    <x v="0"/>
    <m/>
    <m/>
    <n v="83700000"/>
    <n v="90000000"/>
    <m/>
    <m/>
    <m/>
    <m/>
    <m/>
    <m/>
    <m/>
    <n v="6200"/>
    <m/>
    <m/>
    <m/>
    <m/>
    <m/>
    <m/>
    <m/>
    <n v="12000"/>
    <m/>
    <m/>
    <m/>
    <x v="1"/>
    <m/>
    <x v="1"/>
    <m/>
    <m/>
    <n v="1800"/>
    <m/>
    <m/>
    <n v="0"/>
    <m/>
    <n v="273008"/>
    <m/>
    <m/>
    <m/>
    <m/>
    <n v="0"/>
    <m/>
    <m/>
  </r>
  <r>
    <x v="260"/>
    <n v="527970"/>
    <n v="43.07"/>
    <x v="147"/>
    <n v="8.5299999999999994"/>
    <n v="5400000000"/>
    <n v="2827000000"/>
    <n v="3040000000"/>
    <n v="4468000000"/>
    <n v="16250000000"/>
    <n v="800"/>
    <n v="1.9"/>
    <n v="0.1"/>
    <m/>
    <n v="12000"/>
    <n v="67000"/>
    <n v="3734000000"/>
    <n v="3"/>
    <n v="61.5"/>
    <n v="12.2"/>
    <n v="138"/>
    <n v="100000"/>
    <n v="16.100000000000001"/>
    <n v="5980000"/>
    <n v="61.75"/>
    <n v="885500000"/>
    <n v="7.8"/>
    <x v="21"/>
    <n v="0"/>
    <x v="0"/>
    <n v="0"/>
    <n v="480000000000"/>
    <n v="78000"/>
    <n v="370300"/>
    <m/>
    <n v="417500"/>
    <n v="4000000000"/>
    <n v="20727063"/>
    <n v="46.4"/>
    <m/>
    <n v="5300000000"/>
    <n v="542200"/>
    <n v="411100"/>
    <n v="6.67"/>
    <n v="35"/>
  </r>
  <r>
    <x v="261"/>
    <n v="752614"/>
    <n v="41.38"/>
    <x v="148"/>
    <n v="20.23"/>
    <n v="5353000000"/>
    <n v="5345000000"/>
    <n v="8167000000"/>
    <n v="1548000000"/>
    <n v="9409000000"/>
    <n v="900"/>
    <n v="4.5999999999999996"/>
    <n v="16.5"/>
    <n v="89000"/>
    <n v="920000"/>
    <n v="91440"/>
    <n v="1519000000"/>
    <n v="6.9"/>
    <n v="88.29"/>
    <n v="18.3"/>
    <n v="1880"/>
    <n v="68200"/>
    <n v="41.4"/>
    <n v="4630000"/>
    <n v="39.700000000000003"/>
    <n v="106800000"/>
    <n v="1.8"/>
    <x v="1"/>
    <m/>
    <x v="1"/>
    <m/>
    <m/>
    <n v="11000"/>
    <m/>
    <m/>
    <n v="0"/>
    <m/>
    <n v="11261795"/>
    <n v="127.5"/>
    <n v="2173"/>
    <n v="345000000"/>
    <n v="88400"/>
    <n v="241000"/>
    <n v="5.47"/>
    <n v="50"/>
  </r>
  <r>
    <x v="262"/>
    <n v="390580"/>
    <n v="29.74"/>
    <x v="149"/>
    <n v="24.66"/>
    <n v="4086000000"/>
    <n v="11220000000"/>
    <n v="8839000000"/>
    <n v="1409000000"/>
    <n v="24370000000"/>
    <n v="1900"/>
    <n v="-8.1999999999999993"/>
    <n v="24.6"/>
    <n v="170000"/>
    <n v="1800000"/>
    <n v="18338"/>
    <n v="1599000000"/>
    <n v="-7.8"/>
    <n v="67.69"/>
    <n v="133"/>
    <n v="4501"/>
    <n v="500000"/>
    <n v="9.9"/>
    <n v="4230000"/>
    <n v="36.67"/>
    <n v="217000000"/>
    <n v="4.3"/>
    <x v="1"/>
    <m/>
    <x v="1"/>
    <m/>
    <m/>
    <n v="23000"/>
    <m/>
    <m/>
    <n v="0"/>
    <m/>
    <n v="12746990"/>
    <n v="52.3"/>
    <n v="3077"/>
    <n v="57000000"/>
    <n v="300900"/>
    <n v="379100"/>
    <n v="3.54"/>
    <n v="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A42543-6E71-484C-A1B6-797E2CD86D15}" name="PivotTable1"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1:C265" firstHeaderRow="0" firstDataRow="1" firstDataCol="1"/>
  <pivotFields count="45">
    <pivotField axis="axisRow" showAll="0">
      <items count="264">
        <item x="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t="default"/>
      </items>
    </pivotField>
    <pivotField showAll="0"/>
    <pivotField showAll="0"/>
    <pivotField dataField="1" showAll="0">
      <items count="151">
        <item x="142"/>
        <item x="6"/>
        <item x="141"/>
        <item x="122"/>
        <item x="69"/>
        <item x="136"/>
        <item x="108"/>
        <item x="54"/>
        <item x="61"/>
        <item x="37"/>
        <item x="90"/>
        <item x="107"/>
        <item x="96"/>
        <item x="110"/>
        <item x="7"/>
        <item x="116"/>
        <item x="8"/>
        <item x="67"/>
        <item x="121"/>
        <item x="80"/>
        <item x="16"/>
        <item x="146"/>
        <item x="34"/>
        <item x="30"/>
        <item x="83"/>
        <item x="119"/>
        <item x="55"/>
        <item x="79"/>
        <item x="45"/>
        <item x="11"/>
        <item x="32"/>
        <item x="42"/>
        <item x="97"/>
        <item x="70"/>
        <item x="124"/>
        <item x="51"/>
        <item x="36"/>
        <item x="138"/>
        <item x="123"/>
        <item x="43"/>
        <item x="62"/>
        <item x="66"/>
        <item x="115"/>
        <item x="1"/>
        <item x="20"/>
        <item x="102"/>
        <item x="46"/>
        <item x="74"/>
        <item x="33"/>
        <item x="131"/>
        <item x="23"/>
        <item x="84"/>
        <item x="56"/>
        <item x="48"/>
        <item x="85"/>
        <item x="88"/>
        <item x="5"/>
        <item x="149"/>
        <item x="112"/>
        <item x="35"/>
        <item x="21"/>
        <item x="148"/>
        <item x="14"/>
        <item x="24"/>
        <item x="91"/>
        <item x="44"/>
        <item x="57"/>
        <item x="133"/>
        <item x="13"/>
        <item x="81"/>
        <item x="93"/>
        <item x="117"/>
        <item x="26"/>
        <item x="77"/>
        <item x="125"/>
        <item x="78"/>
        <item x="22"/>
        <item x="86"/>
        <item x="130"/>
        <item x="120"/>
        <item x="73"/>
        <item x="3"/>
        <item x="104"/>
        <item x="113"/>
        <item x="105"/>
        <item x="58"/>
        <item x="50"/>
        <item x="103"/>
        <item x="135"/>
        <item x="53"/>
        <item x="137"/>
        <item x="143"/>
        <item x="49"/>
        <item x="72"/>
        <item x="68"/>
        <item x="10"/>
        <item x="94"/>
        <item x="59"/>
        <item x="40"/>
        <item x="31"/>
        <item x="15"/>
        <item x="89"/>
        <item x="27"/>
        <item x="17"/>
        <item x="147"/>
        <item x="144"/>
        <item x="9"/>
        <item x="19"/>
        <item x="39"/>
        <item x="92"/>
        <item x="128"/>
        <item x="101"/>
        <item x="134"/>
        <item x="65"/>
        <item x="41"/>
        <item x="28"/>
        <item x="100"/>
        <item x="106"/>
        <item x="139"/>
        <item x="63"/>
        <item x="109"/>
        <item x="98"/>
        <item x="4"/>
        <item x="140"/>
        <item x="38"/>
        <item x="132"/>
        <item x="64"/>
        <item x="18"/>
        <item x="118"/>
        <item x="82"/>
        <item x="47"/>
        <item x="12"/>
        <item x="87"/>
        <item x="2"/>
        <item x="76"/>
        <item x="145"/>
        <item x="60"/>
        <item x="95"/>
        <item x="129"/>
        <item x="126"/>
        <item x="75"/>
        <item x="25"/>
        <item x="29"/>
        <item x="99"/>
        <item x="127"/>
        <item x="111"/>
        <item x="114"/>
        <item x="52"/>
        <item x="71"/>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t="grand">
      <x/>
    </i>
  </rowItems>
  <colFields count="1">
    <field x="-2"/>
  </colFields>
  <colItems count="2">
    <i>
      <x/>
    </i>
    <i i="1">
      <x v="1"/>
    </i>
  </colItems>
  <dataFields count="2">
    <dataField name="Sum of Current account balance" fld="3" baseField="0" baseItem="0" numFmtId="164"/>
    <dataField name="Sum of Debt - external" fld="5" baseField="0" baseItem="0"/>
  </dataField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E3641C-504A-4039-9D0D-89C779900286}" name="PivotTable2"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D265" firstHeaderRow="0" firstDataRow="1" firstDataCol="1"/>
  <pivotFields count="45">
    <pivotField axis="axisRow" showAll="0">
      <items count="264">
        <item x="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t="grand">
      <x/>
    </i>
  </rowItems>
  <colFields count="1">
    <field x="-2"/>
  </colFields>
  <colItems count="3">
    <i>
      <x/>
    </i>
    <i i="1">
      <x v="1"/>
    </i>
    <i i="2">
      <x v="2"/>
    </i>
  </colItems>
  <dataFields count="3">
    <dataField name="Sum of GDP - real growth rate(%)" fld="11" baseField="0" baseItem="0"/>
    <dataField name="Sum of GDP - per capita" fld="10" baseField="0" baseItem="0" numFmtId="164"/>
    <dataField name="Sum of GDP" fld="9" baseField="0" baseItem="0" numFmtId="164"/>
  </dataField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415520-A0D4-487D-B140-D2440B71C9AC}" name="PivotTable4"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F265" firstHeaderRow="0" firstDataRow="1" firstDataCol="1"/>
  <pivotFields count="45">
    <pivotField axis="axisRow" showAll="0">
      <items count="264">
        <item x="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t="grand">
      <x/>
    </i>
  </rowItems>
  <colFields count="1">
    <field x="-2"/>
  </colFields>
  <colItems count="5">
    <i>
      <x/>
    </i>
    <i i="1">
      <x v="1"/>
    </i>
    <i i="2">
      <x v="2"/>
    </i>
    <i i="3">
      <x v="3"/>
    </i>
    <i i="4">
      <x v="4"/>
    </i>
  </colItems>
  <dataFields count="5">
    <dataField name="Sum of Natural gas - consumption(cu m)" fld="27" baseField="0" baseItem="0" numFmtId="1"/>
    <dataField name="Sum of Natural gas - exports(cu m)" fld="28" baseField="0" baseItem="0"/>
    <dataField name="Sum of Natural gas - imports(cu m)" fld="29" baseField="0" baseItem="0"/>
    <dataField name="Sum of Natural gas - production(cu m)" fld="30" baseField="0" baseItem="0"/>
    <dataField name="Sum of Natural gas - proved reserves(cu m)" fld="31"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 chart="2" format="12" series="1">
      <pivotArea type="data" outline="0" fieldPosition="0">
        <references count="1">
          <reference field="4294967294" count="1" selected="0">
            <x v="2"/>
          </reference>
        </references>
      </pivotArea>
    </chartFormat>
    <chartFormat chart="2" format="13" series="1">
      <pivotArea type="data" outline="0" fieldPosition="0">
        <references count="1">
          <reference field="4294967294" count="1" selected="0">
            <x v="3"/>
          </reference>
        </references>
      </pivotArea>
    </chartFormat>
    <chartFormat chart="2" format="14" series="1">
      <pivotArea type="data" outline="0" fieldPosition="0">
        <references count="1">
          <reference field="4294967294" count="1" selected="0">
            <x v="4"/>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1C4B26-B899-4FA1-9A1F-AA60DD6A07CE}" name="PivotTable5"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C265" firstHeaderRow="0" firstDataRow="1" firstDataCol="1"/>
  <pivotFields count="45">
    <pivotField axis="axisRow" showAll="0">
      <items count="264">
        <item x="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t="grand">
      <x/>
    </i>
  </rowItems>
  <colFields count="1">
    <field x="-2"/>
  </colFields>
  <colItems count="2">
    <i>
      <x/>
    </i>
    <i i="1">
      <x v="1"/>
    </i>
  </colItems>
  <dataFields count="2">
    <dataField name="Sum of Internet hosts" fld="20" baseField="0" baseItem="0"/>
    <dataField name="Sum of Internet users" fld="21" baseField="0" baseItem="0"/>
  </dataFields>
  <chartFormats count="53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530" series="1">
      <pivotArea type="data" outline="0" fieldPosition="0">
        <references count="1">
          <reference field="4294967294" count="1" selected="0">
            <x v="0"/>
          </reference>
        </references>
      </pivotArea>
    </chartFormat>
    <chartFormat chart="2" format="531">
      <pivotArea type="data" outline="0" fieldPosition="0">
        <references count="2">
          <reference field="4294967294" count="1" selected="0">
            <x v="0"/>
          </reference>
          <reference field="0" count="1" selected="0">
            <x v="0"/>
          </reference>
        </references>
      </pivotArea>
    </chartFormat>
    <chartFormat chart="2" format="532">
      <pivotArea type="data" outline="0" fieldPosition="0">
        <references count="2">
          <reference field="4294967294" count="1" selected="0">
            <x v="0"/>
          </reference>
          <reference field="0" count="1" selected="0">
            <x v="1"/>
          </reference>
        </references>
      </pivotArea>
    </chartFormat>
    <chartFormat chart="2" format="533">
      <pivotArea type="data" outline="0" fieldPosition="0">
        <references count="2">
          <reference field="4294967294" count="1" selected="0">
            <x v="0"/>
          </reference>
          <reference field="0" count="1" selected="0">
            <x v="2"/>
          </reference>
        </references>
      </pivotArea>
    </chartFormat>
    <chartFormat chart="2" format="534">
      <pivotArea type="data" outline="0" fieldPosition="0">
        <references count="2">
          <reference field="4294967294" count="1" selected="0">
            <x v="0"/>
          </reference>
          <reference field="0" count="1" selected="0">
            <x v="3"/>
          </reference>
        </references>
      </pivotArea>
    </chartFormat>
    <chartFormat chart="2" format="535">
      <pivotArea type="data" outline="0" fieldPosition="0">
        <references count="2">
          <reference field="4294967294" count="1" selected="0">
            <x v="0"/>
          </reference>
          <reference field="0" count="1" selected="0">
            <x v="4"/>
          </reference>
        </references>
      </pivotArea>
    </chartFormat>
    <chartFormat chart="2" format="536">
      <pivotArea type="data" outline="0" fieldPosition="0">
        <references count="2">
          <reference field="4294967294" count="1" selected="0">
            <x v="0"/>
          </reference>
          <reference field="0" count="1" selected="0">
            <x v="5"/>
          </reference>
        </references>
      </pivotArea>
    </chartFormat>
    <chartFormat chart="2" format="537">
      <pivotArea type="data" outline="0" fieldPosition="0">
        <references count="2">
          <reference field="4294967294" count="1" selected="0">
            <x v="0"/>
          </reference>
          <reference field="0" count="1" selected="0">
            <x v="6"/>
          </reference>
        </references>
      </pivotArea>
    </chartFormat>
    <chartFormat chart="2" format="538">
      <pivotArea type="data" outline="0" fieldPosition="0">
        <references count="2">
          <reference field="4294967294" count="1" selected="0">
            <x v="0"/>
          </reference>
          <reference field="0" count="1" selected="0">
            <x v="7"/>
          </reference>
        </references>
      </pivotArea>
    </chartFormat>
    <chartFormat chart="2" format="539">
      <pivotArea type="data" outline="0" fieldPosition="0">
        <references count="2">
          <reference field="4294967294" count="1" selected="0">
            <x v="0"/>
          </reference>
          <reference field="0" count="1" selected="0">
            <x v="8"/>
          </reference>
        </references>
      </pivotArea>
    </chartFormat>
    <chartFormat chart="2" format="540">
      <pivotArea type="data" outline="0" fieldPosition="0">
        <references count="2">
          <reference field="4294967294" count="1" selected="0">
            <x v="0"/>
          </reference>
          <reference field="0" count="1" selected="0">
            <x v="9"/>
          </reference>
        </references>
      </pivotArea>
    </chartFormat>
    <chartFormat chart="2" format="541">
      <pivotArea type="data" outline="0" fieldPosition="0">
        <references count="2">
          <reference field="4294967294" count="1" selected="0">
            <x v="0"/>
          </reference>
          <reference field="0" count="1" selected="0">
            <x v="10"/>
          </reference>
        </references>
      </pivotArea>
    </chartFormat>
    <chartFormat chart="2" format="542">
      <pivotArea type="data" outline="0" fieldPosition="0">
        <references count="2">
          <reference field="4294967294" count="1" selected="0">
            <x v="0"/>
          </reference>
          <reference field="0" count="1" selected="0">
            <x v="11"/>
          </reference>
        </references>
      </pivotArea>
    </chartFormat>
    <chartFormat chart="2" format="543">
      <pivotArea type="data" outline="0" fieldPosition="0">
        <references count="2">
          <reference field="4294967294" count="1" selected="0">
            <x v="0"/>
          </reference>
          <reference field="0" count="1" selected="0">
            <x v="12"/>
          </reference>
        </references>
      </pivotArea>
    </chartFormat>
    <chartFormat chart="2" format="544">
      <pivotArea type="data" outline="0" fieldPosition="0">
        <references count="2">
          <reference field="4294967294" count="1" selected="0">
            <x v="0"/>
          </reference>
          <reference field="0" count="1" selected="0">
            <x v="13"/>
          </reference>
        </references>
      </pivotArea>
    </chartFormat>
    <chartFormat chart="2" format="545">
      <pivotArea type="data" outline="0" fieldPosition="0">
        <references count="2">
          <reference field="4294967294" count="1" selected="0">
            <x v="0"/>
          </reference>
          <reference field="0" count="1" selected="0">
            <x v="14"/>
          </reference>
        </references>
      </pivotArea>
    </chartFormat>
    <chartFormat chart="2" format="546">
      <pivotArea type="data" outline="0" fieldPosition="0">
        <references count="2">
          <reference field="4294967294" count="1" selected="0">
            <x v="0"/>
          </reference>
          <reference field="0" count="1" selected="0">
            <x v="15"/>
          </reference>
        </references>
      </pivotArea>
    </chartFormat>
    <chartFormat chart="2" format="547">
      <pivotArea type="data" outline="0" fieldPosition="0">
        <references count="2">
          <reference field="4294967294" count="1" selected="0">
            <x v="0"/>
          </reference>
          <reference field="0" count="1" selected="0">
            <x v="16"/>
          </reference>
        </references>
      </pivotArea>
    </chartFormat>
    <chartFormat chart="2" format="548">
      <pivotArea type="data" outline="0" fieldPosition="0">
        <references count="2">
          <reference field="4294967294" count="1" selected="0">
            <x v="0"/>
          </reference>
          <reference field="0" count="1" selected="0">
            <x v="17"/>
          </reference>
        </references>
      </pivotArea>
    </chartFormat>
    <chartFormat chart="2" format="549">
      <pivotArea type="data" outline="0" fieldPosition="0">
        <references count="2">
          <reference field="4294967294" count="1" selected="0">
            <x v="0"/>
          </reference>
          <reference field="0" count="1" selected="0">
            <x v="18"/>
          </reference>
        </references>
      </pivotArea>
    </chartFormat>
    <chartFormat chart="2" format="550">
      <pivotArea type="data" outline="0" fieldPosition="0">
        <references count="2">
          <reference field="4294967294" count="1" selected="0">
            <x v="0"/>
          </reference>
          <reference field="0" count="1" selected="0">
            <x v="19"/>
          </reference>
        </references>
      </pivotArea>
    </chartFormat>
    <chartFormat chart="2" format="551">
      <pivotArea type="data" outline="0" fieldPosition="0">
        <references count="2">
          <reference field="4294967294" count="1" selected="0">
            <x v="0"/>
          </reference>
          <reference field="0" count="1" selected="0">
            <x v="20"/>
          </reference>
        </references>
      </pivotArea>
    </chartFormat>
    <chartFormat chart="2" format="552">
      <pivotArea type="data" outline="0" fieldPosition="0">
        <references count="2">
          <reference field="4294967294" count="1" selected="0">
            <x v="0"/>
          </reference>
          <reference field="0" count="1" selected="0">
            <x v="21"/>
          </reference>
        </references>
      </pivotArea>
    </chartFormat>
    <chartFormat chart="2" format="553">
      <pivotArea type="data" outline="0" fieldPosition="0">
        <references count="2">
          <reference field="4294967294" count="1" selected="0">
            <x v="0"/>
          </reference>
          <reference field="0" count="1" selected="0">
            <x v="22"/>
          </reference>
        </references>
      </pivotArea>
    </chartFormat>
    <chartFormat chart="2" format="554">
      <pivotArea type="data" outline="0" fieldPosition="0">
        <references count="2">
          <reference field="4294967294" count="1" selected="0">
            <x v="0"/>
          </reference>
          <reference field="0" count="1" selected="0">
            <x v="23"/>
          </reference>
        </references>
      </pivotArea>
    </chartFormat>
    <chartFormat chart="2" format="555">
      <pivotArea type="data" outline="0" fieldPosition="0">
        <references count="2">
          <reference field="4294967294" count="1" selected="0">
            <x v="0"/>
          </reference>
          <reference field="0" count="1" selected="0">
            <x v="24"/>
          </reference>
        </references>
      </pivotArea>
    </chartFormat>
    <chartFormat chart="2" format="556">
      <pivotArea type="data" outline="0" fieldPosition="0">
        <references count="2">
          <reference field="4294967294" count="1" selected="0">
            <x v="0"/>
          </reference>
          <reference field="0" count="1" selected="0">
            <x v="25"/>
          </reference>
        </references>
      </pivotArea>
    </chartFormat>
    <chartFormat chart="2" format="557">
      <pivotArea type="data" outline="0" fieldPosition="0">
        <references count="2">
          <reference field="4294967294" count="1" selected="0">
            <x v="0"/>
          </reference>
          <reference field="0" count="1" selected="0">
            <x v="26"/>
          </reference>
        </references>
      </pivotArea>
    </chartFormat>
    <chartFormat chart="2" format="558">
      <pivotArea type="data" outline="0" fieldPosition="0">
        <references count="2">
          <reference field="4294967294" count="1" selected="0">
            <x v="0"/>
          </reference>
          <reference field="0" count="1" selected="0">
            <x v="27"/>
          </reference>
        </references>
      </pivotArea>
    </chartFormat>
    <chartFormat chart="2" format="559">
      <pivotArea type="data" outline="0" fieldPosition="0">
        <references count="2">
          <reference field="4294967294" count="1" selected="0">
            <x v="0"/>
          </reference>
          <reference field="0" count="1" selected="0">
            <x v="28"/>
          </reference>
        </references>
      </pivotArea>
    </chartFormat>
    <chartFormat chart="2" format="560">
      <pivotArea type="data" outline="0" fieldPosition="0">
        <references count="2">
          <reference field="4294967294" count="1" selected="0">
            <x v="0"/>
          </reference>
          <reference field="0" count="1" selected="0">
            <x v="29"/>
          </reference>
        </references>
      </pivotArea>
    </chartFormat>
    <chartFormat chart="2" format="561">
      <pivotArea type="data" outline="0" fieldPosition="0">
        <references count="2">
          <reference field="4294967294" count="1" selected="0">
            <x v="0"/>
          </reference>
          <reference field="0" count="1" selected="0">
            <x v="30"/>
          </reference>
        </references>
      </pivotArea>
    </chartFormat>
    <chartFormat chart="2" format="562">
      <pivotArea type="data" outline="0" fieldPosition="0">
        <references count="2">
          <reference field="4294967294" count="1" selected="0">
            <x v="0"/>
          </reference>
          <reference field="0" count="1" selected="0">
            <x v="31"/>
          </reference>
        </references>
      </pivotArea>
    </chartFormat>
    <chartFormat chart="2" format="563">
      <pivotArea type="data" outline="0" fieldPosition="0">
        <references count="2">
          <reference field="4294967294" count="1" selected="0">
            <x v="0"/>
          </reference>
          <reference field="0" count="1" selected="0">
            <x v="32"/>
          </reference>
        </references>
      </pivotArea>
    </chartFormat>
    <chartFormat chart="2" format="564">
      <pivotArea type="data" outline="0" fieldPosition="0">
        <references count="2">
          <reference field="4294967294" count="1" selected="0">
            <x v="0"/>
          </reference>
          <reference field="0" count="1" selected="0">
            <x v="33"/>
          </reference>
        </references>
      </pivotArea>
    </chartFormat>
    <chartFormat chart="2" format="565">
      <pivotArea type="data" outline="0" fieldPosition="0">
        <references count="2">
          <reference field="4294967294" count="1" selected="0">
            <x v="0"/>
          </reference>
          <reference field="0" count="1" selected="0">
            <x v="34"/>
          </reference>
        </references>
      </pivotArea>
    </chartFormat>
    <chartFormat chart="2" format="566">
      <pivotArea type="data" outline="0" fieldPosition="0">
        <references count="2">
          <reference field="4294967294" count="1" selected="0">
            <x v="0"/>
          </reference>
          <reference field="0" count="1" selected="0">
            <x v="35"/>
          </reference>
        </references>
      </pivotArea>
    </chartFormat>
    <chartFormat chart="2" format="567">
      <pivotArea type="data" outline="0" fieldPosition="0">
        <references count="2">
          <reference field="4294967294" count="1" selected="0">
            <x v="0"/>
          </reference>
          <reference field="0" count="1" selected="0">
            <x v="36"/>
          </reference>
        </references>
      </pivotArea>
    </chartFormat>
    <chartFormat chart="2" format="568">
      <pivotArea type="data" outline="0" fieldPosition="0">
        <references count="2">
          <reference field="4294967294" count="1" selected="0">
            <x v="0"/>
          </reference>
          <reference field="0" count="1" selected="0">
            <x v="37"/>
          </reference>
        </references>
      </pivotArea>
    </chartFormat>
    <chartFormat chart="2" format="569">
      <pivotArea type="data" outline="0" fieldPosition="0">
        <references count="2">
          <reference field="4294967294" count="1" selected="0">
            <x v="0"/>
          </reference>
          <reference field="0" count="1" selected="0">
            <x v="38"/>
          </reference>
        </references>
      </pivotArea>
    </chartFormat>
    <chartFormat chart="2" format="570">
      <pivotArea type="data" outline="0" fieldPosition="0">
        <references count="2">
          <reference field="4294967294" count="1" selected="0">
            <x v="0"/>
          </reference>
          <reference field="0" count="1" selected="0">
            <x v="39"/>
          </reference>
        </references>
      </pivotArea>
    </chartFormat>
    <chartFormat chart="2" format="571">
      <pivotArea type="data" outline="0" fieldPosition="0">
        <references count="2">
          <reference field="4294967294" count="1" selected="0">
            <x v="0"/>
          </reference>
          <reference field="0" count="1" selected="0">
            <x v="40"/>
          </reference>
        </references>
      </pivotArea>
    </chartFormat>
    <chartFormat chart="2" format="572">
      <pivotArea type="data" outline="0" fieldPosition="0">
        <references count="2">
          <reference field="4294967294" count="1" selected="0">
            <x v="0"/>
          </reference>
          <reference field="0" count="1" selected="0">
            <x v="41"/>
          </reference>
        </references>
      </pivotArea>
    </chartFormat>
    <chartFormat chart="2" format="573">
      <pivotArea type="data" outline="0" fieldPosition="0">
        <references count="2">
          <reference field="4294967294" count="1" selected="0">
            <x v="0"/>
          </reference>
          <reference field="0" count="1" selected="0">
            <x v="42"/>
          </reference>
        </references>
      </pivotArea>
    </chartFormat>
    <chartFormat chart="2" format="574">
      <pivotArea type="data" outline="0" fieldPosition="0">
        <references count="2">
          <reference field="4294967294" count="1" selected="0">
            <x v="0"/>
          </reference>
          <reference field="0" count="1" selected="0">
            <x v="43"/>
          </reference>
        </references>
      </pivotArea>
    </chartFormat>
    <chartFormat chart="2" format="575">
      <pivotArea type="data" outline="0" fieldPosition="0">
        <references count="2">
          <reference field="4294967294" count="1" selected="0">
            <x v="0"/>
          </reference>
          <reference field="0" count="1" selected="0">
            <x v="44"/>
          </reference>
        </references>
      </pivotArea>
    </chartFormat>
    <chartFormat chart="2" format="576">
      <pivotArea type="data" outline="0" fieldPosition="0">
        <references count="2">
          <reference field="4294967294" count="1" selected="0">
            <x v="0"/>
          </reference>
          <reference field="0" count="1" selected="0">
            <x v="45"/>
          </reference>
        </references>
      </pivotArea>
    </chartFormat>
    <chartFormat chart="2" format="577">
      <pivotArea type="data" outline="0" fieldPosition="0">
        <references count="2">
          <reference field="4294967294" count="1" selected="0">
            <x v="0"/>
          </reference>
          <reference field="0" count="1" selected="0">
            <x v="46"/>
          </reference>
        </references>
      </pivotArea>
    </chartFormat>
    <chartFormat chart="2" format="578">
      <pivotArea type="data" outline="0" fieldPosition="0">
        <references count="2">
          <reference field="4294967294" count="1" selected="0">
            <x v="0"/>
          </reference>
          <reference field="0" count="1" selected="0">
            <x v="47"/>
          </reference>
        </references>
      </pivotArea>
    </chartFormat>
    <chartFormat chart="2" format="579">
      <pivotArea type="data" outline="0" fieldPosition="0">
        <references count="2">
          <reference field="4294967294" count="1" selected="0">
            <x v="0"/>
          </reference>
          <reference field="0" count="1" selected="0">
            <x v="48"/>
          </reference>
        </references>
      </pivotArea>
    </chartFormat>
    <chartFormat chart="2" format="580">
      <pivotArea type="data" outline="0" fieldPosition="0">
        <references count="2">
          <reference field="4294967294" count="1" selected="0">
            <x v="0"/>
          </reference>
          <reference field="0" count="1" selected="0">
            <x v="49"/>
          </reference>
        </references>
      </pivotArea>
    </chartFormat>
    <chartFormat chart="2" format="581">
      <pivotArea type="data" outline="0" fieldPosition="0">
        <references count="2">
          <reference field="4294967294" count="1" selected="0">
            <x v="0"/>
          </reference>
          <reference field="0" count="1" selected="0">
            <x v="50"/>
          </reference>
        </references>
      </pivotArea>
    </chartFormat>
    <chartFormat chart="2" format="582">
      <pivotArea type="data" outline="0" fieldPosition="0">
        <references count="2">
          <reference field="4294967294" count="1" selected="0">
            <x v="0"/>
          </reference>
          <reference field="0" count="1" selected="0">
            <x v="51"/>
          </reference>
        </references>
      </pivotArea>
    </chartFormat>
    <chartFormat chart="2" format="583">
      <pivotArea type="data" outline="0" fieldPosition="0">
        <references count="2">
          <reference field="4294967294" count="1" selected="0">
            <x v="0"/>
          </reference>
          <reference field="0" count="1" selected="0">
            <x v="52"/>
          </reference>
        </references>
      </pivotArea>
    </chartFormat>
    <chartFormat chart="2" format="584">
      <pivotArea type="data" outline="0" fieldPosition="0">
        <references count="2">
          <reference field="4294967294" count="1" selected="0">
            <x v="0"/>
          </reference>
          <reference field="0" count="1" selected="0">
            <x v="53"/>
          </reference>
        </references>
      </pivotArea>
    </chartFormat>
    <chartFormat chart="2" format="585">
      <pivotArea type="data" outline="0" fieldPosition="0">
        <references count="2">
          <reference field="4294967294" count="1" selected="0">
            <x v="0"/>
          </reference>
          <reference field="0" count="1" selected="0">
            <x v="54"/>
          </reference>
        </references>
      </pivotArea>
    </chartFormat>
    <chartFormat chart="2" format="586">
      <pivotArea type="data" outline="0" fieldPosition="0">
        <references count="2">
          <reference field="4294967294" count="1" selected="0">
            <x v="0"/>
          </reference>
          <reference field="0" count="1" selected="0">
            <x v="55"/>
          </reference>
        </references>
      </pivotArea>
    </chartFormat>
    <chartFormat chart="2" format="587">
      <pivotArea type="data" outline="0" fieldPosition="0">
        <references count="2">
          <reference field="4294967294" count="1" selected="0">
            <x v="0"/>
          </reference>
          <reference field="0" count="1" selected="0">
            <x v="56"/>
          </reference>
        </references>
      </pivotArea>
    </chartFormat>
    <chartFormat chart="2" format="588">
      <pivotArea type="data" outline="0" fieldPosition="0">
        <references count="2">
          <reference field="4294967294" count="1" selected="0">
            <x v="0"/>
          </reference>
          <reference field="0" count="1" selected="0">
            <x v="57"/>
          </reference>
        </references>
      </pivotArea>
    </chartFormat>
    <chartFormat chart="2" format="589">
      <pivotArea type="data" outline="0" fieldPosition="0">
        <references count="2">
          <reference field="4294967294" count="1" selected="0">
            <x v="0"/>
          </reference>
          <reference field="0" count="1" selected="0">
            <x v="58"/>
          </reference>
        </references>
      </pivotArea>
    </chartFormat>
    <chartFormat chart="2" format="590">
      <pivotArea type="data" outline="0" fieldPosition="0">
        <references count="2">
          <reference field="4294967294" count="1" selected="0">
            <x v="0"/>
          </reference>
          <reference field="0" count="1" selected="0">
            <x v="59"/>
          </reference>
        </references>
      </pivotArea>
    </chartFormat>
    <chartFormat chart="2" format="591">
      <pivotArea type="data" outline="0" fieldPosition="0">
        <references count="2">
          <reference field="4294967294" count="1" selected="0">
            <x v="0"/>
          </reference>
          <reference field="0" count="1" selected="0">
            <x v="60"/>
          </reference>
        </references>
      </pivotArea>
    </chartFormat>
    <chartFormat chart="2" format="592">
      <pivotArea type="data" outline="0" fieldPosition="0">
        <references count="2">
          <reference field="4294967294" count="1" selected="0">
            <x v="0"/>
          </reference>
          <reference field="0" count="1" selected="0">
            <x v="61"/>
          </reference>
        </references>
      </pivotArea>
    </chartFormat>
    <chartFormat chart="2" format="593">
      <pivotArea type="data" outline="0" fieldPosition="0">
        <references count="2">
          <reference field="4294967294" count="1" selected="0">
            <x v="0"/>
          </reference>
          <reference field="0" count="1" selected="0">
            <x v="62"/>
          </reference>
        </references>
      </pivotArea>
    </chartFormat>
    <chartFormat chart="2" format="594">
      <pivotArea type="data" outline="0" fieldPosition="0">
        <references count="2">
          <reference field="4294967294" count="1" selected="0">
            <x v="0"/>
          </reference>
          <reference field="0" count="1" selected="0">
            <x v="63"/>
          </reference>
        </references>
      </pivotArea>
    </chartFormat>
    <chartFormat chart="2" format="595">
      <pivotArea type="data" outline="0" fieldPosition="0">
        <references count="2">
          <reference field="4294967294" count="1" selected="0">
            <x v="0"/>
          </reference>
          <reference field="0" count="1" selected="0">
            <x v="64"/>
          </reference>
        </references>
      </pivotArea>
    </chartFormat>
    <chartFormat chart="2" format="596">
      <pivotArea type="data" outline="0" fieldPosition="0">
        <references count="2">
          <reference field="4294967294" count="1" selected="0">
            <x v="0"/>
          </reference>
          <reference field="0" count="1" selected="0">
            <x v="65"/>
          </reference>
        </references>
      </pivotArea>
    </chartFormat>
    <chartFormat chart="2" format="597">
      <pivotArea type="data" outline="0" fieldPosition="0">
        <references count="2">
          <reference field="4294967294" count="1" selected="0">
            <x v="0"/>
          </reference>
          <reference field="0" count="1" selected="0">
            <x v="66"/>
          </reference>
        </references>
      </pivotArea>
    </chartFormat>
    <chartFormat chart="2" format="598">
      <pivotArea type="data" outline="0" fieldPosition="0">
        <references count="2">
          <reference field="4294967294" count="1" selected="0">
            <x v="0"/>
          </reference>
          <reference field="0" count="1" selected="0">
            <x v="67"/>
          </reference>
        </references>
      </pivotArea>
    </chartFormat>
    <chartFormat chart="2" format="599">
      <pivotArea type="data" outline="0" fieldPosition="0">
        <references count="2">
          <reference field="4294967294" count="1" selected="0">
            <x v="0"/>
          </reference>
          <reference field="0" count="1" selected="0">
            <x v="68"/>
          </reference>
        </references>
      </pivotArea>
    </chartFormat>
    <chartFormat chart="2" format="600">
      <pivotArea type="data" outline="0" fieldPosition="0">
        <references count="2">
          <reference field="4294967294" count="1" selected="0">
            <x v="0"/>
          </reference>
          <reference field="0" count="1" selected="0">
            <x v="69"/>
          </reference>
        </references>
      </pivotArea>
    </chartFormat>
    <chartFormat chart="2" format="601">
      <pivotArea type="data" outline="0" fieldPosition="0">
        <references count="2">
          <reference field="4294967294" count="1" selected="0">
            <x v="0"/>
          </reference>
          <reference field="0" count="1" selected="0">
            <x v="70"/>
          </reference>
        </references>
      </pivotArea>
    </chartFormat>
    <chartFormat chart="2" format="602">
      <pivotArea type="data" outline="0" fieldPosition="0">
        <references count="2">
          <reference field="4294967294" count="1" selected="0">
            <x v="0"/>
          </reference>
          <reference field="0" count="1" selected="0">
            <x v="71"/>
          </reference>
        </references>
      </pivotArea>
    </chartFormat>
    <chartFormat chart="2" format="603">
      <pivotArea type="data" outline="0" fieldPosition="0">
        <references count="2">
          <reference field="4294967294" count="1" selected="0">
            <x v="0"/>
          </reference>
          <reference field="0" count="1" selected="0">
            <x v="72"/>
          </reference>
        </references>
      </pivotArea>
    </chartFormat>
    <chartFormat chart="2" format="604">
      <pivotArea type="data" outline="0" fieldPosition="0">
        <references count="2">
          <reference field="4294967294" count="1" selected="0">
            <x v="0"/>
          </reference>
          <reference field="0" count="1" selected="0">
            <x v="73"/>
          </reference>
        </references>
      </pivotArea>
    </chartFormat>
    <chartFormat chart="2" format="605">
      <pivotArea type="data" outline="0" fieldPosition="0">
        <references count="2">
          <reference field="4294967294" count="1" selected="0">
            <x v="0"/>
          </reference>
          <reference field="0" count="1" selected="0">
            <x v="74"/>
          </reference>
        </references>
      </pivotArea>
    </chartFormat>
    <chartFormat chart="2" format="606">
      <pivotArea type="data" outline="0" fieldPosition="0">
        <references count="2">
          <reference field="4294967294" count="1" selected="0">
            <x v="0"/>
          </reference>
          <reference field="0" count="1" selected="0">
            <x v="75"/>
          </reference>
        </references>
      </pivotArea>
    </chartFormat>
    <chartFormat chart="2" format="607">
      <pivotArea type="data" outline="0" fieldPosition="0">
        <references count="2">
          <reference field="4294967294" count="1" selected="0">
            <x v="0"/>
          </reference>
          <reference field="0" count="1" selected="0">
            <x v="76"/>
          </reference>
        </references>
      </pivotArea>
    </chartFormat>
    <chartFormat chart="2" format="608">
      <pivotArea type="data" outline="0" fieldPosition="0">
        <references count="2">
          <reference field="4294967294" count="1" selected="0">
            <x v="0"/>
          </reference>
          <reference field="0" count="1" selected="0">
            <x v="77"/>
          </reference>
        </references>
      </pivotArea>
    </chartFormat>
    <chartFormat chart="2" format="609">
      <pivotArea type="data" outline="0" fieldPosition="0">
        <references count="2">
          <reference field="4294967294" count="1" selected="0">
            <x v="0"/>
          </reference>
          <reference field="0" count="1" selected="0">
            <x v="78"/>
          </reference>
        </references>
      </pivotArea>
    </chartFormat>
    <chartFormat chart="2" format="610">
      <pivotArea type="data" outline="0" fieldPosition="0">
        <references count="2">
          <reference field="4294967294" count="1" selected="0">
            <x v="0"/>
          </reference>
          <reference field="0" count="1" selected="0">
            <x v="79"/>
          </reference>
        </references>
      </pivotArea>
    </chartFormat>
    <chartFormat chart="2" format="611">
      <pivotArea type="data" outline="0" fieldPosition="0">
        <references count="2">
          <reference field="4294967294" count="1" selected="0">
            <x v="0"/>
          </reference>
          <reference field="0" count="1" selected="0">
            <x v="80"/>
          </reference>
        </references>
      </pivotArea>
    </chartFormat>
    <chartFormat chart="2" format="612">
      <pivotArea type="data" outline="0" fieldPosition="0">
        <references count="2">
          <reference field="4294967294" count="1" selected="0">
            <x v="0"/>
          </reference>
          <reference field="0" count="1" selected="0">
            <x v="81"/>
          </reference>
        </references>
      </pivotArea>
    </chartFormat>
    <chartFormat chart="2" format="613">
      <pivotArea type="data" outline="0" fieldPosition="0">
        <references count="2">
          <reference field="4294967294" count="1" selected="0">
            <x v="0"/>
          </reference>
          <reference field="0" count="1" selected="0">
            <x v="82"/>
          </reference>
        </references>
      </pivotArea>
    </chartFormat>
    <chartFormat chart="2" format="614">
      <pivotArea type="data" outline="0" fieldPosition="0">
        <references count="2">
          <reference field="4294967294" count="1" selected="0">
            <x v="0"/>
          </reference>
          <reference field="0" count="1" selected="0">
            <x v="83"/>
          </reference>
        </references>
      </pivotArea>
    </chartFormat>
    <chartFormat chart="2" format="615">
      <pivotArea type="data" outline="0" fieldPosition="0">
        <references count="2">
          <reference field="4294967294" count="1" selected="0">
            <x v="0"/>
          </reference>
          <reference field="0" count="1" selected="0">
            <x v="84"/>
          </reference>
        </references>
      </pivotArea>
    </chartFormat>
    <chartFormat chart="2" format="616">
      <pivotArea type="data" outline="0" fieldPosition="0">
        <references count="2">
          <reference field="4294967294" count="1" selected="0">
            <x v="0"/>
          </reference>
          <reference field="0" count="1" selected="0">
            <x v="85"/>
          </reference>
        </references>
      </pivotArea>
    </chartFormat>
    <chartFormat chart="2" format="617">
      <pivotArea type="data" outline="0" fieldPosition="0">
        <references count="2">
          <reference field="4294967294" count="1" selected="0">
            <x v="0"/>
          </reference>
          <reference field="0" count="1" selected="0">
            <x v="86"/>
          </reference>
        </references>
      </pivotArea>
    </chartFormat>
    <chartFormat chart="2" format="618">
      <pivotArea type="data" outline="0" fieldPosition="0">
        <references count="2">
          <reference field="4294967294" count="1" selected="0">
            <x v="0"/>
          </reference>
          <reference field="0" count="1" selected="0">
            <x v="87"/>
          </reference>
        </references>
      </pivotArea>
    </chartFormat>
    <chartFormat chart="2" format="619">
      <pivotArea type="data" outline="0" fieldPosition="0">
        <references count="2">
          <reference field="4294967294" count="1" selected="0">
            <x v="0"/>
          </reference>
          <reference field="0" count="1" selected="0">
            <x v="88"/>
          </reference>
        </references>
      </pivotArea>
    </chartFormat>
    <chartFormat chart="2" format="620">
      <pivotArea type="data" outline="0" fieldPosition="0">
        <references count="2">
          <reference field="4294967294" count="1" selected="0">
            <x v="0"/>
          </reference>
          <reference field="0" count="1" selected="0">
            <x v="89"/>
          </reference>
        </references>
      </pivotArea>
    </chartFormat>
    <chartFormat chart="2" format="621">
      <pivotArea type="data" outline="0" fieldPosition="0">
        <references count="2">
          <reference field="4294967294" count="1" selected="0">
            <x v="0"/>
          </reference>
          <reference field="0" count="1" selected="0">
            <x v="90"/>
          </reference>
        </references>
      </pivotArea>
    </chartFormat>
    <chartFormat chart="2" format="622">
      <pivotArea type="data" outline="0" fieldPosition="0">
        <references count="2">
          <reference field="4294967294" count="1" selected="0">
            <x v="0"/>
          </reference>
          <reference field="0" count="1" selected="0">
            <x v="91"/>
          </reference>
        </references>
      </pivotArea>
    </chartFormat>
    <chartFormat chart="2" format="623">
      <pivotArea type="data" outline="0" fieldPosition="0">
        <references count="2">
          <reference field="4294967294" count="1" selected="0">
            <x v="0"/>
          </reference>
          <reference field="0" count="1" selected="0">
            <x v="92"/>
          </reference>
        </references>
      </pivotArea>
    </chartFormat>
    <chartFormat chart="2" format="624">
      <pivotArea type="data" outline="0" fieldPosition="0">
        <references count="2">
          <reference field="4294967294" count="1" selected="0">
            <x v="0"/>
          </reference>
          <reference field="0" count="1" selected="0">
            <x v="93"/>
          </reference>
        </references>
      </pivotArea>
    </chartFormat>
    <chartFormat chart="2" format="625">
      <pivotArea type="data" outline="0" fieldPosition="0">
        <references count="2">
          <reference field="4294967294" count="1" selected="0">
            <x v="0"/>
          </reference>
          <reference field="0" count="1" selected="0">
            <x v="94"/>
          </reference>
        </references>
      </pivotArea>
    </chartFormat>
    <chartFormat chart="2" format="626">
      <pivotArea type="data" outline="0" fieldPosition="0">
        <references count="2">
          <reference field="4294967294" count="1" selected="0">
            <x v="0"/>
          </reference>
          <reference field="0" count="1" selected="0">
            <x v="95"/>
          </reference>
        </references>
      </pivotArea>
    </chartFormat>
    <chartFormat chart="2" format="627">
      <pivotArea type="data" outline="0" fieldPosition="0">
        <references count="2">
          <reference field="4294967294" count="1" selected="0">
            <x v="0"/>
          </reference>
          <reference field="0" count="1" selected="0">
            <x v="96"/>
          </reference>
        </references>
      </pivotArea>
    </chartFormat>
    <chartFormat chart="2" format="628">
      <pivotArea type="data" outline="0" fieldPosition="0">
        <references count="2">
          <reference field="4294967294" count="1" selected="0">
            <x v="0"/>
          </reference>
          <reference field="0" count="1" selected="0">
            <x v="97"/>
          </reference>
        </references>
      </pivotArea>
    </chartFormat>
    <chartFormat chart="2" format="629">
      <pivotArea type="data" outline="0" fieldPosition="0">
        <references count="2">
          <reference field="4294967294" count="1" selected="0">
            <x v="0"/>
          </reference>
          <reference field="0" count="1" selected="0">
            <x v="98"/>
          </reference>
        </references>
      </pivotArea>
    </chartFormat>
    <chartFormat chart="2" format="630">
      <pivotArea type="data" outline="0" fieldPosition="0">
        <references count="2">
          <reference field="4294967294" count="1" selected="0">
            <x v="0"/>
          </reference>
          <reference field="0" count="1" selected="0">
            <x v="99"/>
          </reference>
        </references>
      </pivotArea>
    </chartFormat>
    <chartFormat chart="2" format="631">
      <pivotArea type="data" outline="0" fieldPosition="0">
        <references count="2">
          <reference field="4294967294" count="1" selected="0">
            <x v="0"/>
          </reference>
          <reference field="0" count="1" selected="0">
            <x v="100"/>
          </reference>
        </references>
      </pivotArea>
    </chartFormat>
    <chartFormat chart="2" format="632">
      <pivotArea type="data" outline="0" fieldPosition="0">
        <references count="2">
          <reference field="4294967294" count="1" selected="0">
            <x v="0"/>
          </reference>
          <reference field="0" count="1" selected="0">
            <x v="101"/>
          </reference>
        </references>
      </pivotArea>
    </chartFormat>
    <chartFormat chart="2" format="633">
      <pivotArea type="data" outline="0" fieldPosition="0">
        <references count="2">
          <reference field="4294967294" count="1" selected="0">
            <x v="0"/>
          </reference>
          <reference field="0" count="1" selected="0">
            <x v="102"/>
          </reference>
        </references>
      </pivotArea>
    </chartFormat>
    <chartFormat chart="2" format="634">
      <pivotArea type="data" outline="0" fieldPosition="0">
        <references count="2">
          <reference field="4294967294" count="1" selected="0">
            <x v="0"/>
          </reference>
          <reference field="0" count="1" selected="0">
            <x v="103"/>
          </reference>
        </references>
      </pivotArea>
    </chartFormat>
    <chartFormat chart="2" format="635">
      <pivotArea type="data" outline="0" fieldPosition="0">
        <references count="2">
          <reference field="4294967294" count="1" selected="0">
            <x v="0"/>
          </reference>
          <reference field="0" count="1" selected="0">
            <x v="104"/>
          </reference>
        </references>
      </pivotArea>
    </chartFormat>
    <chartFormat chart="2" format="636">
      <pivotArea type="data" outline="0" fieldPosition="0">
        <references count="2">
          <reference field="4294967294" count="1" selected="0">
            <x v="0"/>
          </reference>
          <reference field="0" count="1" selected="0">
            <x v="105"/>
          </reference>
        </references>
      </pivotArea>
    </chartFormat>
    <chartFormat chart="2" format="637">
      <pivotArea type="data" outline="0" fieldPosition="0">
        <references count="2">
          <reference field="4294967294" count="1" selected="0">
            <x v="0"/>
          </reference>
          <reference field="0" count="1" selected="0">
            <x v="106"/>
          </reference>
        </references>
      </pivotArea>
    </chartFormat>
    <chartFormat chart="2" format="638">
      <pivotArea type="data" outline="0" fieldPosition="0">
        <references count="2">
          <reference field="4294967294" count="1" selected="0">
            <x v="0"/>
          </reference>
          <reference field="0" count="1" selected="0">
            <x v="107"/>
          </reference>
        </references>
      </pivotArea>
    </chartFormat>
    <chartFormat chart="2" format="639">
      <pivotArea type="data" outline="0" fieldPosition="0">
        <references count="2">
          <reference field="4294967294" count="1" selected="0">
            <x v="0"/>
          </reference>
          <reference field="0" count="1" selected="0">
            <x v="108"/>
          </reference>
        </references>
      </pivotArea>
    </chartFormat>
    <chartFormat chart="2" format="640">
      <pivotArea type="data" outline="0" fieldPosition="0">
        <references count="2">
          <reference field="4294967294" count="1" selected="0">
            <x v="0"/>
          </reference>
          <reference field="0" count="1" selected="0">
            <x v="109"/>
          </reference>
        </references>
      </pivotArea>
    </chartFormat>
    <chartFormat chart="2" format="641">
      <pivotArea type="data" outline="0" fieldPosition="0">
        <references count="2">
          <reference field="4294967294" count="1" selected="0">
            <x v="0"/>
          </reference>
          <reference field="0" count="1" selected="0">
            <x v="110"/>
          </reference>
        </references>
      </pivotArea>
    </chartFormat>
    <chartFormat chart="2" format="642">
      <pivotArea type="data" outline="0" fieldPosition="0">
        <references count="2">
          <reference field="4294967294" count="1" selected="0">
            <x v="0"/>
          </reference>
          <reference field="0" count="1" selected="0">
            <x v="111"/>
          </reference>
        </references>
      </pivotArea>
    </chartFormat>
    <chartFormat chart="2" format="643">
      <pivotArea type="data" outline="0" fieldPosition="0">
        <references count="2">
          <reference field="4294967294" count="1" selected="0">
            <x v="0"/>
          </reference>
          <reference field="0" count="1" selected="0">
            <x v="112"/>
          </reference>
        </references>
      </pivotArea>
    </chartFormat>
    <chartFormat chart="2" format="644">
      <pivotArea type="data" outline="0" fieldPosition="0">
        <references count="2">
          <reference field="4294967294" count="1" selected="0">
            <x v="0"/>
          </reference>
          <reference field="0" count="1" selected="0">
            <x v="113"/>
          </reference>
        </references>
      </pivotArea>
    </chartFormat>
    <chartFormat chart="2" format="645">
      <pivotArea type="data" outline="0" fieldPosition="0">
        <references count="2">
          <reference field="4294967294" count="1" selected="0">
            <x v="0"/>
          </reference>
          <reference field="0" count="1" selected="0">
            <x v="114"/>
          </reference>
        </references>
      </pivotArea>
    </chartFormat>
    <chartFormat chart="2" format="646">
      <pivotArea type="data" outline="0" fieldPosition="0">
        <references count="2">
          <reference field="4294967294" count="1" selected="0">
            <x v="0"/>
          </reference>
          <reference field="0" count="1" selected="0">
            <x v="115"/>
          </reference>
        </references>
      </pivotArea>
    </chartFormat>
    <chartFormat chart="2" format="647">
      <pivotArea type="data" outline="0" fieldPosition="0">
        <references count="2">
          <reference field="4294967294" count="1" selected="0">
            <x v="0"/>
          </reference>
          <reference field="0" count="1" selected="0">
            <x v="116"/>
          </reference>
        </references>
      </pivotArea>
    </chartFormat>
    <chartFormat chart="2" format="648">
      <pivotArea type="data" outline="0" fieldPosition="0">
        <references count="2">
          <reference field="4294967294" count="1" selected="0">
            <x v="0"/>
          </reference>
          <reference field="0" count="1" selected="0">
            <x v="117"/>
          </reference>
        </references>
      </pivotArea>
    </chartFormat>
    <chartFormat chart="2" format="649">
      <pivotArea type="data" outline="0" fieldPosition="0">
        <references count="2">
          <reference field="4294967294" count="1" selected="0">
            <x v="0"/>
          </reference>
          <reference field="0" count="1" selected="0">
            <x v="118"/>
          </reference>
        </references>
      </pivotArea>
    </chartFormat>
    <chartFormat chart="2" format="650">
      <pivotArea type="data" outline="0" fieldPosition="0">
        <references count="2">
          <reference field="4294967294" count="1" selected="0">
            <x v="0"/>
          </reference>
          <reference field="0" count="1" selected="0">
            <x v="119"/>
          </reference>
        </references>
      </pivotArea>
    </chartFormat>
    <chartFormat chart="2" format="651">
      <pivotArea type="data" outline="0" fieldPosition="0">
        <references count="2">
          <reference field="4294967294" count="1" selected="0">
            <x v="0"/>
          </reference>
          <reference field="0" count="1" selected="0">
            <x v="120"/>
          </reference>
        </references>
      </pivotArea>
    </chartFormat>
    <chartFormat chart="2" format="652">
      <pivotArea type="data" outline="0" fieldPosition="0">
        <references count="2">
          <reference field="4294967294" count="1" selected="0">
            <x v="0"/>
          </reference>
          <reference field="0" count="1" selected="0">
            <x v="121"/>
          </reference>
        </references>
      </pivotArea>
    </chartFormat>
    <chartFormat chart="2" format="653">
      <pivotArea type="data" outline="0" fieldPosition="0">
        <references count="2">
          <reference field="4294967294" count="1" selected="0">
            <x v="0"/>
          </reference>
          <reference field="0" count="1" selected="0">
            <x v="122"/>
          </reference>
        </references>
      </pivotArea>
    </chartFormat>
    <chartFormat chart="2" format="654">
      <pivotArea type="data" outline="0" fieldPosition="0">
        <references count="2">
          <reference field="4294967294" count="1" selected="0">
            <x v="0"/>
          </reference>
          <reference field="0" count="1" selected="0">
            <x v="123"/>
          </reference>
        </references>
      </pivotArea>
    </chartFormat>
    <chartFormat chart="2" format="655">
      <pivotArea type="data" outline="0" fieldPosition="0">
        <references count="2">
          <reference field="4294967294" count="1" selected="0">
            <x v="0"/>
          </reference>
          <reference field="0" count="1" selected="0">
            <x v="124"/>
          </reference>
        </references>
      </pivotArea>
    </chartFormat>
    <chartFormat chart="2" format="656">
      <pivotArea type="data" outline="0" fieldPosition="0">
        <references count="2">
          <reference field="4294967294" count="1" selected="0">
            <x v="0"/>
          </reference>
          <reference field="0" count="1" selected="0">
            <x v="125"/>
          </reference>
        </references>
      </pivotArea>
    </chartFormat>
    <chartFormat chart="2" format="657">
      <pivotArea type="data" outline="0" fieldPosition="0">
        <references count="2">
          <reference field="4294967294" count="1" selected="0">
            <x v="0"/>
          </reference>
          <reference field="0" count="1" selected="0">
            <x v="126"/>
          </reference>
        </references>
      </pivotArea>
    </chartFormat>
    <chartFormat chart="2" format="658">
      <pivotArea type="data" outline="0" fieldPosition="0">
        <references count="2">
          <reference field="4294967294" count="1" selected="0">
            <x v="0"/>
          </reference>
          <reference field="0" count="1" selected="0">
            <x v="127"/>
          </reference>
        </references>
      </pivotArea>
    </chartFormat>
    <chartFormat chart="2" format="659">
      <pivotArea type="data" outline="0" fieldPosition="0">
        <references count="2">
          <reference field="4294967294" count="1" selected="0">
            <x v="0"/>
          </reference>
          <reference field="0" count="1" selected="0">
            <x v="128"/>
          </reference>
        </references>
      </pivotArea>
    </chartFormat>
    <chartFormat chart="2" format="660">
      <pivotArea type="data" outline="0" fieldPosition="0">
        <references count="2">
          <reference field="4294967294" count="1" selected="0">
            <x v="0"/>
          </reference>
          <reference field="0" count="1" selected="0">
            <x v="129"/>
          </reference>
        </references>
      </pivotArea>
    </chartFormat>
    <chartFormat chart="2" format="661">
      <pivotArea type="data" outline="0" fieldPosition="0">
        <references count="2">
          <reference field="4294967294" count="1" selected="0">
            <x v="0"/>
          </reference>
          <reference field="0" count="1" selected="0">
            <x v="130"/>
          </reference>
        </references>
      </pivotArea>
    </chartFormat>
    <chartFormat chart="2" format="662">
      <pivotArea type="data" outline="0" fieldPosition="0">
        <references count="2">
          <reference field="4294967294" count="1" selected="0">
            <x v="0"/>
          </reference>
          <reference field="0" count="1" selected="0">
            <x v="131"/>
          </reference>
        </references>
      </pivotArea>
    </chartFormat>
    <chartFormat chart="2" format="663">
      <pivotArea type="data" outline="0" fieldPosition="0">
        <references count="2">
          <reference field="4294967294" count="1" selected="0">
            <x v="0"/>
          </reference>
          <reference field="0" count="1" selected="0">
            <x v="132"/>
          </reference>
        </references>
      </pivotArea>
    </chartFormat>
    <chartFormat chart="2" format="664">
      <pivotArea type="data" outline="0" fieldPosition="0">
        <references count="2">
          <reference field="4294967294" count="1" selected="0">
            <x v="0"/>
          </reference>
          <reference field="0" count="1" selected="0">
            <x v="133"/>
          </reference>
        </references>
      </pivotArea>
    </chartFormat>
    <chartFormat chart="2" format="665">
      <pivotArea type="data" outline="0" fieldPosition="0">
        <references count="2">
          <reference field="4294967294" count="1" selected="0">
            <x v="0"/>
          </reference>
          <reference field="0" count="1" selected="0">
            <x v="134"/>
          </reference>
        </references>
      </pivotArea>
    </chartFormat>
    <chartFormat chart="2" format="666">
      <pivotArea type="data" outline="0" fieldPosition="0">
        <references count="2">
          <reference field="4294967294" count="1" selected="0">
            <x v="0"/>
          </reference>
          <reference field="0" count="1" selected="0">
            <x v="135"/>
          </reference>
        </references>
      </pivotArea>
    </chartFormat>
    <chartFormat chart="2" format="667">
      <pivotArea type="data" outline="0" fieldPosition="0">
        <references count="2">
          <reference field="4294967294" count="1" selected="0">
            <x v="0"/>
          </reference>
          <reference field="0" count="1" selected="0">
            <x v="136"/>
          </reference>
        </references>
      </pivotArea>
    </chartFormat>
    <chartFormat chart="2" format="668">
      <pivotArea type="data" outline="0" fieldPosition="0">
        <references count="2">
          <reference field="4294967294" count="1" selected="0">
            <x v="0"/>
          </reference>
          <reference field="0" count="1" selected="0">
            <x v="137"/>
          </reference>
        </references>
      </pivotArea>
    </chartFormat>
    <chartFormat chart="2" format="669">
      <pivotArea type="data" outline="0" fieldPosition="0">
        <references count="2">
          <reference field="4294967294" count="1" selected="0">
            <x v="0"/>
          </reference>
          <reference field="0" count="1" selected="0">
            <x v="138"/>
          </reference>
        </references>
      </pivotArea>
    </chartFormat>
    <chartFormat chart="2" format="670">
      <pivotArea type="data" outline="0" fieldPosition="0">
        <references count="2">
          <reference field="4294967294" count="1" selected="0">
            <x v="0"/>
          </reference>
          <reference field="0" count="1" selected="0">
            <x v="139"/>
          </reference>
        </references>
      </pivotArea>
    </chartFormat>
    <chartFormat chart="2" format="671">
      <pivotArea type="data" outline="0" fieldPosition="0">
        <references count="2">
          <reference field="4294967294" count="1" selected="0">
            <x v="0"/>
          </reference>
          <reference field="0" count="1" selected="0">
            <x v="140"/>
          </reference>
        </references>
      </pivotArea>
    </chartFormat>
    <chartFormat chart="2" format="672">
      <pivotArea type="data" outline="0" fieldPosition="0">
        <references count="2">
          <reference field="4294967294" count="1" selected="0">
            <x v="0"/>
          </reference>
          <reference field="0" count="1" selected="0">
            <x v="141"/>
          </reference>
        </references>
      </pivotArea>
    </chartFormat>
    <chartFormat chart="2" format="673">
      <pivotArea type="data" outline="0" fieldPosition="0">
        <references count="2">
          <reference field="4294967294" count="1" selected="0">
            <x v="0"/>
          </reference>
          <reference field="0" count="1" selected="0">
            <x v="142"/>
          </reference>
        </references>
      </pivotArea>
    </chartFormat>
    <chartFormat chart="2" format="674">
      <pivotArea type="data" outline="0" fieldPosition="0">
        <references count="2">
          <reference field="4294967294" count="1" selected="0">
            <x v="0"/>
          </reference>
          <reference field="0" count="1" selected="0">
            <x v="143"/>
          </reference>
        </references>
      </pivotArea>
    </chartFormat>
    <chartFormat chart="2" format="675">
      <pivotArea type="data" outline="0" fieldPosition="0">
        <references count="2">
          <reference field="4294967294" count="1" selected="0">
            <x v="0"/>
          </reference>
          <reference field="0" count="1" selected="0">
            <x v="144"/>
          </reference>
        </references>
      </pivotArea>
    </chartFormat>
    <chartFormat chart="2" format="676">
      <pivotArea type="data" outline="0" fieldPosition="0">
        <references count="2">
          <reference field="4294967294" count="1" selected="0">
            <x v="0"/>
          </reference>
          <reference field="0" count="1" selected="0">
            <x v="145"/>
          </reference>
        </references>
      </pivotArea>
    </chartFormat>
    <chartFormat chart="2" format="677">
      <pivotArea type="data" outline="0" fieldPosition="0">
        <references count="2">
          <reference field="4294967294" count="1" selected="0">
            <x v="0"/>
          </reference>
          <reference field="0" count="1" selected="0">
            <x v="146"/>
          </reference>
        </references>
      </pivotArea>
    </chartFormat>
    <chartFormat chart="2" format="678">
      <pivotArea type="data" outline="0" fieldPosition="0">
        <references count="2">
          <reference field="4294967294" count="1" selected="0">
            <x v="0"/>
          </reference>
          <reference field="0" count="1" selected="0">
            <x v="147"/>
          </reference>
        </references>
      </pivotArea>
    </chartFormat>
    <chartFormat chart="2" format="679">
      <pivotArea type="data" outline="0" fieldPosition="0">
        <references count="2">
          <reference field="4294967294" count="1" selected="0">
            <x v="0"/>
          </reference>
          <reference field="0" count="1" selected="0">
            <x v="148"/>
          </reference>
        </references>
      </pivotArea>
    </chartFormat>
    <chartFormat chart="2" format="680">
      <pivotArea type="data" outline="0" fieldPosition="0">
        <references count="2">
          <reference field="4294967294" count="1" selected="0">
            <x v="0"/>
          </reference>
          <reference field="0" count="1" selected="0">
            <x v="149"/>
          </reference>
        </references>
      </pivotArea>
    </chartFormat>
    <chartFormat chart="2" format="681">
      <pivotArea type="data" outline="0" fieldPosition="0">
        <references count="2">
          <reference field="4294967294" count="1" selected="0">
            <x v="0"/>
          </reference>
          <reference field="0" count="1" selected="0">
            <x v="150"/>
          </reference>
        </references>
      </pivotArea>
    </chartFormat>
    <chartFormat chart="2" format="682">
      <pivotArea type="data" outline="0" fieldPosition="0">
        <references count="2">
          <reference field="4294967294" count="1" selected="0">
            <x v="0"/>
          </reference>
          <reference field="0" count="1" selected="0">
            <x v="151"/>
          </reference>
        </references>
      </pivotArea>
    </chartFormat>
    <chartFormat chart="2" format="683">
      <pivotArea type="data" outline="0" fieldPosition="0">
        <references count="2">
          <reference field="4294967294" count="1" selected="0">
            <x v="0"/>
          </reference>
          <reference field="0" count="1" selected="0">
            <x v="152"/>
          </reference>
        </references>
      </pivotArea>
    </chartFormat>
    <chartFormat chart="2" format="684">
      <pivotArea type="data" outline="0" fieldPosition="0">
        <references count="2">
          <reference field="4294967294" count="1" selected="0">
            <x v="0"/>
          </reference>
          <reference field="0" count="1" selected="0">
            <x v="153"/>
          </reference>
        </references>
      </pivotArea>
    </chartFormat>
    <chartFormat chart="2" format="685">
      <pivotArea type="data" outline="0" fieldPosition="0">
        <references count="2">
          <reference field="4294967294" count="1" selected="0">
            <x v="0"/>
          </reference>
          <reference field="0" count="1" selected="0">
            <x v="154"/>
          </reference>
        </references>
      </pivotArea>
    </chartFormat>
    <chartFormat chart="2" format="686">
      <pivotArea type="data" outline="0" fieldPosition="0">
        <references count="2">
          <reference field="4294967294" count="1" selected="0">
            <x v="0"/>
          </reference>
          <reference field="0" count="1" selected="0">
            <x v="155"/>
          </reference>
        </references>
      </pivotArea>
    </chartFormat>
    <chartFormat chart="2" format="687">
      <pivotArea type="data" outline="0" fieldPosition="0">
        <references count="2">
          <reference field="4294967294" count="1" selected="0">
            <x v="0"/>
          </reference>
          <reference field="0" count="1" selected="0">
            <x v="156"/>
          </reference>
        </references>
      </pivotArea>
    </chartFormat>
    <chartFormat chart="2" format="688">
      <pivotArea type="data" outline="0" fieldPosition="0">
        <references count="2">
          <reference field="4294967294" count="1" selected="0">
            <x v="0"/>
          </reference>
          <reference field="0" count="1" selected="0">
            <x v="157"/>
          </reference>
        </references>
      </pivotArea>
    </chartFormat>
    <chartFormat chart="2" format="689">
      <pivotArea type="data" outline="0" fieldPosition="0">
        <references count="2">
          <reference field="4294967294" count="1" selected="0">
            <x v="0"/>
          </reference>
          <reference field="0" count="1" selected="0">
            <x v="158"/>
          </reference>
        </references>
      </pivotArea>
    </chartFormat>
    <chartFormat chart="2" format="690">
      <pivotArea type="data" outline="0" fieldPosition="0">
        <references count="2">
          <reference field="4294967294" count="1" selected="0">
            <x v="0"/>
          </reference>
          <reference field="0" count="1" selected="0">
            <x v="159"/>
          </reference>
        </references>
      </pivotArea>
    </chartFormat>
    <chartFormat chart="2" format="691">
      <pivotArea type="data" outline="0" fieldPosition="0">
        <references count="2">
          <reference field="4294967294" count="1" selected="0">
            <x v="0"/>
          </reference>
          <reference field="0" count="1" selected="0">
            <x v="160"/>
          </reference>
        </references>
      </pivotArea>
    </chartFormat>
    <chartFormat chart="2" format="692">
      <pivotArea type="data" outline="0" fieldPosition="0">
        <references count="2">
          <reference field="4294967294" count="1" selected="0">
            <x v="0"/>
          </reference>
          <reference field="0" count="1" selected="0">
            <x v="161"/>
          </reference>
        </references>
      </pivotArea>
    </chartFormat>
    <chartFormat chart="2" format="693">
      <pivotArea type="data" outline="0" fieldPosition="0">
        <references count="2">
          <reference field="4294967294" count="1" selected="0">
            <x v="0"/>
          </reference>
          <reference field="0" count="1" selected="0">
            <x v="162"/>
          </reference>
        </references>
      </pivotArea>
    </chartFormat>
    <chartFormat chart="2" format="694">
      <pivotArea type="data" outline="0" fieldPosition="0">
        <references count="2">
          <reference field="4294967294" count="1" selected="0">
            <x v="0"/>
          </reference>
          <reference field="0" count="1" selected="0">
            <x v="163"/>
          </reference>
        </references>
      </pivotArea>
    </chartFormat>
    <chartFormat chart="2" format="695">
      <pivotArea type="data" outline="0" fieldPosition="0">
        <references count="2">
          <reference field="4294967294" count="1" selected="0">
            <x v="0"/>
          </reference>
          <reference field="0" count="1" selected="0">
            <x v="164"/>
          </reference>
        </references>
      </pivotArea>
    </chartFormat>
    <chartFormat chart="2" format="696">
      <pivotArea type="data" outline="0" fieldPosition="0">
        <references count="2">
          <reference field="4294967294" count="1" selected="0">
            <x v="0"/>
          </reference>
          <reference field="0" count="1" selected="0">
            <x v="165"/>
          </reference>
        </references>
      </pivotArea>
    </chartFormat>
    <chartFormat chart="2" format="697">
      <pivotArea type="data" outline="0" fieldPosition="0">
        <references count="2">
          <reference field="4294967294" count="1" selected="0">
            <x v="0"/>
          </reference>
          <reference field="0" count="1" selected="0">
            <x v="166"/>
          </reference>
        </references>
      </pivotArea>
    </chartFormat>
    <chartFormat chart="2" format="698">
      <pivotArea type="data" outline="0" fieldPosition="0">
        <references count="2">
          <reference field="4294967294" count="1" selected="0">
            <x v="0"/>
          </reference>
          <reference field="0" count="1" selected="0">
            <x v="167"/>
          </reference>
        </references>
      </pivotArea>
    </chartFormat>
    <chartFormat chart="2" format="699">
      <pivotArea type="data" outline="0" fieldPosition="0">
        <references count="2">
          <reference field="4294967294" count="1" selected="0">
            <x v="0"/>
          </reference>
          <reference field="0" count="1" selected="0">
            <x v="168"/>
          </reference>
        </references>
      </pivotArea>
    </chartFormat>
    <chartFormat chart="2" format="700">
      <pivotArea type="data" outline="0" fieldPosition="0">
        <references count="2">
          <reference field="4294967294" count="1" selected="0">
            <x v="0"/>
          </reference>
          <reference field="0" count="1" selected="0">
            <x v="169"/>
          </reference>
        </references>
      </pivotArea>
    </chartFormat>
    <chartFormat chart="2" format="701">
      <pivotArea type="data" outline="0" fieldPosition="0">
        <references count="2">
          <reference field="4294967294" count="1" selected="0">
            <x v="0"/>
          </reference>
          <reference field="0" count="1" selected="0">
            <x v="170"/>
          </reference>
        </references>
      </pivotArea>
    </chartFormat>
    <chartFormat chart="2" format="702">
      <pivotArea type="data" outline="0" fieldPosition="0">
        <references count="2">
          <reference field="4294967294" count="1" selected="0">
            <x v="0"/>
          </reference>
          <reference field="0" count="1" selected="0">
            <x v="171"/>
          </reference>
        </references>
      </pivotArea>
    </chartFormat>
    <chartFormat chart="2" format="703">
      <pivotArea type="data" outline="0" fieldPosition="0">
        <references count="2">
          <reference field="4294967294" count="1" selected="0">
            <x v="0"/>
          </reference>
          <reference field="0" count="1" selected="0">
            <x v="172"/>
          </reference>
        </references>
      </pivotArea>
    </chartFormat>
    <chartFormat chart="2" format="704">
      <pivotArea type="data" outline="0" fieldPosition="0">
        <references count="2">
          <reference field="4294967294" count="1" selected="0">
            <x v="0"/>
          </reference>
          <reference field="0" count="1" selected="0">
            <x v="173"/>
          </reference>
        </references>
      </pivotArea>
    </chartFormat>
    <chartFormat chart="2" format="705">
      <pivotArea type="data" outline="0" fieldPosition="0">
        <references count="2">
          <reference field="4294967294" count="1" selected="0">
            <x v="0"/>
          </reference>
          <reference field="0" count="1" selected="0">
            <x v="174"/>
          </reference>
        </references>
      </pivotArea>
    </chartFormat>
    <chartFormat chart="2" format="706">
      <pivotArea type="data" outline="0" fieldPosition="0">
        <references count="2">
          <reference field="4294967294" count="1" selected="0">
            <x v="0"/>
          </reference>
          <reference field="0" count="1" selected="0">
            <x v="175"/>
          </reference>
        </references>
      </pivotArea>
    </chartFormat>
    <chartFormat chart="2" format="707">
      <pivotArea type="data" outline="0" fieldPosition="0">
        <references count="2">
          <reference field="4294967294" count="1" selected="0">
            <x v="0"/>
          </reference>
          <reference field="0" count="1" selected="0">
            <x v="176"/>
          </reference>
        </references>
      </pivotArea>
    </chartFormat>
    <chartFormat chart="2" format="708">
      <pivotArea type="data" outline="0" fieldPosition="0">
        <references count="2">
          <reference field="4294967294" count="1" selected="0">
            <x v="0"/>
          </reference>
          <reference field="0" count="1" selected="0">
            <x v="177"/>
          </reference>
        </references>
      </pivotArea>
    </chartFormat>
    <chartFormat chart="2" format="709">
      <pivotArea type="data" outline="0" fieldPosition="0">
        <references count="2">
          <reference field="4294967294" count="1" selected="0">
            <x v="0"/>
          </reference>
          <reference field="0" count="1" selected="0">
            <x v="178"/>
          </reference>
        </references>
      </pivotArea>
    </chartFormat>
    <chartFormat chart="2" format="710">
      <pivotArea type="data" outline="0" fieldPosition="0">
        <references count="2">
          <reference field="4294967294" count="1" selected="0">
            <x v="0"/>
          </reference>
          <reference field="0" count="1" selected="0">
            <x v="179"/>
          </reference>
        </references>
      </pivotArea>
    </chartFormat>
    <chartFormat chart="2" format="711">
      <pivotArea type="data" outline="0" fieldPosition="0">
        <references count="2">
          <reference field="4294967294" count="1" selected="0">
            <x v="0"/>
          </reference>
          <reference field="0" count="1" selected="0">
            <x v="180"/>
          </reference>
        </references>
      </pivotArea>
    </chartFormat>
    <chartFormat chart="2" format="712">
      <pivotArea type="data" outline="0" fieldPosition="0">
        <references count="2">
          <reference field="4294967294" count="1" selected="0">
            <x v="0"/>
          </reference>
          <reference field="0" count="1" selected="0">
            <x v="181"/>
          </reference>
        </references>
      </pivotArea>
    </chartFormat>
    <chartFormat chart="2" format="713">
      <pivotArea type="data" outline="0" fieldPosition="0">
        <references count="2">
          <reference field="4294967294" count="1" selected="0">
            <x v="0"/>
          </reference>
          <reference field="0" count="1" selected="0">
            <x v="182"/>
          </reference>
        </references>
      </pivotArea>
    </chartFormat>
    <chartFormat chart="2" format="714">
      <pivotArea type="data" outline="0" fieldPosition="0">
        <references count="2">
          <reference field="4294967294" count="1" selected="0">
            <x v="0"/>
          </reference>
          <reference field="0" count="1" selected="0">
            <x v="183"/>
          </reference>
        </references>
      </pivotArea>
    </chartFormat>
    <chartFormat chart="2" format="715">
      <pivotArea type="data" outline="0" fieldPosition="0">
        <references count="2">
          <reference field="4294967294" count="1" selected="0">
            <x v="0"/>
          </reference>
          <reference field="0" count="1" selected="0">
            <x v="184"/>
          </reference>
        </references>
      </pivotArea>
    </chartFormat>
    <chartFormat chart="2" format="716">
      <pivotArea type="data" outline="0" fieldPosition="0">
        <references count="2">
          <reference field="4294967294" count="1" selected="0">
            <x v="0"/>
          </reference>
          <reference field="0" count="1" selected="0">
            <x v="185"/>
          </reference>
        </references>
      </pivotArea>
    </chartFormat>
    <chartFormat chart="2" format="717">
      <pivotArea type="data" outline="0" fieldPosition="0">
        <references count="2">
          <reference field="4294967294" count="1" selected="0">
            <x v="0"/>
          </reference>
          <reference field="0" count="1" selected="0">
            <x v="186"/>
          </reference>
        </references>
      </pivotArea>
    </chartFormat>
    <chartFormat chart="2" format="718">
      <pivotArea type="data" outline="0" fieldPosition="0">
        <references count="2">
          <reference field="4294967294" count="1" selected="0">
            <x v="0"/>
          </reference>
          <reference field="0" count="1" selected="0">
            <x v="187"/>
          </reference>
        </references>
      </pivotArea>
    </chartFormat>
    <chartFormat chart="2" format="719">
      <pivotArea type="data" outline="0" fieldPosition="0">
        <references count="2">
          <reference field="4294967294" count="1" selected="0">
            <x v="0"/>
          </reference>
          <reference field="0" count="1" selected="0">
            <x v="188"/>
          </reference>
        </references>
      </pivotArea>
    </chartFormat>
    <chartFormat chart="2" format="720">
      <pivotArea type="data" outline="0" fieldPosition="0">
        <references count="2">
          <reference field="4294967294" count="1" selected="0">
            <x v="0"/>
          </reference>
          <reference field="0" count="1" selected="0">
            <x v="189"/>
          </reference>
        </references>
      </pivotArea>
    </chartFormat>
    <chartFormat chart="2" format="721">
      <pivotArea type="data" outline="0" fieldPosition="0">
        <references count="2">
          <reference field="4294967294" count="1" selected="0">
            <x v="0"/>
          </reference>
          <reference field="0" count="1" selected="0">
            <x v="190"/>
          </reference>
        </references>
      </pivotArea>
    </chartFormat>
    <chartFormat chart="2" format="722">
      <pivotArea type="data" outline="0" fieldPosition="0">
        <references count="2">
          <reference field="4294967294" count="1" selected="0">
            <x v="0"/>
          </reference>
          <reference field="0" count="1" selected="0">
            <x v="191"/>
          </reference>
        </references>
      </pivotArea>
    </chartFormat>
    <chartFormat chart="2" format="723">
      <pivotArea type="data" outline="0" fieldPosition="0">
        <references count="2">
          <reference field="4294967294" count="1" selected="0">
            <x v="0"/>
          </reference>
          <reference field="0" count="1" selected="0">
            <x v="192"/>
          </reference>
        </references>
      </pivotArea>
    </chartFormat>
    <chartFormat chart="2" format="724">
      <pivotArea type="data" outline="0" fieldPosition="0">
        <references count="2">
          <reference field="4294967294" count="1" selected="0">
            <x v="0"/>
          </reference>
          <reference field="0" count="1" selected="0">
            <x v="193"/>
          </reference>
        </references>
      </pivotArea>
    </chartFormat>
    <chartFormat chart="2" format="725">
      <pivotArea type="data" outline="0" fieldPosition="0">
        <references count="2">
          <reference field="4294967294" count="1" selected="0">
            <x v="0"/>
          </reference>
          <reference field="0" count="1" selected="0">
            <x v="194"/>
          </reference>
        </references>
      </pivotArea>
    </chartFormat>
    <chartFormat chart="2" format="726">
      <pivotArea type="data" outline="0" fieldPosition="0">
        <references count="2">
          <reference field="4294967294" count="1" selected="0">
            <x v="0"/>
          </reference>
          <reference field="0" count="1" selected="0">
            <x v="195"/>
          </reference>
        </references>
      </pivotArea>
    </chartFormat>
    <chartFormat chart="2" format="727">
      <pivotArea type="data" outline="0" fieldPosition="0">
        <references count="2">
          <reference field="4294967294" count="1" selected="0">
            <x v="0"/>
          </reference>
          <reference field="0" count="1" selected="0">
            <x v="196"/>
          </reference>
        </references>
      </pivotArea>
    </chartFormat>
    <chartFormat chart="2" format="728">
      <pivotArea type="data" outline="0" fieldPosition="0">
        <references count="2">
          <reference field="4294967294" count="1" selected="0">
            <x v="0"/>
          </reference>
          <reference field="0" count="1" selected="0">
            <x v="197"/>
          </reference>
        </references>
      </pivotArea>
    </chartFormat>
    <chartFormat chart="2" format="729">
      <pivotArea type="data" outline="0" fieldPosition="0">
        <references count="2">
          <reference field="4294967294" count="1" selected="0">
            <x v="0"/>
          </reference>
          <reference field="0" count="1" selected="0">
            <x v="198"/>
          </reference>
        </references>
      </pivotArea>
    </chartFormat>
    <chartFormat chart="2" format="730">
      <pivotArea type="data" outline="0" fieldPosition="0">
        <references count="2">
          <reference field="4294967294" count="1" selected="0">
            <x v="0"/>
          </reference>
          <reference field="0" count="1" selected="0">
            <x v="199"/>
          </reference>
        </references>
      </pivotArea>
    </chartFormat>
    <chartFormat chart="2" format="731">
      <pivotArea type="data" outline="0" fieldPosition="0">
        <references count="2">
          <reference field="4294967294" count="1" selected="0">
            <x v="0"/>
          </reference>
          <reference field="0" count="1" selected="0">
            <x v="200"/>
          </reference>
        </references>
      </pivotArea>
    </chartFormat>
    <chartFormat chart="2" format="732">
      <pivotArea type="data" outline="0" fieldPosition="0">
        <references count="2">
          <reference field="4294967294" count="1" selected="0">
            <x v="0"/>
          </reference>
          <reference field="0" count="1" selected="0">
            <x v="201"/>
          </reference>
        </references>
      </pivotArea>
    </chartFormat>
    <chartFormat chart="2" format="733">
      <pivotArea type="data" outline="0" fieldPosition="0">
        <references count="2">
          <reference field="4294967294" count="1" selected="0">
            <x v="0"/>
          </reference>
          <reference field="0" count="1" selected="0">
            <x v="202"/>
          </reference>
        </references>
      </pivotArea>
    </chartFormat>
    <chartFormat chart="2" format="734">
      <pivotArea type="data" outline="0" fieldPosition="0">
        <references count="2">
          <reference field="4294967294" count="1" selected="0">
            <x v="0"/>
          </reference>
          <reference field="0" count="1" selected="0">
            <x v="203"/>
          </reference>
        </references>
      </pivotArea>
    </chartFormat>
    <chartFormat chart="2" format="735">
      <pivotArea type="data" outline="0" fieldPosition="0">
        <references count="2">
          <reference field="4294967294" count="1" selected="0">
            <x v="0"/>
          </reference>
          <reference field="0" count="1" selected="0">
            <x v="204"/>
          </reference>
        </references>
      </pivotArea>
    </chartFormat>
    <chartFormat chart="2" format="736">
      <pivotArea type="data" outline="0" fieldPosition="0">
        <references count="2">
          <reference field="4294967294" count="1" selected="0">
            <x v="0"/>
          </reference>
          <reference field="0" count="1" selected="0">
            <x v="205"/>
          </reference>
        </references>
      </pivotArea>
    </chartFormat>
    <chartFormat chart="2" format="737">
      <pivotArea type="data" outline="0" fieldPosition="0">
        <references count="2">
          <reference field="4294967294" count="1" selected="0">
            <x v="0"/>
          </reference>
          <reference field="0" count="1" selected="0">
            <x v="206"/>
          </reference>
        </references>
      </pivotArea>
    </chartFormat>
    <chartFormat chart="2" format="738">
      <pivotArea type="data" outline="0" fieldPosition="0">
        <references count="2">
          <reference field="4294967294" count="1" selected="0">
            <x v="0"/>
          </reference>
          <reference field="0" count="1" selected="0">
            <x v="207"/>
          </reference>
        </references>
      </pivotArea>
    </chartFormat>
    <chartFormat chart="2" format="739">
      <pivotArea type="data" outline="0" fieldPosition="0">
        <references count="2">
          <reference field="4294967294" count="1" selected="0">
            <x v="0"/>
          </reference>
          <reference field="0" count="1" selected="0">
            <x v="208"/>
          </reference>
        </references>
      </pivotArea>
    </chartFormat>
    <chartFormat chart="2" format="740">
      <pivotArea type="data" outline="0" fieldPosition="0">
        <references count="2">
          <reference field="4294967294" count="1" selected="0">
            <x v="0"/>
          </reference>
          <reference field="0" count="1" selected="0">
            <x v="209"/>
          </reference>
        </references>
      </pivotArea>
    </chartFormat>
    <chartFormat chart="2" format="741">
      <pivotArea type="data" outline="0" fieldPosition="0">
        <references count="2">
          <reference field="4294967294" count="1" selected="0">
            <x v="0"/>
          </reference>
          <reference field="0" count="1" selected="0">
            <x v="210"/>
          </reference>
        </references>
      </pivotArea>
    </chartFormat>
    <chartFormat chart="2" format="742">
      <pivotArea type="data" outline="0" fieldPosition="0">
        <references count="2">
          <reference field="4294967294" count="1" selected="0">
            <x v="0"/>
          </reference>
          <reference field="0" count="1" selected="0">
            <x v="211"/>
          </reference>
        </references>
      </pivotArea>
    </chartFormat>
    <chartFormat chart="2" format="743">
      <pivotArea type="data" outline="0" fieldPosition="0">
        <references count="2">
          <reference field="4294967294" count="1" selected="0">
            <x v="0"/>
          </reference>
          <reference field="0" count="1" selected="0">
            <x v="212"/>
          </reference>
        </references>
      </pivotArea>
    </chartFormat>
    <chartFormat chart="2" format="744">
      <pivotArea type="data" outline="0" fieldPosition="0">
        <references count="2">
          <reference field="4294967294" count="1" selected="0">
            <x v="0"/>
          </reference>
          <reference field="0" count="1" selected="0">
            <x v="213"/>
          </reference>
        </references>
      </pivotArea>
    </chartFormat>
    <chartFormat chart="2" format="745">
      <pivotArea type="data" outline="0" fieldPosition="0">
        <references count="2">
          <reference field="4294967294" count="1" selected="0">
            <x v="0"/>
          </reference>
          <reference field="0" count="1" selected="0">
            <x v="214"/>
          </reference>
        </references>
      </pivotArea>
    </chartFormat>
    <chartFormat chart="2" format="746">
      <pivotArea type="data" outline="0" fieldPosition="0">
        <references count="2">
          <reference field="4294967294" count="1" selected="0">
            <x v="0"/>
          </reference>
          <reference field="0" count="1" selected="0">
            <x v="215"/>
          </reference>
        </references>
      </pivotArea>
    </chartFormat>
    <chartFormat chart="2" format="747">
      <pivotArea type="data" outline="0" fieldPosition="0">
        <references count="2">
          <reference field="4294967294" count="1" selected="0">
            <x v="0"/>
          </reference>
          <reference field="0" count="1" selected="0">
            <x v="216"/>
          </reference>
        </references>
      </pivotArea>
    </chartFormat>
    <chartFormat chart="2" format="748">
      <pivotArea type="data" outline="0" fieldPosition="0">
        <references count="2">
          <reference field="4294967294" count="1" selected="0">
            <x v="0"/>
          </reference>
          <reference field="0" count="1" selected="0">
            <x v="217"/>
          </reference>
        </references>
      </pivotArea>
    </chartFormat>
    <chartFormat chart="2" format="749">
      <pivotArea type="data" outline="0" fieldPosition="0">
        <references count="2">
          <reference field="4294967294" count="1" selected="0">
            <x v="0"/>
          </reference>
          <reference field="0" count="1" selected="0">
            <x v="218"/>
          </reference>
        </references>
      </pivotArea>
    </chartFormat>
    <chartFormat chart="2" format="750">
      <pivotArea type="data" outline="0" fieldPosition="0">
        <references count="2">
          <reference field="4294967294" count="1" selected="0">
            <x v="0"/>
          </reference>
          <reference field="0" count="1" selected="0">
            <x v="219"/>
          </reference>
        </references>
      </pivotArea>
    </chartFormat>
    <chartFormat chart="2" format="751">
      <pivotArea type="data" outline="0" fieldPosition="0">
        <references count="2">
          <reference field="4294967294" count="1" selected="0">
            <x v="0"/>
          </reference>
          <reference field="0" count="1" selected="0">
            <x v="220"/>
          </reference>
        </references>
      </pivotArea>
    </chartFormat>
    <chartFormat chart="2" format="752">
      <pivotArea type="data" outline="0" fieldPosition="0">
        <references count="2">
          <reference field="4294967294" count="1" selected="0">
            <x v="0"/>
          </reference>
          <reference field="0" count="1" selected="0">
            <x v="221"/>
          </reference>
        </references>
      </pivotArea>
    </chartFormat>
    <chartFormat chart="2" format="753">
      <pivotArea type="data" outline="0" fieldPosition="0">
        <references count="2">
          <reference field="4294967294" count="1" selected="0">
            <x v="0"/>
          </reference>
          <reference field="0" count="1" selected="0">
            <x v="222"/>
          </reference>
        </references>
      </pivotArea>
    </chartFormat>
    <chartFormat chart="2" format="754">
      <pivotArea type="data" outline="0" fieldPosition="0">
        <references count="2">
          <reference field="4294967294" count="1" selected="0">
            <x v="0"/>
          </reference>
          <reference field="0" count="1" selected="0">
            <x v="223"/>
          </reference>
        </references>
      </pivotArea>
    </chartFormat>
    <chartFormat chart="2" format="755">
      <pivotArea type="data" outline="0" fieldPosition="0">
        <references count="2">
          <reference field="4294967294" count="1" selected="0">
            <x v="0"/>
          </reference>
          <reference field="0" count="1" selected="0">
            <x v="224"/>
          </reference>
        </references>
      </pivotArea>
    </chartFormat>
    <chartFormat chart="2" format="756">
      <pivotArea type="data" outline="0" fieldPosition="0">
        <references count="2">
          <reference field="4294967294" count="1" selected="0">
            <x v="0"/>
          </reference>
          <reference field="0" count="1" selected="0">
            <x v="225"/>
          </reference>
        </references>
      </pivotArea>
    </chartFormat>
    <chartFormat chart="2" format="757">
      <pivotArea type="data" outline="0" fieldPosition="0">
        <references count="2">
          <reference field="4294967294" count="1" selected="0">
            <x v="0"/>
          </reference>
          <reference field="0" count="1" selected="0">
            <x v="226"/>
          </reference>
        </references>
      </pivotArea>
    </chartFormat>
    <chartFormat chart="2" format="758">
      <pivotArea type="data" outline="0" fieldPosition="0">
        <references count="2">
          <reference field="4294967294" count="1" selected="0">
            <x v="0"/>
          </reference>
          <reference field="0" count="1" selected="0">
            <x v="227"/>
          </reference>
        </references>
      </pivotArea>
    </chartFormat>
    <chartFormat chart="2" format="759">
      <pivotArea type="data" outline="0" fieldPosition="0">
        <references count="2">
          <reference field="4294967294" count="1" selected="0">
            <x v="0"/>
          </reference>
          <reference field="0" count="1" selected="0">
            <x v="228"/>
          </reference>
        </references>
      </pivotArea>
    </chartFormat>
    <chartFormat chart="2" format="760">
      <pivotArea type="data" outline="0" fieldPosition="0">
        <references count="2">
          <reference field="4294967294" count="1" selected="0">
            <x v="0"/>
          </reference>
          <reference field="0" count="1" selected="0">
            <x v="229"/>
          </reference>
        </references>
      </pivotArea>
    </chartFormat>
    <chartFormat chart="2" format="761">
      <pivotArea type="data" outline="0" fieldPosition="0">
        <references count="2">
          <reference field="4294967294" count="1" selected="0">
            <x v="0"/>
          </reference>
          <reference field="0" count="1" selected="0">
            <x v="230"/>
          </reference>
        </references>
      </pivotArea>
    </chartFormat>
    <chartFormat chart="2" format="762">
      <pivotArea type="data" outline="0" fieldPosition="0">
        <references count="2">
          <reference field="4294967294" count="1" selected="0">
            <x v="0"/>
          </reference>
          <reference field="0" count="1" selected="0">
            <x v="231"/>
          </reference>
        </references>
      </pivotArea>
    </chartFormat>
    <chartFormat chart="2" format="763">
      <pivotArea type="data" outline="0" fieldPosition="0">
        <references count="2">
          <reference field="4294967294" count="1" selected="0">
            <x v="0"/>
          </reference>
          <reference field="0" count="1" selected="0">
            <x v="232"/>
          </reference>
        </references>
      </pivotArea>
    </chartFormat>
    <chartFormat chart="2" format="764">
      <pivotArea type="data" outline="0" fieldPosition="0">
        <references count="2">
          <reference field="4294967294" count="1" selected="0">
            <x v="0"/>
          </reference>
          <reference field="0" count="1" selected="0">
            <x v="233"/>
          </reference>
        </references>
      </pivotArea>
    </chartFormat>
    <chartFormat chart="2" format="765">
      <pivotArea type="data" outline="0" fieldPosition="0">
        <references count="2">
          <reference field="4294967294" count="1" selected="0">
            <x v="0"/>
          </reference>
          <reference field="0" count="1" selected="0">
            <x v="234"/>
          </reference>
        </references>
      </pivotArea>
    </chartFormat>
    <chartFormat chart="2" format="766">
      <pivotArea type="data" outline="0" fieldPosition="0">
        <references count="2">
          <reference field="4294967294" count="1" selected="0">
            <x v="0"/>
          </reference>
          <reference field="0" count="1" selected="0">
            <x v="235"/>
          </reference>
        </references>
      </pivotArea>
    </chartFormat>
    <chartFormat chart="2" format="767">
      <pivotArea type="data" outline="0" fieldPosition="0">
        <references count="2">
          <reference field="4294967294" count="1" selected="0">
            <x v="0"/>
          </reference>
          <reference field="0" count="1" selected="0">
            <x v="236"/>
          </reference>
        </references>
      </pivotArea>
    </chartFormat>
    <chartFormat chart="2" format="768">
      <pivotArea type="data" outline="0" fieldPosition="0">
        <references count="2">
          <reference field="4294967294" count="1" selected="0">
            <x v="0"/>
          </reference>
          <reference field="0" count="1" selected="0">
            <x v="237"/>
          </reference>
        </references>
      </pivotArea>
    </chartFormat>
    <chartFormat chart="2" format="769">
      <pivotArea type="data" outline="0" fieldPosition="0">
        <references count="2">
          <reference field="4294967294" count="1" selected="0">
            <x v="0"/>
          </reference>
          <reference field="0" count="1" selected="0">
            <x v="238"/>
          </reference>
        </references>
      </pivotArea>
    </chartFormat>
    <chartFormat chart="2" format="770">
      <pivotArea type="data" outline="0" fieldPosition="0">
        <references count="2">
          <reference field="4294967294" count="1" selected="0">
            <x v="0"/>
          </reference>
          <reference field="0" count="1" selected="0">
            <x v="239"/>
          </reference>
        </references>
      </pivotArea>
    </chartFormat>
    <chartFormat chart="2" format="771">
      <pivotArea type="data" outline="0" fieldPosition="0">
        <references count="2">
          <reference field="4294967294" count="1" selected="0">
            <x v="0"/>
          </reference>
          <reference field="0" count="1" selected="0">
            <x v="240"/>
          </reference>
        </references>
      </pivotArea>
    </chartFormat>
    <chartFormat chart="2" format="772">
      <pivotArea type="data" outline="0" fieldPosition="0">
        <references count="2">
          <reference field="4294967294" count="1" selected="0">
            <x v="0"/>
          </reference>
          <reference field="0" count="1" selected="0">
            <x v="241"/>
          </reference>
        </references>
      </pivotArea>
    </chartFormat>
    <chartFormat chart="2" format="773">
      <pivotArea type="data" outline="0" fieldPosition="0">
        <references count="2">
          <reference field="4294967294" count="1" selected="0">
            <x v="0"/>
          </reference>
          <reference field="0" count="1" selected="0">
            <x v="242"/>
          </reference>
        </references>
      </pivotArea>
    </chartFormat>
    <chartFormat chart="2" format="774">
      <pivotArea type="data" outline="0" fieldPosition="0">
        <references count="2">
          <reference field="4294967294" count="1" selected="0">
            <x v="0"/>
          </reference>
          <reference field="0" count="1" selected="0">
            <x v="243"/>
          </reference>
        </references>
      </pivotArea>
    </chartFormat>
    <chartFormat chart="2" format="775">
      <pivotArea type="data" outline="0" fieldPosition="0">
        <references count="2">
          <reference field="4294967294" count="1" selected="0">
            <x v="0"/>
          </reference>
          <reference field="0" count="1" selected="0">
            <x v="244"/>
          </reference>
        </references>
      </pivotArea>
    </chartFormat>
    <chartFormat chart="2" format="776">
      <pivotArea type="data" outline="0" fieldPosition="0">
        <references count="2">
          <reference field="4294967294" count="1" selected="0">
            <x v="0"/>
          </reference>
          <reference field="0" count="1" selected="0">
            <x v="245"/>
          </reference>
        </references>
      </pivotArea>
    </chartFormat>
    <chartFormat chart="2" format="777">
      <pivotArea type="data" outline="0" fieldPosition="0">
        <references count="2">
          <reference field="4294967294" count="1" selected="0">
            <x v="0"/>
          </reference>
          <reference field="0" count="1" selected="0">
            <x v="246"/>
          </reference>
        </references>
      </pivotArea>
    </chartFormat>
    <chartFormat chart="2" format="778">
      <pivotArea type="data" outline="0" fieldPosition="0">
        <references count="2">
          <reference field="4294967294" count="1" selected="0">
            <x v="0"/>
          </reference>
          <reference field="0" count="1" selected="0">
            <x v="247"/>
          </reference>
        </references>
      </pivotArea>
    </chartFormat>
    <chartFormat chart="2" format="779">
      <pivotArea type="data" outline="0" fieldPosition="0">
        <references count="2">
          <reference field="4294967294" count="1" selected="0">
            <x v="0"/>
          </reference>
          <reference field="0" count="1" selected="0">
            <x v="248"/>
          </reference>
        </references>
      </pivotArea>
    </chartFormat>
    <chartFormat chart="2" format="780">
      <pivotArea type="data" outline="0" fieldPosition="0">
        <references count="2">
          <reference field="4294967294" count="1" selected="0">
            <x v="0"/>
          </reference>
          <reference field="0" count="1" selected="0">
            <x v="249"/>
          </reference>
        </references>
      </pivotArea>
    </chartFormat>
    <chartFormat chart="2" format="781">
      <pivotArea type="data" outline="0" fieldPosition="0">
        <references count="2">
          <reference field="4294967294" count="1" selected="0">
            <x v="0"/>
          </reference>
          <reference field="0" count="1" selected="0">
            <x v="250"/>
          </reference>
        </references>
      </pivotArea>
    </chartFormat>
    <chartFormat chart="2" format="782">
      <pivotArea type="data" outline="0" fieldPosition="0">
        <references count="2">
          <reference field="4294967294" count="1" selected="0">
            <x v="0"/>
          </reference>
          <reference field="0" count="1" selected="0">
            <x v="251"/>
          </reference>
        </references>
      </pivotArea>
    </chartFormat>
    <chartFormat chart="2" format="783">
      <pivotArea type="data" outline="0" fieldPosition="0">
        <references count="2">
          <reference field="4294967294" count="1" selected="0">
            <x v="0"/>
          </reference>
          <reference field="0" count="1" selected="0">
            <x v="252"/>
          </reference>
        </references>
      </pivotArea>
    </chartFormat>
    <chartFormat chart="2" format="784">
      <pivotArea type="data" outline="0" fieldPosition="0">
        <references count="2">
          <reference field="4294967294" count="1" selected="0">
            <x v="0"/>
          </reference>
          <reference field="0" count="1" selected="0">
            <x v="253"/>
          </reference>
        </references>
      </pivotArea>
    </chartFormat>
    <chartFormat chart="2" format="785">
      <pivotArea type="data" outline="0" fieldPosition="0">
        <references count="2">
          <reference field="4294967294" count="1" selected="0">
            <x v="0"/>
          </reference>
          <reference field="0" count="1" selected="0">
            <x v="254"/>
          </reference>
        </references>
      </pivotArea>
    </chartFormat>
    <chartFormat chart="2" format="786">
      <pivotArea type="data" outline="0" fieldPosition="0">
        <references count="2">
          <reference field="4294967294" count="1" selected="0">
            <x v="0"/>
          </reference>
          <reference field="0" count="1" selected="0">
            <x v="255"/>
          </reference>
        </references>
      </pivotArea>
    </chartFormat>
    <chartFormat chart="2" format="787">
      <pivotArea type="data" outline="0" fieldPosition="0">
        <references count="2">
          <reference field="4294967294" count="1" selected="0">
            <x v="0"/>
          </reference>
          <reference field="0" count="1" selected="0">
            <x v="256"/>
          </reference>
        </references>
      </pivotArea>
    </chartFormat>
    <chartFormat chart="2" format="788">
      <pivotArea type="data" outline="0" fieldPosition="0">
        <references count="2">
          <reference field="4294967294" count="1" selected="0">
            <x v="0"/>
          </reference>
          <reference field="0" count="1" selected="0">
            <x v="257"/>
          </reference>
        </references>
      </pivotArea>
    </chartFormat>
    <chartFormat chart="2" format="789">
      <pivotArea type="data" outline="0" fieldPosition="0">
        <references count="2">
          <reference field="4294967294" count="1" selected="0">
            <x v="0"/>
          </reference>
          <reference field="0" count="1" selected="0">
            <x v="258"/>
          </reference>
        </references>
      </pivotArea>
    </chartFormat>
    <chartFormat chart="2" format="790">
      <pivotArea type="data" outline="0" fieldPosition="0">
        <references count="2">
          <reference field="4294967294" count="1" selected="0">
            <x v="0"/>
          </reference>
          <reference field="0" count="1" selected="0">
            <x v="259"/>
          </reference>
        </references>
      </pivotArea>
    </chartFormat>
    <chartFormat chart="2" format="791">
      <pivotArea type="data" outline="0" fieldPosition="0">
        <references count="2">
          <reference field="4294967294" count="1" selected="0">
            <x v="0"/>
          </reference>
          <reference field="0" count="1" selected="0">
            <x v="260"/>
          </reference>
        </references>
      </pivotArea>
    </chartFormat>
    <chartFormat chart="2" format="792">
      <pivotArea type="data" outline="0" fieldPosition="0">
        <references count="2">
          <reference field="4294967294" count="1" selected="0">
            <x v="0"/>
          </reference>
          <reference field="0" count="1" selected="0">
            <x v="261"/>
          </reference>
        </references>
      </pivotArea>
    </chartFormat>
    <chartFormat chart="2" format="793">
      <pivotArea type="data" outline="0" fieldPosition="0">
        <references count="2">
          <reference field="4294967294" count="1" selected="0">
            <x v="0"/>
          </reference>
          <reference field="0" count="1" selected="0">
            <x v="262"/>
          </reference>
        </references>
      </pivotArea>
    </chartFormat>
    <chartFormat chart="2" format="794" series="1">
      <pivotArea type="data" outline="0" fieldPosition="0">
        <references count="1">
          <reference field="4294967294" count="1" selected="0">
            <x v="1"/>
          </reference>
        </references>
      </pivotArea>
    </chartFormat>
    <chartFormat chart="2" format="795">
      <pivotArea type="data" outline="0" fieldPosition="0">
        <references count="2">
          <reference field="4294967294" count="1" selected="0">
            <x v="1"/>
          </reference>
          <reference field="0" count="1" selected="0">
            <x v="0"/>
          </reference>
        </references>
      </pivotArea>
    </chartFormat>
    <chartFormat chart="2" format="796">
      <pivotArea type="data" outline="0" fieldPosition="0">
        <references count="2">
          <reference field="4294967294" count="1" selected="0">
            <x v="1"/>
          </reference>
          <reference field="0" count="1" selected="0">
            <x v="1"/>
          </reference>
        </references>
      </pivotArea>
    </chartFormat>
    <chartFormat chart="2" format="797">
      <pivotArea type="data" outline="0" fieldPosition="0">
        <references count="2">
          <reference field="4294967294" count="1" selected="0">
            <x v="1"/>
          </reference>
          <reference field="0" count="1" selected="0">
            <x v="2"/>
          </reference>
        </references>
      </pivotArea>
    </chartFormat>
    <chartFormat chart="2" format="798">
      <pivotArea type="data" outline="0" fieldPosition="0">
        <references count="2">
          <reference field="4294967294" count="1" selected="0">
            <x v="1"/>
          </reference>
          <reference field="0" count="1" selected="0">
            <x v="3"/>
          </reference>
        </references>
      </pivotArea>
    </chartFormat>
    <chartFormat chart="2" format="799">
      <pivotArea type="data" outline="0" fieldPosition="0">
        <references count="2">
          <reference field="4294967294" count="1" selected="0">
            <x v="1"/>
          </reference>
          <reference field="0" count="1" selected="0">
            <x v="4"/>
          </reference>
        </references>
      </pivotArea>
    </chartFormat>
    <chartFormat chart="2" format="800">
      <pivotArea type="data" outline="0" fieldPosition="0">
        <references count="2">
          <reference field="4294967294" count="1" selected="0">
            <x v="1"/>
          </reference>
          <reference field="0" count="1" selected="0">
            <x v="5"/>
          </reference>
        </references>
      </pivotArea>
    </chartFormat>
    <chartFormat chart="2" format="801">
      <pivotArea type="data" outline="0" fieldPosition="0">
        <references count="2">
          <reference field="4294967294" count="1" selected="0">
            <x v="1"/>
          </reference>
          <reference field="0" count="1" selected="0">
            <x v="6"/>
          </reference>
        </references>
      </pivotArea>
    </chartFormat>
    <chartFormat chart="2" format="802">
      <pivotArea type="data" outline="0" fieldPosition="0">
        <references count="2">
          <reference field="4294967294" count="1" selected="0">
            <x v="1"/>
          </reference>
          <reference field="0" count="1" selected="0">
            <x v="7"/>
          </reference>
        </references>
      </pivotArea>
    </chartFormat>
    <chartFormat chart="2" format="803">
      <pivotArea type="data" outline="0" fieldPosition="0">
        <references count="2">
          <reference field="4294967294" count="1" selected="0">
            <x v="1"/>
          </reference>
          <reference field="0" count="1" selected="0">
            <x v="8"/>
          </reference>
        </references>
      </pivotArea>
    </chartFormat>
    <chartFormat chart="2" format="804">
      <pivotArea type="data" outline="0" fieldPosition="0">
        <references count="2">
          <reference field="4294967294" count="1" selected="0">
            <x v="1"/>
          </reference>
          <reference field="0" count="1" selected="0">
            <x v="9"/>
          </reference>
        </references>
      </pivotArea>
    </chartFormat>
    <chartFormat chart="2" format="805">
      <pivotArea type="data" outline="0" fieldPosition="0">
        <references count="2">
          <reference field="4294967294" count="1" selected="0">
            <x v="1"/>
          </reference>
          <reference field="0" count="1" selected="0">
            <x v="10"/>
          </reference>
        </references>
      </pivotArea>
    </chartFormat>
    <chartFormat chart="2" format="806">
      <pivotArea type="data" outline="0" fieldPosition="0">
        <references count="2">
          <reference field="4294967294" count="1" selected="0">
            <x v="1"/>
          </reference>
          <reference field="0" count="1" selected="0">
            <x v="11"/>
          </reference>
        </references>
      </pivotArea>
    </chartFormat>
    <chartFormat chart="2" format="807">
      <pivotArea type="data" outline="0" fieldPosition="0">
        <references count="2">
          <reference field="4294967294" count="1" selected="0">
            <x v="1"/>
          </reference>
          <reference field="0" count="1" selected="0">
            <x v="12"/>
          </reference>
        </references>
      </pivotArea>
    </chartFormat>
    <chartFormat chart="2" format="808">
      <pivotArea type="data" outline="0" fieldPosition="0">
        <references count="2">
          <reference field="4294967294" count="1" selected="0">
            <x v="1"/>
          </reference>
          <reference field="0" count="1" selected="0">
            <x v="13"/>
          </reference>
        </references>
      </pivotArea>
    </chartFormat>
    <chartFormat chart="2" format="809">
      <pivotArea type="data" outline="0" fieldPosition="0">
        <references count="2">
          <reference field="4294967294" count="1" selected="0">
            <x v="1"/>
          </reference>
          <reference field="0" count="1" selected="0">
            <x v="14"/>
          </reference>
        </references>
      </pivotArea>
    </chartFormat>
    <chartFormat chart="2" format="810">
      <pivotArea type="data" outline="0" fieldPosition="0">
        <references count="2">
          <reference field="4294967294" count="1" selected="0">
            <x v="1"/>
          </reference>
          <reference field="0" count="1" selected="0">
            <x v="15"/>
          </reference>
        </references>
      </pivotArea>
    </chartFormat>
    <chartFormat chart="2" format="811">
      <pivotArea type="data" outline="0" fieldPosition="0">
        <references count="2">
          <reference field="4294967294" count="1" selected="0">
            <x v="1"/>
          </reference>
          <reference field="0" count="1" selected="0">
            <x v="16"/>
          </reference>
        </references>
      </pivotArea>
    </chartFormat>
    <chartFormat chart="2" format="812">
      <pivotArea type="data" outline="0" fieldPosition="0">
        <references count="2">
          <reference field="4294967294" count="1" selected="0">
            <x v="1"/>
          </reference>
          <reference field="0" count="1" selected="0">
            <x v="17"/>
          </reference>
        </references>
      </pivotArea>
    </chartFormat>
    <chartFormat chart="2" format="813">
      <pivotArea type="data" outline="0" fieldPosition="0">
        <references count="2">
          <reference field="4294967294" count="1" selected="0">
            <x v="1"/>
          </reference>
          <reference field="0" count="1" selected="0">
            <x v="18"/>
          </reference>
        </references>
      </pivotArea>
    </chartFormat>
    <chartFormat chart="2" format="814">
      <pivotArea type="data" outline="0" fieldPosition="0">
        <references count="2">
          <reference field="4294967294" count="1" selected="0">
            <x v="1"/>
          </reference>
          <reference field="0" count="1" selected="0">
            <x v="19"/>
          </reference>
        </references>
      </pivotArea>
    </chartFormat>
    <chartFormat chart="2" format="815">
      <pivotArea type="data" outline="0" fieldPosition="0">
        <references count="2">
          <reference field="4294967294" count="1" selected="0">
            <x v="1"/>
          </reference>
          <reference field="0" count="1" selected="0">
            <x v="20"/>
          </reference>
        </references>
      </pivotArea>
    </chartFormat>
    <chartFormat chart="2" format="816">
      <pivotArea type="data" outline="0" fieldPosition="0">
        <references count="2">
          <reference field="4294967294" count="1" selected="0">
            <x v="1"/>
          </reference>
          <reference field="0" count="1" selected="0">
            <x v="21"/>
          </reference>
        </references>
      </pivotArea>
    </chartFormat>
    <chartFormat chart="2" format="817">
      <pivotArea type="data" outline="0" fieldPosition="0">
        <references count="2">
          <reference field="4294967294" count="1" selected="0">
            <x v="1"/>
          </reference>
          <reference field="0" count="1" selected="0">
            <x v="22"/>
          </reference>
        </references>
      </pivotArea>
    </chartFormat>
    <chartFormat chart="2" format="818">
      <pivotArea type="data" outline="0" fieldPosition="0">
        <references count="2">
          <reference field="4294967294" count="1" selected="0">
            <x v="1"/>
          </reference>
          <reference field="0" count="1" selected="0">
            <x v="23"/>
          </reference>
        </references>
      </pivotArea>
    </chartFormat>
    <chartFormat chart="2" format="819">
      <pivotArea type="data" outline="0" fieldPosition="0">
        <references count="2">
          <reference field="4294967294" count="1" selected="0">
            <x v="1"/>
          </reference>
          <reference field="0" count="1" selected="0">
            <x v="24"/>
          </reference>
        </references>
      </pivotArea>
    </chartFormat>
    <chartFormat chart="2" format="820">
      <pivotArea type="data" outline="0" fieldPosition="0">
        <references count="2">
          <reference field="4294967294" count="1" selected="0">
            <x v="1"/>
          </reference>
          <reference field="0" count="1" selected="0">
            <x v="25"/>
          </reference>
        </references>
      </pivotArea>
    </chartFormat>
    <chartFormat chart="2" format="821">
      <pivotArea type="data" outline="0" fieldPosition="0">
        <references count="2">
          <reference field="4294967294" count="1" selected="0">
            <x v="1"/>
          </reference>
          <reference field="0" count="1" selected="0">
            <x v="26"/>
          </reference>
        </references>
      </pivotArea>
    </chartFormat>
    <chartFormat chart="2" format="822">
      <pivotArea type="data" outline="0" fieldPosition="0">
        <references count="2">
          <reference field="4294967294" count="1" selected="0">
            <x v="1"/>
          </reference>
          <reference field="0" count="1" selected="0">
            <x v="27"/>
          </reference>
        </references>
      </pivotArea>
    </chartFormat>
    <chartFormat chart="2" format="823">
      <pivotArea type="data" outline="0" fieldPosition="0">
        <references count="2">
          <reference field="4294967294" count="1" selected="0">
            <x v="1"/>
          </reference>
          <reference field="0" count="1" selected="0">
            <x v="28"/>
          </reference>
        </references>
      </pivotArea>
    </chartFormat>
    <chartFormat chart="2" format="824">
      <pivotArea type="data" outline="0" fieldPosition="0">
        <references count="2">
          <reference field="4294967294" count="1" selected="0">
            <x v="1"/>
          </reference>
          <reference field="0" count="1" selected="0">
            <x v="29"/>
          </reference>
        </references>
      </pivotArea>
    </chartFormat>
    <chartFormat chart="2" format="825">
      <pivotArea type="data" outline="0" fieldPosition="0">
        <references count="2">
          <reference field="4294967294" count="1" selected="0">
            <x v="1"/>
          </reference>
          <reference field="0" count="1" selected="0">
            <x v="30"/>
          </reference>
        </references>
      </pivotArea>
    </chartFormat>
    <chartFormat chart="2" format="826">
      <pivotArea type="data" outline="0" fieldPosition="0">
        <references count="2">
          <reference field="4294967294" count="1" selected="0">
            <x v="1"/>
          </reference>
          <reference field="0" count="1" selected="0">
            <x v="31"/>
          </reference>
        </references>
      </pivotArea>
    </chartFormat>
    <chartFormat chart="2" format="827">
      <pivotArea type="data" outline="0" fieldPosition="0">
        <references count="2">
          <reference field="4294967294" count="1" selected="0">
            <x v="1"/>
          </reference>
          <reference field="0" count="1" selected="0">
            <x v="32"/>
          </reference>
        </references>
      </pivotArea>
    </chartFormat>
    <chartFormat chart="2" format="828">
      <pivotArea type="data" outline="0" fieldPosition="0">
        <references count="2">
          <reference field="4294967294" count="1" selected="0">
            <x v="1"/>
          </reference>
          <reference field="0" count="1" selected="0">
            <x v="33"/>
          </reference>
        </references>
      </pivotArea>
    </chartFormat>
    <chartFormat chart="2" format="829">
      <pivotArea type="data" outline="0" fieldPosition="0">
        <references count="2">
          <reference field="4294967294" count="1" selected="0">
            <x v="1"/>
          </reference>
          <reference field="0" count="1" selected="0">
            <x v="34"/>
          </reference>
        </references>
      </pivotArea>
    </chartFormat>
    <chartFormat chart="2" format="830">
      <pivotArea type="data" outline="0" fieldPosition="0">
        <references count="2">
          <reference field="4294967294" count="1" selected="0">
            <x v="1"/>
          </reference>
          <reference field="0" count="1" selected="0">
            <x v="35"/>
          </reference>
        </references>
      </pivotArea>
    </chartFormat>
    <chartFormat chart="2" format="831">
      <pivotArea type="data" outline="0" fieldPosition="0">
        <references count="2">
          <reference field="4294967294" count="1" selected="0">
            <x v="1"/>
          </reference>
          <reference field="0" count="1" selected="0">
            <x v="36"/>
          </reference>
        </references>
      </pivotArea>
    </chartFormat>
    <chartFormat chart="2" format="832">
      <pivotArea type="data" outline="0" fieldPosition="0">
        <references count="2">
          <reference field="4294967294" count="1" selected="0">
            <x v="1"/>
          </reference>
          <reference field="0" count="1" selected="0">
            <x v="37"/>
          </reference>
        </references>
      </pivotArea>
    </chartFormat>
    <chartFormat chart="2" format="833">
      <pivotArea type="data" outline="0" fieldPosition="0">
        <references count="2">
          <reference field="4294967294" count="1" selected="0">
            <x v="1"/>
          </reference>
          <reference field="0" count="1" selected="0">
            <x v="38"/>
          </reference>
        </references>
      </pivotArea>
    </chartFormat>
    <chartFormat chart="2" format="834">
      <pivotArea type="data" outline="0" fieldPosition="0">
        <references count="2">
          <reference field="4294967294" count="1" selected="0">
            <x v="1"/>
          </reference>
          <reference field="0" count="1" selected="0">
            <x v="39"/>
          </reference>
        </references>
      </pivotArea>
    </chartFormat>
    <chartFormat chart="2" format="835">
      <pivotArea type="data" outline="0" fieldPosition="0">
        <references count="2">
          <reference field="4294967294" count="1" selected="0">
            <x v="1"/>
          </reference>
          <reference field="0" count="1" selected="0">
            <x v="40"/>
          </reference>
        </references>
      </pivotArea>
    </chartFormat>
    <chartFormat chart="2" format="836">
      <pivotArea type="data" outline="0" fieldPosition="0">
        <references count="2">
          <reference field="4294967294" count="1" selected="0">
            <x v="1"/>
          </reference>
          <reference field="0" count="1" selected="0">
            <x v="41"/>
          </reference>
        </references>
      </pivotArea>
    </chartFormat>
    <chartFormat chart="2" format="837">
      <pivotArea type="data" outline="0" fieldPosition="0">
        <references count="2">
          <reference field="4294967294" count="1" selected="0">
            <x v="1"/>
          </reference>
          <reference field="0" count="1" selected="0">
            <x v="42"/>
          </reference>
        </references>
      </pivotArea>
    </chartFormat>
    <chartFormat chart="2" format="838">
      <pivotArea type="data" outline="0" fieldPosition="0">
        <references count="2">
          <reference field="4294967294" count="1" selected="0">
            <x v="1"/>
          </reference>
          <reference field="0" count="1" selected="0">
            <x v="43"/>
          </reference>
        </references>
      </pivotArea>
    </chartFormat>
    <chartFormat chart="2" format="839">
      <pivotArea type="data" outline="0" fieldPosition="0">
        <references count="2">
          <reference field="4294967294" count="1" selected="0">
            <x v="1"/>
          </reference>
          <reference field="0" count="1" selected="0">
            <x v="44"/>
          </reference>
        </references>
      </pivotArea>
    </chartFormat>
    <chartFormat chart="2" format="840">
      <pivotArea type="data" outline="0" fieldPosition="0">
        <references count="2">
          <reference field="4294967294" count="1" selected="0">
            <x v="1"/>
          </reference>
          <reference field="0" count="1" selected="0">
            <x v="45"/>
          </reference>
        </references>
      </pivotArea>
    </chartFormat>
    <chartFormat chart="2" format="841">
      <pivotArea type="data" outline="0" fieldPosition="0">
        <references count="2">
          <reference field="4294967294" count="1" selected="0">
            <x v="1"/>
          </reference>
          <reference field="0" count="1" selected="0">
            <x v="46"/>
          </reference>
        </references>
      </pivotArea>
    </chartFormat>
    <chartFormat chart="2" format="842">
      <pivotArea type="data" outline="0" fieldPosition="0">
        <references count="2">
          <reference field="4294967294" count="1" selected="0">
            <x v="1"/>
          </reference>
          <reference field="0" count="1" selected="0">
            <x v="47"/>
          </reference>
        </references>
      </pivotArea>
    </chartFormat>
    <chartFormat chart="2" format="843">
      <pivotArea type="data" outline="0" fieldPosition="0">
        <references count="2">
          <reference field="4294967294" count="1" selected="0">
            <x v="1"/>
          </reference>
          <reference field="0" count="1" selected="0">
            <x v="48"/>
          </reference>
        </references>
      </pivotArea>
    </chartFormat>
    <chartFormat chart="2" format="844">
      <pivotArea type="data" outline="0" fieldPosition="0">
        <references count="2">
          <reference field="4294967294" count="1" selected="0">
            <x v="1"/>
          </reference>
          <reference field="0" count="1" selected="0">
            <x v="49"/>
          </reference>
        </references>
      </pivotArea>
    </chartFormat>
    <chartFormat chart="2" format="845">
      <pivotArea type="data" outline="0" fieldPosition="0">
        <references count="2">
          <reference field="4294967294" count="1" selected="0">
            <x v="1"/>
          </reference>
          <reference field="0" count="1" selected="0">
            <x v="50"/>
          </reference>
        </references>
      </pivotArea>
    </chartFormat>
    <chartFormat chart="2" format="846">
      <pivotArea type="data" outline="0" fieldPosition="0">
        <references count="2">
          <reference field="4294967294" count="1" selected="0">
            <x v="1"/>
          </reference>
          <reference field="0" count="1" selected="0">
            <x v="51"/>
          </reference>
        </references>
      </pivotArea>
    </chartFormat>
    <chartFormat chart="2" format="847">
      <pivotArea type="data" outline="0" fieldPosition="0">
        <references count="2">
          <reference field="4294967294" count="1" selected="0">
            <x v="1"/>
          </reference>
          <reference field="0" count="1" selected="0">
            <x v="52"/>
          </reference>
        </references>
      </pivotArea>
    </chartFormat>
    <chartFormat chart="2" format="848">
      <pivotArea type="data" outline="0" fieldPosition="0">
        <references count="2">
          <reference field="4294967294" count="1" selected="0">
            <x v="1"/>
          </reference>
          <reference field="0" count="1" selected="0">
            <x v="53"/>
          </reference>
        </references>
      </pivotArea>
    </chartFormat>
    <chartFormat chart="2" format="849">
      <pivotArea type="data" outline="0" fieldPosition="0">
        <references count="2">
          <reference field="4294967294" count="1" selected="0">
            <x v="1"/>
          </reference>
          <reference field="0" count="1" selected="0">
            <x v="54"/>
          </reference>
        </references>
      </pivotArea>
    </chartFormat>
    <chartFormat chart="2" format="850">
      <pivotArea type="data" outline="0" fieldPosition="0">
        <references count="2">
          <reference field="4294967294" count="1" selected="0">
            <x v="1"/>
          </reference>
          <reference field="0" count="1" selected="0">
            <x v="55"/>
          </reference>
        </references>
      </pivotArea>
    </chartFormat>
    <chartFormat chart="2" format="851">
      <pivotArea type="data" outline="0" fieldPosition="0">
        <references count="2">
          <reference field="4294967294" count="1" selected="0">
            <x v="1"/>
          </reference>
          <reference field="0" count="1" selected="0">
            <x v="56"/>
          </reference>
        </references>
      </pivotArea>
    </chartFormat>
    <chartFormat chart="2" format="852">
      <pivotArea type="data" outline="0" fieldPosition="0">
        <references count="2">
          <reference field="4294967294" count="1" selected="0">
            <x v="1"/>
          </reference>
          <reference field="0" count="1" selected="0">
            <x v="57"/>
          </reference>
        </references>
      </pivotArea>
    </chartFormat>
    <chartFormat chart="2" format="853">
      <pivotArea type="data" outline="0" fieldPosition="0">
        <references count="2">
          <reference field="4294967294" count="1" selected="0">
            <x v="1"/>
          </reference>
          <reference field="0" count="1" selected="0">
            <x v="58"/>
          </reference>
        </references>
      </pivotArea>
    </chartFormat>
    <chartFormat chart="2" format="854">
      <pivotArea type="data" outline="0" fieldPosition="0">
        <references count="2">
          <reference field="4294967294" count="1" selected="0">
            <x v="1"/>
          </reference>
          <reference field="0" count="1" selected="0">
            <x v="59"/>
          </reference>
        </references>
      </pivotArea>
    </chartFormat>
    <chartFormat chart="2" format="855">
      <pivotArea type="data" outline="0" fieldPosition="0">
        <references count="2">
          <reference field="4294967294" count="1" selected="0">
            <x v="1"/>
          </reference>
          <reference field="0" count="1" selected="0">
            <x v="60"/>
          </reference>
        </references>
      </pivotArea>
    </chartFormat>
    <chartFormat chart="2" format="856">
      <pivotArea type="data" outline="0" fieldPosition="0">
        <references count="2">
          <reference field="4294967294" count="1" selected="0">
            <x v="1"/>
          </reference>
          <reference field="0" count="1" selected="0">
            <x v="61"/>
          </reference>
        </references>
      </pivotArea>
    </chartFormat>
    <chartFormat chart="2" format="857">
      <pivotArea type="data" outline="0" fieldPosition="0">
        <references count="2">
          <reference field="4294967294" count="1" selected="0">
            <x v="1"/>
          </reference>
          <reference field="0" count="1" selected="0">
            <x v="62"/>
          </reference>
        </references>
      </pivotArea>
    </chartFormat>
    <chartFormat chart="2" format="858">
      <pivotArea type="data" outline="0" fieldPosition="0">
        <references count="2">
          <reference field="4294967294" count="1" selected="0">
            <x v="1"/>
          </reference>
          <reference field="0" count="1" selected="0">
            <x v="63"/>
          </reference>
        </references>
      </pivotArea>
    </chartFormat>
    <chartFormat chart="2" format="859">
      <pivotArea type="data" outline="0" fieldPosition="0">
        <references count="2">
          <reference field="4294967294" count="1" selected="0">
            <x v="1"/>
          </reference>
          <reference field="0" count="1" selected="0">
            <x v="64"/>
          </reference>
        </references>
      </pivotArea>
    </chartFormat>
    <chartFormat chart="2" format="860">
      <pivotArea type="data" outline="0" fieldPosition="0">
        <references count="2">
          <reference field="4294967294" count="1" selected="0">
            <x v="1"/>
          </reference>
          <reference field="0" count="1" selected="0">
            <x v="65"/>
          </reference>
        </references>
      </pivotArea>
    </chartFormat>
    <chartFormat chart="2" format="861">
      <pivotArea type="data" outline="0" fieldPosition="0">
        <references count="2">
          <reference field="4294967294" count="1" selected="0">
            <x v="1"/>
          </reference>
          <reference field="0" count="1" selected="0">
            <x v="66"/>
          </reference>
        </references>
      </pivotArea>
    </chartFormat>
    <chartFormat chart="2" format="862">
      <pivotArea type="data" outline="0" fieldPosition="0">
        <references count="2">
          <reference field="4294967294" count="1" selected="0">
            <x v="1"/>
          </reference>
          <reference field="0" count="1" selected="0">
            <x v="67"/>
          </reference>
        </references>
      </pivotArea>
    </chartFormat>
    <chartFormat chart="2" format="863">
      <pivotArea type="data" outline="0" fieldPosition="0">
        <references count="2">
          <reference field="4294967294" count="1" selected="0">
            <x v="1"/>
          </reference>
          <reference field="0" count="1" selected="0">
            <x v="68"/>
          </reference>
        </references>
      </pivotArea>
    </chartFormat>
    <chartFormat chart="2" format="864">
      <pivotArea type="data" outline="0" fieldPosition="0">
        <references count="2">
          <reference field="4294967294" count="1" selected="0">
            <x v="1"/>
          </reference>
          <reference field="0" count="1" selected="0">
            <x v="69"/>
          </reference>
        </references>
      </pivotArea>
    </chartFormat>
    <chartFormat chart="2" format="865">
      <pivotArea type="data" outline="0" fieldPosition="0">
        <references count="2">
          <reference field="4294967294" count="1" selected="0">
            <x v="1"/>
          </reference>
          <reference field="0" count="1" selected="0">
            <x v="70"/>
          </reference>
        </references>
      </pivotArea>
    </chartFormat>
    <chartFormat chart="2" format="866">
      <pivotArea type="data" outline="0" fieldPosition="0">
        <references count="2">
          <reference field="4294967294" count="1" selected="0">
            <x v="1"/>
          </reference>
          <reference field="0" count="1" selected="0">
            <x v="71"/>
          </reference>
        </references>
      </pivotArea>
    </chartFormat>
    <chartFormat chart="2" format="867">
      <pivotArea type="data" outline="0" fieldPosition="0">
        <references count="2">
          <reference field="4294967294" count="1" selected="0">
            <x v="1"/>
          </reference>
          <reference field="0" count="1" selected="0">
            <x v="72"/>
          </reference>
        </references>
      </pivotArea>
    </chartFormat>
    <chartFormat chart="2" format="868">
      <pivotArea type="data" outline="0" fieldPosition="0">
        <references count="2">
          <reference field="4294967294" count="1" selected="0">
            <x v="1"/>
          </reference>
          <reference field="0" count="1" selected="0">
            <x v="73"/>
          </reference>
        </references>
      </pivotArea>
    </chartFormat>
    <chartFormat chart="2" format="869">
      <pivotArea type="data" outline="0" fieldPosition="0">
        <references count="2">
          <reference field="4294967294" count="1" selected="0">
            <x v="1"/>
          </reference>
          <reference field="0" count="1" selected="0">
            <x v="74"/>
          </reference>
        </references>
      </pivotArea>
    </chartFormat>
    <chartFormat chart="2" format="870">
      <pivotArea type="data" outline="0" fieldPosition="0">
        <references count="2">
          <reference field="4294967294" count="1" selected="0">
            <x v="1"/>
          </reference>
          <reference field="0" count="1" selected="0">
            <x v="75"/>
          </reference>
        </references>
      </pivotArea>
    </chartFormat>
    <chartFormat chart="2" format="871">
      <pivotArea type="data" outline="0" fieldPosition="0">
        <references count="2">
          <reference field="4294967294" count="1" selected="0">
            <x v="1"/>
          </reference>
          <reference field="0" count="1" selected="0">
            <x v="76"/>
          </reference>
        </references>
      </pivotArea>
    </chartFormat>
    <chartFormat chart="2" format="872">
      <pivotArea type="data" outline="0" fieldPosition="0">
        <references count="2">
          <reference field="4294967294" count="1" selected="0">
            <x v="1"/>
          </reference>
          <reference field="0" count="1" selected="0">
            <x v="77"/>
          </reference>
        </references>
      </pivotArea>
    </chartFormat>
    <chartFormat chart="2" format="873">
      <pivotArea type="data" outline="0" fieldPosition="0">
        <references count="2">
          <reference field="4294967294" count="1" selected="0">
            <x v="1"/>
          </reference>
          <reference field="0" count="1" selected="0">
            <x v="78"/>
          </reference>
        </references>
      </pivotArea>
    </chartFormat>
    <chartFormat chart="2" format="874">
      <pivotArea type="data" outline="0" fieldPosition="0">
        <references count="2">
          <reference field="4294967294" count="1" selected="0">
            <x v="1"/>
          </reference>
          <reference field="0" count="1" selected="0">
            <x v="79"/>
          </reference>
        </references>
      </pivotArea>
    </chartFormat>
    <chartFormat chart="2" format="875">
      <pivotArea type="data" outline="0" fieldPosition="0">
        <references count="2">
          <reference field="4294967294" count="1" selected="0">
            <x v="1"/>
          </reference>
          <reference field="0" count="1" selected="0">
            <x v="80"/>
          </reference>
        </references>
      </pivotArea>
    </chartFormat>
    <chartFormat chart="2" format="876">
      <pivotArea type="data" outline="0" fieldPosition="0">
        <references count="2">
          <reference field="4294967294" count="1" selected="0">
            <x v="1"/>
          </reference>
          <reference field="0" count="1" selected="0">
            <x v="81"/>
          </reference>
        </references>
      </pivotArea>
    </chartFormat>
    <chartFormat chart="2" format="877">
      <pivotArea type="data" outline="0" fieldPosition="0">
        <references count="2">
          <reference field="4294967294" count="1" selected="0">
            <x v="1"/>
          </reference>
          <reference field="0" count="1" selected="0">
            <x v="82"/>
          </reference>
        </references>
      </pivotArea>
    </chartFormat>
    <chartFormat chart="2" format="878">
      <pivotArea type="data" outline="0" fieldPosition="0">
        <references count="2">
          <reference field="4294967294" count="1" selected="0">
            <x v="1"/>
          </reference>
          <reference field="0" count="1" selected="0">
            <x v="83"/>
          </reference>
        </references>
      </pivotArea>
    </chartFormat>
    <chartFormat chart="2" format="879">
      <pivotArea type="data" outline="0" fieldPosition="0">
        <references count="2">
          <reference field="4294967294" count="1" selected="0">
            <x v="1"/>
          </reference>
          <reference field="0" count="1" selected="0">
            <x v="84"/>
          </reference>
        </references>
      </pivotArea>
    </chartFormat>
    <chartFormat chart="2" format="880">
      <pivotArea type="data" outline="0" fieldPosition="0">
        <references count="2">
          <reference field="4294967294" count="1" selected="0">
            <x v="1"/>
          </reference>
          <reference field="0" count="1" selected="0">
            <x v="85"/>
          </reference>
        </references>
      </pivotArea>
    </chartFormat>
    <chartFormat chart="2" format="881">
      <pivotArea type="data" outline="0" fieldPosition="0">
        <references count="2">
          <reference field="4294967294" count="1" selected="0">
            <x v="1"/>
          </reference>
          <reference field="0" count="1" selected="0">
            <x v="86"/>
          </reference>
        </references>
      </pivotArea>
    </chartFormat>
    <chartFormat chart="2" format="882">
      <pivotArea type="data" outline="0" fieldPosition="0">
        <references count="2">
          <reference field="4294967294" count="1" selected="0">
            <x v="1"/>
          </reference>
          <reference field="0" count="1" selected="0">
            <x v="87"/>
          </reference>
        </references>
      </pivotArea>
    </chartFormat>
    <chartFormat chart="2" format="883">
      <pivotArea type="data" outline="0" fieldPosition="0">
        <references count="2">
          <reference field="4294967294" count="1" selected="0">
            <x v="1"/>
          </reference>
          <reference field="0" count="1" selected="0">
            <x v="88"/>
          </reference>
        </references>
      </pivotArea>
    </chartFormat>
    <chartFormat chart="2" format="884">
      <pivotArea type="data" outline="0" fieldPosition="0">
        <references count="2">
          <reference field="4294967294" count="1" selected="0">
            <x v="1"/>
          </reference>
          <reference field="0" count="1" selected="0">
            <x v="89"/>
          </reference>
        </references>
      </pivotArea>
    </chartFormat>
    <chartFormat chart="2" format="885">
      <pivotArea type="data" outline="0" fieldPosition="0">
        <references count="2">
          <reference field="4294967294" count="1" selected="0">
            <x v="1"/>
          </reference>
          <reference field="0" count="1" selected="0">
            <x v="90"/>
          </reference>
        </references>
      </pivotArea>
    </chartFormat>
    <chartFormat chart="2" format="886">
      <pivotArea type="data" outline="0" fieldPosition="0">
        <references count="2">
          <reference field="4294967294" count="1" selected="0">
            <x v="1"/>
          </reference>
          <reference field="0" count="1" selected="0">
            <x v="91"/>
          </reference>
        </references>
      </pivotArea>
    </chartFormat>
    <chartFormat chart="2" format="887">
      <pivotArea type="data" outline="0" fieldPosition="0">
        <references count="2">
          <reference field="4294967294" count="1" selected="0">
            <x v="1"/>
          </reference>
          <reference field="0" count="1" selected="0">
            <x v="92"/>
          </reference>
        </references>
      </pivotArea>
    </chartFormat>
    <chartFormat chart="2" format="888">
      <pivotArea type="data" outline="0" fieldPosition="0">
        <references count="2">
          <reference field="4294967294" count="1" selected="0">
            <x v="1"/>
          </reference>
          <reference field="0" count="1" selected="0">
            <x v="93"/>
          </reference>
        </references>
      </pivotArea>
    </chartFormat>
    <chartFormat chart="2" format="889">
      <pivotArea type="data" outline="0" fieldPosition="0">
        <references count="2">
          <reference field="4294967294" count="1" selected="0">
            <x v="1"/>
          </reference>
          <reference field="0" count="1" selected="0">
            <x v="94"/>
          </reference>
        </references>
      </pivotArea>
    </chartFormat>
    <chartFormat chart="2" format="890">
      <pivotArea type="data" outline="0" fieldPosition="0">
        <references count="2">
          <reference field="4294967294" count="1" selected="0">
            <x v="1"/>
          </reference>
          <reference field="0" count="1" selected="0">
            <x v="95"/>
          </reference>
        </references>
      </pivotArea>
    </chartFormat>
    <chartFormat chart="2" format="891">
      <pivotArea type="data" outline="0" fieldPosition="0">
        <references count="2">
          <reference field="4294967294" count="1" selected="0">
            <x v="1"/>
          </reference>
          <reference field="0" count="1" selected="0">
            <x v="96"/>
          </reference>
        </references>
      </pivotArea>
    </chartFormat>
    <chartFormat chart="2" format="892">
      <pivotArea type="data" outline="0" fieldPosition="0">
        <references count="2">
          <reference field="4294967294" count="1" selected="0">
            <x v="1"/>
          </reference>
          <reference field="0" count="1" selected="0">
            <x v="97"/>
          </reference>
        </references>
      </pivotArea>
    </chartFormat>
    <chartFormat chart="2" format="893">
      <pivotArea type="data" outline="0" fieldPosition="0">
        <references count="2">
          <reference field="4294967294" count="1" selected="0">
            <x v="1"/>
          </reference>
          <reference field="0" count="1" selected="0">
            <x v="98"/>
          </reference>
        </references>
      </pivotArea>
    </chartFormat>
    <chartFormat chart="2" format="894">
      <pivotArea type="data" outline="0" fieldPosition="0">
        <references count="2">
          <reference field="4294967294" count="1" selected="0">
            <x v="1"/>
          </reference>
          <reference field="0" count="1" selected="0">
            <x v="99"/>
          </reference>
        </references>
      </pivotArea>
    </chartFormat>
    <chartFormat chart="2" format="895">
      <pivotArea type="data" outline="0" fieldPosition="0">
        <references count="2">
          <reference field="4294967294" count="1" selected="0">
            <x v="1"/>
          </reference>
          <reference field="0" count="1" selected="0">
            <x v="100"/>
          </reference>
        </references>
      </pivotArea>
    </chartFormat>
    <chartFormat chart="2" format="896">
      <pivotArea type="data" outline="0" fieldPosition="0">
        <references count="2">
          <reference field="4294967294" count="1" selected="0">
            <x v="1"/>
          </reference>
          <reference field="0" count="1" selected="0">
            <x v="101"/>
          </reference>
        </references>
      </pivotArea>
    </chartFormat>
    <chartFormat chart="2" format="897">
      <pivotArea type="data" outline="0" fieldPosition="0">
        <references count="2">
          <reference field="4294967294" count="1" selected="0">
            <x v="1"/>
          </reference>
          <reference field="0" count="1" selected="0">
            <x v="102"/>
          </reference>
        </references>
      </pivotArea>
    </chartFormat>
    <chartFormat chart="2" format="898">
      <pivotArea type="data" outline="0" fieldPosition="0">
        <references count="2">
          <reference field="4294967294" count="1" selected="0">
            <x v="1"/>
          </reference>
          <reference field="0" count="1" selected="0">
            <x v="103"/>
          </reference>
        </references>
      </pivotArea>
    </chartFormat>
    <chartFormat chart="2" format="899">
      <pivotArea type="data" outline="0" fieldPosition="0">
        <references count="2">
          <reference field="4294967294" count="1" selected="0">
            <x v="1"/>
          </reference>
          <reference field="0" count="1" selected="0">
            <x v="104"/>
          </reference>
        </references>
      </pivotArea>
    </chartFormat>
    <chartFormat chart="2" format="900">
      <pivotArea type="data" outline="0" fieldPosition="0">
        <references count="2">
          <reference field="4294967294" count="1" selected="0">
            <x v="1"/>
          </reference>
          <reference field="0" count="1" selected="0">
            <x v="105"/>
          </reference>
        </references>
      </pivotArea>
    </chartFormat>
    <chartFormat chart="2" format="901">
      <pivotArea type="data" outline="0" fieldPosition="0">
        <references count="2">
          <reference field="4294967294" count="1" selected="0">
            <x v="1"/>
          </reference>
          <reference field="0" count="1" selected="0">
            <x v="106"/>
          </reference>
        </references>
      </pivotArea>
    </chartFormat>
    <chartFormat chart="2" format="902">
      <pivotArea type="data" outline="0" fieldPosition="0">
        <references count="2">
          <reference field="4294967294" count="1" selected="0">
            <x v="1"/>
          </reference>
          <reference field="0" count="1" selected="0">
            <x v="107"/>
          </reference>
        </references>
      </pivotArea>
    </chartFormat>
    <chartFormat chart="2" format="903">
      <pivotArea type="data" outline="0" fieldPosition="0">
        <references count="2">
          <reference field="4294967294" count="1" selected="0">
            <x v="1"/>
          </reference>
          <reference field="0" count="1" selected="0">
            <x v="108"/>
          </reference>
        </references>
      </pivotArea>
    </chartFormat>
    <chartFormat chart="2" format="904">
      <pivotArea type="data" outline="0" fieldPosition="0">
        <references count="2">
          <reference field="4294967294" count="1" selected="0">
            <x v="1"/>
          </reference>
          <reference field="0" count="1" selected="0">
            <x v="109"/>
          </reference>
        </references>
      </pivotArea>
    </chartFormat>
    <chartFormat chart="2" format="905">
      <pivotArea type="data" outline="0" fieldPosition="0">
        <references count="2">
          <reference field="4294967294" count="1" selected="0">
            <x v="1"/>
          </reference>
          <reference field="0" count="1" selected="0">
            <x v="110"/>
          </reference>
        </references>
      </pivotArea>
    </chartFormat>
    <chartFormat chart="2" format="906">
      <pivotArea type="data" outline="0" fieldPosition="0">
        <references count="2">
          <reference field="4294967294" count="1" selected="0">
            <x v="1"/>
          </reference>
          <reference field="0" count="1" selected="0">
            <x v="111"/>
          </reference>
        </references>
      </pivotArea>
    </chartFormat>
    <chartFormat chart="2" format="907">
      <pivotArea type="data" outline="0" fieldPosition="0">
        <references count="2">
          <reference field="4294967294" count="1" selected="0">
            <x v="1"/>
          </reference>
          <reference field="0" count="1" selected="0">
            <x v="112"/>
          </reference>
        </references>
      </pivotArea>
    </chartFormat>
    <chartFormat chart="2" format="908">
      <pivotArea type="data" outline="0" fieldPosition="0">
        <references count="2">
          <reference field="4294967294" count="1" selected="0">
            <x v="1"/>
          </reference>
          <reference field="0" count="1" selected="0">
            <x v="113"/>
          </reference>
        </references>
      </pivotArea>
    </chartFormat>
    <chartFormat chart="2" format="909">
      <pivotArea type="data" outline="0" fieldPosition="0">
        <references count="2">
          <reference field="4294967294" count="1" selected="0">
            <x v="1"/>
          </reference>
          <reference field="0" count="1" selected="0">
            <x v="114"/>
          </reference>
        </references>
      </pivotArea>
    </chartFormat>
    <chartFormat chart="2" format="910">
      <pivotArea type="data" outline="0" fieldPosition="0">
        <references count="2">
          <reference field="4294967294" count="1" selected="0">
            <x v="1"/>
          </reference>
          <reference field="0" count="1" selected="0">
            <x v="115"/>
          </reference>
        </references>
      </pivotArea>
    </chartFormat>
    <chartFormat chart="2" format="911">
      <pivotArea type="data" outline="0" fieldPosition="0">
        <references count="2">
          <reference field="4294967294" count="1" selected="0">
            <x v="1"/>
          </reference>
          <reference field="0" count="1" selected="0">
            <x v="116"/>
          </reference>
        </references>
      </pivotArea>
    </chartFormat>
    <chartFormat chart="2" format="912">
      <pivotArea type="data" outline="0" fieldPosition="0">
        <references count="2">
          <reference field="4294967294" count="1" selected="0">
            <x v="1"/>
          </reference>
          <reference field="0" count="1" selected="0">
            <x v="117"/>
          </reference>
        </references>
      </pivotArea>
    </chartFormat>
    <chartFormat chart="2" format="913">
      <pivotArea type="data" outline="0" fieldPosition="0">
        <references count="2">
          <reference field="4294967294" count="1" selected="0">
            <x v="1"/>
          </reference>
          <reference field="0" count="1" selected="0">
            <x v="118"/>
          </reference>
        </references>
      </pivotArea>
    </chartFormat>
    <chartFormat chart="2" format="914">
      <pivotArea type="data" outline="0" fieldPosition="0">
        <references count="2">
          <reference field="4294967294" count="1" selected="0">
            <x v="1"/>
          </reference>
          <reference field="0" count="1" selected="0">
            <x v="119"/>
          </reference>
        </references>
      </pivotArea>
    </chartFormat>
    <chartFormat chart="2" format="915">
      <pivotArea type="data" outline="0" fieldPosition="0">
        <references count="2">
          <reference field="4294967294" count="1" selected="0">
            <x v="1"/>
          </reference>
          <reference field="0" count="1" selected="0">
            <x v="120"/>
          </reference>
        </references>
      </pivotArea>
    </chartFormat>
    <chartFormat chart="2" format="916">
      <pivotArea type="data" outline="0" fieldPosition="0">
        <references count="2">
          <reference field="4294967294" count="1" selected="0">
            <x v="1"/>
          </reference>
          <reference field="0" count="1" selected="0">
            <x v="121"/>
          </reference>
        </references>
      </pivotArea>
    </chartFormat>
    <chartFormat chart="2" format="917">
      <pivotArea type="data" outline="0" fieldPosition="0">
        <references count="2">
          <reference field="4294967294" count="1" selected="0">
            <x v="1"/>
          </reference>
          <reference field="0" count="1" selected="0">
            <x v="122"/>
          </reference>
        </references>
      </pivotArea>
    </chartFormat>
    <chartFormat chart="2" format="918">
      <pivotArea type="data" outline="0" fieldPosition="0">
        <references count="2">
          <reference field="4294967294" count="1" selected="0">
            <x v="1"/>
          </reference>
          <reference field="0" count="1" selected="0">
            <x v="123"/>
          </reference>
        </references>
      </pivotArea>
    </chartFormat>
    <chartFormat chart="2" format="919">
      <pivotArea type="data" outline="0" fieldPosition="0">
        <references count="2">
          <reference field="4294967294" count="1" selected="0">
            <x v="1"/>
          </reference>
          <reference field="0" count="1" selected="0">
            <x v="124"/>
          </reference>
        </references>
      </pivotArea>
    </chartFormat>
    <chartFormat chart="2" format="920">
      <pivotArea type="data" outline="0" fieldPosition="0">
        <references count="2">
          <reference field="4294967294" count="1" selected="0">
            <x v="1"/>
          </reference>
          <reference field="0" count="1" selected="0">
            <x v="125"/>
          </reference>
        </references>
      </pivotArea>
    </chartFormat>
    <chartFormat chart="2" format="921">
      <pivotArea type="data" outline="0" fieldPosition="0">
        <references count="2">
          <reference field="4294967294" count="1" selected="0">
            <x v="1"/>
          </reference>
          <reference field="0" count="1" selected="0">
            <x v="126"/>
          </reference>
        </references>
      </pivotArea>
    </chartFormat>
    <chartFormat chart="2" format="922">
      <pivotArea type="data" outline="0" fieldPosition="0">
        <references count="2">
          <reference field="4294967294" count="1" selected="0">
            <x v="1"/>
          </reference>
          <reference field="0" count="1" selected="0">
            <x v="127"/>
          </reference>
        </references>
      </pivotArea>
    </chartFormat>
    <chartFormat chart="2" format="923">
      <pivotArea type="data" outline="0" fieldPosition="0">
        <references count="2">
          <reference field="4294967294" count="1" selected="0">
            <x v="1"/>
          </reference>
          <reference field="0" count="1" selected="0">
            <x v="128"/>
          </reference>
        </references>
      </pivotArea>
    </chartFormat>
    <chartFormat chart="2" format="924">
      <pivotArea type="data" outline="0" fieldPosition="0">
        <references count="2">
          <reference field="4294967294" count="1" selected="0">
            <x v="1"/>
          </reference>
          <reference field="0" count="1" selected="0">
            <x v="129"/>
          </reference>
        </references>
      </pivotArea>
    </chartFormat>
    <chartFormat chart="2" format="925">
      <pivotArea type="data" outline="0" fieldPosition="0">
        <references count="2">
          <reference field="4294967294" count="1" selected="0">
            <x v="1"/>
          </reference>
          <reference field="0" count="1" selected="0">
            <x v="130"/>
          </reference>
        </references>
      </pivotArea>
    </chartFormat>
    <chartFormat chart="2" format="926">
      <pivotArea type="data" outline="0" fieldPosition="0">
        <references count="2">
          <reference field="4294967294" count="1" selected="0">
            <x v="1"/>
          </reference>
          <reference field="0" count="1" selected="0">
            <x v="131"/>
          </reference>
        </references>
      </pivotArea>
    </chartFormat>
    <chartFormat chart="2" format="927">
      <pivotArea type="data" outline="0" fieldPosition="0">
        <references count="2">
          <reference field="4294967294" count="1" selected="0">
            <x v="1"/>
          </reference>
          <reference field="0" count="1" selected="0">
            <x v="132"/>
          </reference>
        </references>
      </pivotArea>
    </chartFormat>
    <chartFormat chart="2" format="928">
      <pivotArea type="data" outline="0" fieldPosition="0">
        <references count="2">
          <reference field="4294967294" count="1" selected="0">
            <x v="1"/>
          </reference>
          <reference field="0" count="1" selected="0">
            <x v="133"/>
          </reference>
        </references>
      </pivotArea>
    </chartFormat>
    <chartFormat chart="2" format="929">
      <pivotArea type="data" outline="0" fieldPosition="0">
        <references count="2">
          <reference field="4294967294" count="1" selected="0">
            <x v="1"/>
          </reference>
          <reference field="0" count="1" selected="0">
            <x v="134"/>
          </reference>
        </references>
      </pivotArea>
    </chartFormat>
    <chartFormat chart="2" format="930">
      <pivotArea type="data" outline="0" fieldPosition="0">
        <references count="2">
          <reference field="4294967294" count="1" selected="0">
            <x v="1"/>
          </reference>
          <reference field="0" count="1" selected="0">
            <x v="135"/>
          </reference>
        </references>
      </pivotArea>
    </chartFormat>
    <chartFormat chart="2" format="931">
      <pivotArea type="data" outline="0" fieldPosition="0">
        <references count="2">
          <reference field="4294967294" count="1" selected="0">
            <x v="1"/>
          </reference>
          <reference field="0" count="1" selected="0">
            <x v="136"/>
          </reference>
        </references>
      </pivotArea>
    </chartFormat>
    <chartFormat chart="2" format="932">
      <pivotArea type="data" outline="0" fieldPosition="0">
        <references count="2">
          <reference field="4294967294" count="1" selected="0">
            <x v="1"/>
          </reference>
          <reference field="0" count="1" selected="0">
            <x v="137"/>
          </reference>
        </references>
      </pivotArea>
    </chartFormat>
    <chartFormat chart="2" format="933">
      <pivotArea type="data" outline="0" fieldPosition="0">
        <references count="2">
          <reference field="4294967294" count="1" selected="0">
            <x v="1"/>
          </reference>
          <reference field="0" count="1" selected="0">
            <x v="138"/>
          </reference>
        </references>
      </pivotArea>
    </chartFormat>
    <chartFormat chart="2" format="934">
      <pivotArea type="data" outline="0" fieldPosition="0">
        <references count="2">
          <reference field="4294967294" count="1" selected="0">
            <x v="1"/>
          </reference>
          <reference field="0" count="1" selected="0">
            <x v="139"/>
          </reference>
        </references>
      </pivotArea>
    </chartFormat>
    <chartFormat chart="2" format="935">
      <pivotArea type="data" outline="0" fieldPosition="0">
        <references count="2">
          <reference field="4294967294" count="1" selected="0">
            <x v="1"/>
          </reference>
          <reference field="0" count="1" selected="0">
            <x v="140"/>
          </reference>
        </references>
      </pivotArea>
    </chartFormat>
    <chartFormat chart="2" format="936">
      <pivotArea type="data" outline="0" fieldPosition="0">
        <references count="2">
          <reference field="4294967294" count="1" selected="0">
            <x v="1"/>
          </reference>
          <reference field="0" count="1" selected="0">
            <x v="141"/>
          </reference>
        </references>
      </pivotArea>
    </chartFormat>
    <chartFormat chart="2" format="937">
      <pivotArea type="data" outline="0" fieldPosition="0">
        <references count="2">
          <reference field="4294967294" count="1" selected="0">
            <x v="1"/>
          </reference>
          <reference field="0" count="1" selected="0">
            <x v="142"/>
          </reference>
        </references>
      </pivotArea>
    </chartFormat>
    <chartFormat chart="2" format="938">
      <pivotArea type="data" outline="0" fieldPosition="0">
        <references count="2">
          <reference field="4294967294" count="1" selected="0">
            <x v="1"/>
          </reference>
          <reference field="0" count="1" selected="0">
            <x v="143"/>
          </reference>
        </references>
      </pivotArea>
    </chartFormat>
    <chartFormat chart="2" format="939">
      <pivotArea type="data" outline="0" fieldPosition="0">
        <references count="2">
          <reference field="4294967294" count="1" selected="0">
            <x v="1"/>
          </reference>
          <reference field="0" count="1" selected="0">
            <x v="144"/>
          </reference>
        </references>
      </pivotArea>
    </chartFormat>
    <chartFormat chart="2" format="940">
      <pivotArea type="data" outline="0" fieldPosition="0">
        <references count="2">
          <reference field="4294967294" count="1" selected="0">
            <x v="1"/>
          </reference>
          <reference field="0" count="1" selected="0">
            <x v="145"/>
          </reference>
        </references>
      </pivotArea>
    </chartFormat>
    <chartFormat chart="2" format="941">
      <pivotArea type="data" outline="0" fieldPosition="0">
        <references count="2">
          <reference field="4294967294" count="1" selected="0">
            <x v="1"/>
          </reference>
          <reference field="0" count="1" selected="0">
            <x v="146"/>
          </reference>
        </references>
      </pivotArea>
    </chartFormat>
    <chartFormat chart="2" format="942">
      <pivotArea type="data" outline="0" fieldPosition="0">
        <references count="2">
          <reference field="4294967294" count="1" selected="0">
            <x v="1"/>
          </reference>
          <reference field="0" count="1" selected="0">
            <x v="147"/>
          </reference>
        </references>
      </pivotArea>
    </chartFormat>
    <chartFormat chart="2" format="943">
      <pivotArea type="data" outline="0" fieldPosition="0">
        <references count="2">
          <reference field="4294967294" count="1" selected="0">
            <x v="1"/>
          </reference>
          <reference field="0" count="1" selected="0">
            <x v="148"/>
          </reference>
        </references>
      </pivotArea>
    </chartFormat>
    <chartFormat chart="2" format="944">
      <pivotArea type="data" outline="0" fieldPosition="0">
        <references count="2">
          <reference field="4294967294" count="1" selected="0">
            <x v="1"/>
          </reference>
          <reference field="0" count="1" selected="0">
            <x v="149"/>
          </reference>
        </references>
      </pivotArea>
    </chartFormat>
    <chartFormat chart="2" format="945">
      <pivotArea type="data" outline="0" fieldPosition="0">
        <references count="2">
          <reference field="4294967294" count="1" selected="0">
            <x v="1"/>
          </reference>
          <reference field="0" count="1" selected="0">
            <x v="150"/>
          </reference>
        </references>
      </pivotArea>
    </chartFormat>
    <chartFormat chart="2" format="946">
      <pivotArea type="data" outline="0" fieldPosition="0">
        <references count="2">
          <reference field="4294967294" count="1" selected="0">
            <x v="1"/>
          </reference>
          <reference field="0" count="1" selected="0">
            <x v="151"/>
          </reference>
        </references>
      </pivotArea>
    </chartFormat>
    <chartFormat chart="2" format="947">
      <pivotArea type="data" outline="0" fieldPosition="0">
        <references count="2">
          <reference field="4294967294" count="1" selected="0">
            <x v="1"/>
          </reference>
          <reference field="0" count="1" selected="0">
            <x v="152"/>
          </reference>
        </references>
      </pivotArea>
    </chartFormat>
    <chartFormat chart="2" format="948">
      <pivotArea type="data" outline="0" fieldPosition="0">
        <references count="2">
          <reference field="4294967294" count="1" selected="0">
            <x v="1"/>
          </reference>
          <reference field="0" count="1" selected="0">
            <x v="153"/>
          </reference>
        </references>
      </pivotArea>
    </chartFormat>
    <chartFormat chart="2" format="949">
      <pivotArea type="data" outline="0" fieldPosition="0">
        <references count="2">
          <reference field="4294967294" count="1" selected="0">
            <x v="1"/>
          </reference>
          <reference field="0" count="1" selected="0">
            <x v="154"/>
          </reference>
        </references>
      </pivotArea>
    </chartFormat>
    <chartFormat chart="2" format="950">
      <pivotArea type="data" outline="0" fieldPosition="0">
        <references count="2">
          <reference field="4294967294" count="1" selected="0">
            <x v="1"/>
          </reference>
          <reference field="0" count="1" selected="0">
            <x v="155"/>
          </reference>
        </references>
      </pivotArea>
    </chartFormat>
    <chartFormat chart="2" format="951">
      <pivotArea type="data" outline="0" fieldPosition="0">
        <references count="2">
          <reference field="4294967294" count="1" selected="0">
            <x v="1"/>
          </reference>
          <reference field="0" count="1" selected="0">
            <x v="156"/>
          </reference>
        </references>
      </pivotArea>
    </chartFormat>
    <chartFormat chart="2" format="952">
      <pivotArea type="data" outline="0" fieldPosition="0">
        <references count="2">
          <reference field="4294967294" count="1" selected="0">
            <x v="1"/>
          </reference>
          <reference field="0" count="1" selected="0">
            <x v="157"/>
          </reference>
        </references>
      </pivotArea>
    </chartFormat>
    <chartFormat chart="2" format="953">
      <pivotArea type="data" outline="0" fieldPosition="0">
        <references count="2">
          <reference field="4294967294" count="1" selected="0">
            <x v="1"/>
          </reference>
          <reference field="0" count="1" selected="0">
            <x v="158"/>
          </reference>
        </references>
      </pivotArea>
    </chartFormat>
    <chartFormat chart="2" format="954">
      <pivotArea type="data" outline="0" fieldPosition="0">
        <references count="2">
          <reference field="4294967294" count="1" selected="0">
            <x v="1"/>
          </reference>
          <reference field="0" count="1" selected="0">
            <x v="159"/>
          </reference>
        </references>
      </pivotArea>
    </chartFormat>
    <chartFormat chart="2" format="955">
      <pivotArea type="data" outline="0" fieldPosition="0">
        <references count="2">
          <reference field="4294967294" count="1" selected="0">
            <x v="1"/>
          </reference>
          <reference field="0" count="1" selected="0">
            <x v="160"/>
          </reference>
        </references>
      </pivotArea>
    </chartFormat>
    <chartFormat chart="2" format="956">
      <pivotArea type="data" outline="0" fieldPosition="0">
        <references count="2">
          <reference field="4294967294" count="1" selected="0">
            <x v="1"/>
          </reference>
          <reference field="0" count="1" selected="0">
            <x v="161"/>
          </reference>
        </references>
      </pivotArea>
    </chartFormat>
    <chartFormat chart="2" format="957">
      <pivotArea type="data" outline="0" fieldPosition="0">
        <references count="2">
          <reference field="4294967294" count="1" selected="0">
            <x v="1"/>
          </reference>
          <reference field="0" count="1" selected="0">
            <x v="162"/>
          </reference>
        </references>
      </pivotArea>
    </chartFormat>
    <chartFormat chart="2" format="958">
      <pivotArea type="data" outline="0" fieldPosition="0">
        <references count="2">
          <reference field="4294967294" count="1" selected="0">
            <x v="1"/>
          </reference>
          <reference field="0" count="1" selected="0">
            <x v="163"/>
          </reference>
        </references>
      </pivotArea>
    </chartFormat>
    <chartFormat chart="2" format="959">
      <pivotArea type="data" outline="0" fieldPosition="0">
        <references count="2">
          <reference field="4294967294" count="1" selected="0">
            <x v="1"/>
          </reference>
          <reference field="0" count="1" selected="0">
            <x v="164"/>
          </reference>
        </references>
      </pivotArea>
    </chartFormat>
    <chartFormat chart="2" format="960">
      <pivotArea type="data" outline="0" fieldPosition="0">
        <references count="2">
          <reference field="4294967294" count="1" selected="0">
            <x v="1"/>
          </reference>
          <reference field="0" count="1" selected="0">
            <x v="165"/>
          </reference>
        </references>
      </pivotArea>
    </chartFormat>
    <chartFormat chart="2" format="961">
      <pivotArea type="data" outline="0" fieldPosition="0">
        <references count="2">
          <reference field="4294967294" count="1" selected="0">
            <x v="1"/>
          </reference>
          <reference field="0" count="1" selected="0">
            <x v="166"/>
          </reference>
        </references>
      </pivotArea>
    </chartFormat>
    <chartFormat chart="2" format="962">
      <pivotArea type="data" outline="0" fieldPosition="0">
        <references count="2">
          <reference field="4294967294" count="1" selected="0">
            <x v="1"/>
          </reference>
          <reference field="0" count="1" selected="0">
            <x v="167"/>
          </reference>
        </references>
      </pivotArea>
    </chartFormat>
    <chartFormat chart="2" format="963">
      <pivotArea type="data" outline="0" fieldPosition="0">
        <references count="2">
          <reference field="4294967294" count="1" selected="0">
            <x v="1"/>
          </reference>
          <reference field="0" count="1" selected="0">
            <x v="168"/>
          </reference>
        </references>
      </pivotArea>
    </chartFormat>
    <chartFormat chart="2" format="964">
      <pivotArea type="data" outline="0" fieldPosition="0">
        <references count="2">
          <reference field="4294967294" count="1" selected="0">
            <x v="1"/>
          </reference>
          <reference field="0" count="1" selected="0">
            <x v="169"/>
          </reference>
        </references>
      </pivotArea>
    </chartFormat>
    <chartFormat chart="2" format="965">
      <pivotArea type="data" outline="0" fieldPosition="0">
        <references count="2">
          <reference field="4294967294" count="1" selected="0">
            <x v="1"/>
          </reference>
          <reference field="0" count="1" selected="0">
            <x v="170"/>
          </reference>
        </references>
      </pivotArea>
    </chartFormat>
    <chartFormat chart="2" format="966">
      <pivotArea type="data" outline="0" fieldPosition="0">
        <references count="2">
          <reference field="4294967294" count="1" selected="0">
            <x v="1"/>
          </reference>
          <reference field="0" count="1" selected="0">
            <x v="171"/>
          </reference>
        </references>
      </pivotArea>
    </chartFormat>
    <chartFormat chart="2" format="967">
      <pivotArea type="data" outline="0" fieldPosition="0">
        <references count="2">
          <reference field="4294967294" count="1" selected="0">
            <x v="1"/>
          </reference>
          <reference field="0" count="1" selected="0">
            <x v="172"/>
          </reference>
        </references>
      </pivotArea>
    </chartFormat>
    <chartFormat chart="2" format="968">
      <pivotArea type="data" outline="0" fieldPosition="0">
        <references count="2">
          <reference field="4294967294" count="1" selected="0">
            <x v="1"/>
          </reference>
          <reference field="0" count="1" selected="0">
            <x v="173"/>
          </reference>
        </references>
      </pivotArea>
    </chartFormat>
    <chartFormat chart="2" format="969">
      <pivotArea type="data" outline="0" fieldPosition="0">
        <references count="2">
          <reference field="4294967294" count="1" selected="0">
            <x v="1"/>
          </reference>
          <reference field="0" count="1" selected="0">
            <x v="174"/>
          </reference>
        </references>
      </pivotArea>
    </chartFormat>
    <chartFormat chart="2" format="970">
      <pivotArea type="data" outline="0" fieldPosition="0">
        <references count="2">
          <reference field="4294967294" count="1" selected="0">
            <x v="1"/>
          </reference>
          <reference field="0" count="1" selected="0">
            <x v="175"/>
          </reference>
        </references>
      </pivotArea>
    </chartFormat>
    <chartFormat chart="2" format="971">
      <pivotArea type="data" outline="0" fieldPosition="0">
        <references count="2">
          <reference field="4294967294" count="1" selected="0">
            <x v="1"/>
          </reference>
          <reference field="0" count="1" selected="0">
            <x v="176"/>
          </reference>
        </references>
      </pivotArea>
    </chartFormat>
    <chartFormat chart="2" format="972">
      <pivotArea type="data" outline="0" fieldPosition="0">
        <references count="2">
          <reference field="4294967294" count="1" selected="0">
            <x v="1"/>
          </reference>
          <reference field="0" count="1" selected="0">
            <x v="177"/>
          </reference>
        </references>
      </pivotArea>
    </chartFormat>
    <chartFormat chart="2" format="973">
      <pivotArea type="data" outline="0" fieldPosition="0">
        <references count="2">
          <reference field="4294967294" count="1" selected="0">
            <x v="1"/>
          </reference>
          <reference field="0" count="1" selected="0">
            <x v="178"/>
          </reference>
        </references>
      </pivotArea>
    </chartFormat>
    <chartFormat chart="2" format="974">
      <pivotArea type="data" outline="0" fieldPosition="0">
        <references count="2">
          <reference field="4294967294" count="1" selected="0">
            <x v="1"/>
          </reference>
          <reference field="0" count="1" selected="0">
            <x v="179"/>
          </reference>
        </references>
      </pivotArea>
    </chartFormat>
    <chartFormat chart="2" format="975">
      <pivotArea type="data" outline="0" fieldPosition="0">
        <references count="2">
          <reference field="4294967294" count="1" selected="0">
            <x v="1"/>
          </reference>
          <reference field="0" count="1" selected="0">
            <x v="180"/>
          </reference>
        </references>
      </pivotArea>
    </chartFormat>
    <chartFormat chart="2" format="976">
      <pivotArea type="data" outline="0" fieldPosition="0">
        <references count="2">
          <reference field="4294967294" count="1" selected="0">
            <x v="1"/>
          </reference>
          <reference field="0" count="1" selected="0">
            <x v="181"/>
          </reference>
        </references>
      </pivotArea>
    </chartFormat>
    <chartFormat chart="2" format="977">
      <pivotArea type="data" outline="0" fieldPosition="0">
        <references count="2">
          <reference field="4294967294" count="1" selected="0">
            <x v="1"/>
          </reference>
          <reference field="0" count="1" selected="0">
            <x v="182"/>
          </reference>
        </references>
      </pivotArea>
    </chartFormat>
    <chartFormat chart="2" format="978">
      <pivotArea type="data" outline="0" fieldPosition="0">
        <references count="2">
          <reference field="4294967294" count="1" selected="0">
            <x v="1"/>
          </reference>
          <reference field="0" count="1" selected="0">
            <x v="183"/>
          </reference>
        </references>
      </pivotArea>
    </chartFormat>
    <chartFormat chart="2" format="979">
      <pivotArea type="data" outline="0" fieldPosition="0">
        <references count="2">
          <reference field="4294967294" count="1" selected="0">
            <x v="1"/>
          </reference>
          <reference field="0" count="1" selected="0">
            <x v="184"/>
          </reference>
        </references>
      </pivotArea>
    </chartFormat>
    <chartFormat chart="2" format="980">
      <pivotArea type="data" outline="0" fieldPosition="0">
        <references count="2">
          <reference field="4294967294" count="1" selected="0">
            <x v="1"/>
          </reference>
          <reference field="0" count="1" selected="0">
            <x v="185"/>
          </reference>
        </references>
      </pivotArea>
    </chartFormat>
    <chartFormat chart="2" format="981">
      <pivotArea type="data" outline="0" fieldPosition="0">
        <references count="2">
          <reference field="4294967294" count="1" selected="0">
            <x v="1"/>
          </reference>
          <reference field="0" count="1" selected="0">
            <x v="186"/>
          </reference>
        </references>
      </pivotArea>
    </chartFormat>
    <chartFormat chart="2" format="982">
      <pivotArea type="data" outline="0" fieldPosition="0">
        <references count="2">
          <reference field="4294967294" count="1" selected="0">
            <x v="1"/>
          </reference>
          <reference field="0" count="1" selected="0">
            <x v="187"/>
          </reference>
        </references>
      </pivotArea>
    </chartFormat>
    <chartFormat chart="2" format="983">
      <pivotArea type="data" outline="0" fieldPosition="0">
        <references count="2">
          <reference field="4294967294" count="1" selected="0">
            <x v="1"/>
          </reference>
          <reference field="0" count="1" selected="0">
            <x v="188"/>
          </reference>
        </references>
      </pivotArea>
    </chartFormat>
    <chartFormat chart="2" format="984">
      <pivotArea type="data" outline="0" fieldPosition="0">
        <references count="2">
          <reference field="4294967294" count="1" selected="0">
            <x v="1"/>
          </reference>
          <reference field="0" count="1" selected="0">
            <x v="189"/>
          </reference>
        </references>
      </pivotArea>
    </chartFormat>
    <chartFormat chart="2" format="985">
      <pivotArea type="data" outline="0" fieldPosition="0">
        <references count="2">
          <reference field="4294967294" count="1" selected="0">
            <x v="1"/>
          </reference>
          <reference field="0" count="1" selected="0">
            <x v="190"/>
          </reference>
        </references>
      </pivotArea>
    </chartFormat>
    <chartFormat chart="2" format="986">
      <pivotArea type="data" outline="0" fieldPosition="0">
        <references count="2">
          <reference field="4294967294" count="1" selected="0">
            <x v="1"/>
          </reference>
          <reference field="0" count="1" selected="0">
            <x v="191"/>
          </reference>
        </references>
      </pivotArea>
    </chartFormat>
    <chartFormat chart="2" format="987">
      <pivotArea type="data" outline="0" fieldPosition="0">
        <references count="2">
          <reference field="4294967294" count="1" selected="0">
            <x v="1"/>
          </reference>
          <reference field="0" count="1" selected="0">
            <x v="192"/>
          </reference>
        </references>
      </pivotArea>
    </chartFormat>
    <chartFormat chart="2" format="988">
      <pivotArea type="data" outline="0" fieldPosition="0">
        <references count="2">
          <reference field="4294967294" count="1" selected="0">
            <x v="1"/>
          </reference>
          <reference field="0" count="1" selected="0">
            <x v="193"/>
          </reference>
        </references>
      </pivotArea>
    </chartFormat>
    <chartFormat chart="2" format="989">
      <pivotArea type="data" outline="0" fieldPosition="0">
        <references count="2">
          <reference field="4294967294" count="1" selected="0">
            <x v="1"/>
          </reference>
          <reference field="0" count="1" selected="0">
            <x v="194"/>
          </reference>
        </references>
      </pivotArea>
    </chartFormat>
    <chartFormat chart="2" format="990">
      <pivotArea type="data" outline="0" fieldPosition="0">
        <references count="2">
          <reference field="4294967294" count="1" selected="0">
            <x v="1"/>
          </reference>
          <reference field="0" count="1" selected="0">
            <x v="195"/>
          </reference>
        </references>
      </pivotArea>
    </chartFormat>
    <chartFormat chart="2" format="991">
      <pivotArea type="data" outline="0" fieldPosition="0">
        <references count="2">
          <reference field="4294967294" count="1" selected="0">
            <x v="1"/>
          </reference>
          <reference field="0" count="1" selected="0">
            <x v="196"/>
          </reference>
        </references>
      </pivotArea>
    </chartFormat>
    <chartFormat chart="2" format="992">
      <pivotArea type="data" outline="0" fieldPosition="0">
        <references count="2">
          <reference field="4294967294" count="1" selected="0">
            <x v="1"/>
          </reference>
          <reference field="0" count="1" selected="0">
            <x v="197"/>
          </reference>
        </references>
      </pivotArea>
    </chartFormat>
    <chartFormat chart="2" format="993">
      <pivotArea type="data" outline="0" fieldPosition="0">
        <references count="2">
          <reference field="4294967294" count="1" selected="0">
            <x v="1"/>
          </reference>
          <reference field="0" count="1" selected="0">
            <x v="198"/>
          </reference>
        </references>
      </pivotArea>
    </chartFormat>
    <chartFormat chart="2" format="994">
      <pivotArea type="data" outline="0" fieldPosition="0">
        <references count="2">
          <reference field="4294967294" count="1" selected="0">
            <x v="1"/>
          </reference>
          <reference field="0" count="1" selected="0">
            <x v="199"/>
          </reference>
        </references>
      </pivotArea>
    </chartFormat>
    <chartFormat chart="2" format="995">
      <pivotArea type="data" outline="0" fieldPosition="0">
        <references count="2">
          <reference field="4294967294" count="1" selected="0">
            <x v="1"/>
          </reference>
          <reference field="0" count="1" selected="0">
            <x v="200"/>
          </reference>
        </references>
      </pivotArea>
    </chartFormat>
    <chartFormat chart="2" format="996">
      <pivotArea type="data" outline="0" fieldPosition="0">
        <references count="2">
          <reference field="4294967294" count="1" selected="0">
            <x v="1"/>
          </reference>
          <reference field="0" count="1" selected="0">
            <x v="201"/>
          </reference>
        </references>
      </pivotArea>
    </chartFormat>
    <chartFormat chart="2" format="997">
      <pivotArea type="data" outline="0" fieldPosition="0">
        <references count="2">
          <reference field="4294967294" count="1" selected="0">
            <x v="1"/>
          </reference>
          <reference field="0" count="1" selected="0">
            <x v="202"/>
          </reference>
        </references>
      </pivotArea>
    </chartFormat>
    <chartFormat chart="2" format="998">
      <pivotArea type="data" outline="0" fieldPosition="0">
        <references count="2">
          <reference field="4294967294" count="1" selected="0">
            <x v="1"/>
          </reference>
          <reference field="0" count="1" selected="0">
            <x v="203"/>
          </reference>
        </references>
      </pivotArea>
    </chartFormat>
    <chartFormat chart="2" format="999">
      <pivotArea type="data" outline="0" fieldPosition="0">
        <references count="2">
          <reference field="4294967294" count="1" selected="0">
            <x v="1"/>
          </reference>
          <reference field="0" count="1" selected="0">
            <x v="204"/>
          </reference>
        </references>
      </pivotArea>
    </chartFormat>
    <chartFormat chart="2" format="1000">
      <pivotArea type="data" outline="0" fieldPosition="0">
        <references count="2">
          <reference field="4294967294" count="1" selected="0">
            <x v="1"/>
          </reference>
          <reference field="0" count="1" selected="0">
            <x v="205"/>
          </reference>
        </references>
      </pivotArea>
    </chartFormat>
    <chartFormat chart="2" format="1001">
      <pivotArea type="data" outline="0" fieldPosition="0">
        <references count="2">
          <reference field="4294967294" count="1" selected="0">
            <x v="1"/>
          </reference>
          <reference field="0" count="1" selected="0">
            <x v="206"/>
          </reference>
        </references>
      </pivotArea>
    </chartFormat>
    <chartFormat chart="2" format="1002">
      <pivotArea type="data" outline="0" fieldPosition="0">
        <references count="2">
          <reference field="4294967294" count="1" selected="0">
            <x v="1"/>
          </reference>
          <reference field="0" count="1" selected="0">
            <x v="207"/>
          </reference>
        </references>
      </pivotArea>
    </chartFormat>
    <chartFormat chart="2" format="1003">
      <pivotArea type="data" outline="0" fieldPosition="0">
        <references count="2">
          <reference field="4294967294" count="1" selected="0">
            <x v="1"/>
          </reference>
          <reference field="0" count="1" selected="0">
            <x v="208"/>
          </reference>
        </references>
      </pivotArea>
    </chartFormat>
    <chartFormat chart="2" format="1004">
      <pivotArea type="data" outline="0" fieldPosition="0">
        <references count="2">
          <reference field="4294967294" count="1" selected="0">
            <x v="1"/>
          </reference>
          <reference field="0" count="1" selected="0">
            <x v="209"/>
          </reference>
        </references>
      </pivotArea>
    </chartFormat>
    <chartFormat chart="2" format="1005">
      <pivotArea type="data" outline="0" fieldPosition="0">
        <references count="2">
          <reference field="4294967294" count="1" selected="0">
            <x v="1"/>
          </reference>
          <reference field="0" count="1" selected="0">
            <x v="210"/>
          </reference>
        </references>
      </pivotArea>
    </chartFormat>
    <chartFormat chart="2" format="1006">
      <pivotArea type="data" outline="0" fieldPosition="0">
        <references count="2">
          <reference field="4294967294" count="1" selected="0">
            <x v="1"/>
          </reference>
          <reference field="0" count="1" selected="0">
            <x v="211"/>
          </reference>
        </references>
      </pivotArea>
    </chartFormat>
    <chartFormat chart="2" format="1007">
      <pivotArea type="data" outline="0" fieldPosition="0">
        <references count="2">
          <reference field="4294967294" count="1" selected="0">
            <x v="1"/>
          </reference>
          <reference field="0" count="1" selected="0">
            <x v="212"/>
          </reference>
        </references>
      </pivotArea>
    </chartFormat>
    <chartFormat chart="2" format="1008">
      <pivotArea type="data" outline="0" fieldPosition="0">
        <references count="2">
          <reference field="4294967294" count="1" selected="0">
            <x v="1"/>
          </reference>
          <reference field="0" count="1" selected="0">
            <x v="213"/>
          </reference>
        </references>
      </pivotArea>
    </chartFormat>
    <chartFormat chart="2" format="1009">
      <pivotArea type="data" outline="0" fieldPosition="0">
        <references count="2">
          <reference field="4294967294" count="1" selected="0">
            <x v="1"/>
          </reference>
          <reference field="0" count="1" selected="0">
            <x v="214"/>
          </reference>
        </references>
      </pivotArea>
    </chartFormat>
    <chartFormat chart="2" format="1010">
      <pivotArea type="data" outline="0" fieldPosition="0">
        <references count="2">
          <reference field="4294967294" count="1" selected="0">
            <x v="1"/>
          </reference>
          <reference field="0" count="1" selected="0">
            <x v="215"/>
          </reference>
        </references>
      </pivotArea>
    </chartFormat>
    <chartFormat chart="2" format="1011">
      <pivotArea type="data" outline="0" fieldPosition="0">
        <references count="2">
          <reference field="4294967294" count="1" selected="0">
            <x v="1"/>
          </reference>
          <reference field="0" count="1" selected="0">
            <x v="216"/>
          </reference>
        </references>
      </pivotArea>
    </chartFormat>
    <chartFormat chart="2" format="1012">
      <pivotArea type="data" outline="0" fieldPosition="0">
        <references count="2">
          <reference field="4294967294" count="1" selected="0">
            <x v="1"/>
          </reference>
          <reference field="0" count="1" selected="0">
            <x v="217"/>
          </reference>
        </references>
      </pivotArea>
    </chartFormat>
    <chartFormat chart="2" format="1013">
      <pivotArea type="data" outline="0" fieldPosition="0">
        <references count="2">
          <reference field="4294967294" count="1" selected="0">
            <x v="1"/>
          </reference>
          <reference field="0" count="1" selected="0">
            <x v="218"/>
          </reference>
        </references>
      </pivotArea>
    </chartFormat>
    <chartFormat chart="2" format="1014">
      <pivotArea type="data" outline="0" fieldPosition="0">
        <references count="2">
          <reference field="4294967294" count="1" selected="0">
            <x v="1"/>
          </reference>
          <reference field="0" count="1" selected="0">
            <x v="219"/>
          </reference>
        </references>
      </pivotArea>
    </chartFormat>
    <chartFormat chart="2" format="1015">
      <pivotArea type="data" outline="0" fieldPosition="0">
        <references count="2">
          <reference field="4294967294" count="1" selected="0">
            <x v="1"/>
          </reference>
          <reference field="0" count="1" selected="0">
            <x v="220"/>
          </reference>
        </references>
      </pivotArea>
    </chartFormat>
    <chartFormat chart="2" format="1016">
      <pivotArea type="data" outline="0" fieldPosition="0">
        <references count="2">
          <reference field="4294967294" count="1" selected="0">
            <x v="1"/>
          </reference>
          <reference field="0" count="1" selected="0">
            <x v="221"/>
          </reference>
        </references>
      </pivotArea>
    </chartFormat>
    <chartFormat chart="2" format="1017">
      <pivotArea type="data" outline="0" fieldPosition="0">
        <references count="2">
          <reference field="4294967294" count="1" selected="0">
            <x v="1"/>
          </reference>
          <reference field="0" count="1" selected="0">
            <x v="222"/>
          </reference>
        </references>
      </pivotArea>
    </chartFormat>
    <chartFormat chart="2" format="1018">
      <pivotArea type="data" outline="0" fieldPosition="0">
        <references count="2">
          <reference field="4294967294" count="1" selected="0">
            <x v="1"/>
          </reference>
          <reference field="0" count="1" selected="0">
            <x v="223"/>
          </reference>
        </references>
      </pivotArea>
    </chartFormat>
    <chartFormat chart="2" format="1019">
      <pivotArea type="data" outline="0" fieldPosition="0">
        <references count="2">
          <reference field="4294967294" count="1" selected="0">
            <x v="1"/>
          </reference>
          <reference field="0" count="1" selected="0">
            <x v="224"/>
          </reference>
        </references>
      </pivotArea>
    </chartFormat>
    <chartFormat chart="2" format="1020">
      <pivotArea type="data" outline="0" fieldPosition="0">
        <references count="2">
          <reference field="4294967294" count="1" selected="0">
            <x v="1"/>
          </reference>
          <reference field="0" count="1" selected="0">
            <x v="225"/>
          </reference>
        </references>
      </pivotArea>
    </chartFormat>
    <chartFormat chart="2" format="1021">
      <pivotArea type="data" outline="0" fieldPosition="0">
        <references count="2">
          <reference field="4294967294" count="1" selected="0">
            <x v="1"/>
          </reference>
          <reference field="0" count="1" selected="0">
            <x v="226"/>
          </reference>
        </references>
      </pivotArea>
    </chartFormat>
    <chartFormat chart="2" format="1022">
      <pivotArea type="data" outline="0" fieldPosition="0">
        <references count="2">
          <reference field="4294967294" count="1" selected="0">
            <x v="1"/>
          </reference>
          <reference field="0" count="1" selected="0">
            <x v="227"/>
          </reference>
        </references>
      </pivotArea>
    </chartFormat>
    <chartFormat chart="2" format="1023">
      <pivotArea type="data" outline="0" fieldPosition="0">
        <references count="2">
          <reference field="4294967294" count="1" selected="0">
            <x v="1"/>
          </reference>
          <reference field="0" count="1" selected="0">
            <x v="228"/>
          </reference>
        </references>
      </pivotArea>
    </chartFormat>
    <chartFormat chart="2" format="1024">
      <pivotArea type="data" outline="0" fieldPosition="0">
        <references count="2">
          <reference field="4294967294" count="1" selected="0">
            <x v="1"/>
          </reference>
          <reference field="0" count="1" selected="0">
            <x v="229"/>
          </reference>
        </references>
      </pivotArea>
    </chartFormat>
    <chartFormat chart="2" format="1025">
      <pivotArea type="data" outline="0" fieldPosition="0">
        <references count="2">
          <reference field="4294967294" count="1" selected="0">
            <x v="1"/>
          </reference>
          <reference field="0" count="1" selected="0">
            <x v="230"/>
          </reference>
        </references>
      </pivotArea>
    </chartFormat>
    <chartFormat chart="2" format="1026">
      <pivotArea type="data" outline="0" fieldPosition="0">
        <references count="2">
          <reference field="4294967294" count="1" selected="0">
            <x v="1"/>
          </reference>
          <reference field="0" count="1" selected="0">
            <x v="231"/>
          </reference>
        </references>
      </pivotArea>
    </chartFormat>
    <chartFormat chart="2" format="1027">
      <pivotArea type="data" outline="0" fieldPosition="0">
        <references count="2">
          <reference field="4294967294" count="1" selected="0">
            <x v="1"/>
          </reference>
          <reference field="0" count="1" selected="0">
            <x v="232"/>
          </reference>
        </references>
      </pivotArea>
    </chartFormat>
    <chartFormat chart="2" format="1028">
      <pivotArea type="data" outline="0" fieldPosition="0">
        <references count="2">
          <reference field="4294967294" count="1" selected="0">
            <x v="1"/>
          </reference>
          <reference field="0" count="1" selected="0">
            <x v="233"/>
          </reference>
        </references>
      </pivotArea>
    </chartFormat>
    <chartFormat chart="2" format="1029">
      <pivotArea type="data" outline="0" fieldPosition="0">
        <references count="2">
          <reference field="4294967294" count="1" selected="0">
            <x v="1"/>
          </reference>
          <reference field="0" count="1" selected="0">
            <x v="234"/>
          </reference>
        </references>
      </pivotArea>
    </chartFormat>
    <chartFormat chart="2" format="1030">
      <pivotArea type="data" outline="0" fieldPosition="0">
        <references count="2">
          <reference field="4294967294" count="1" selected="0">
            <x v="1"/>
          </reference>
          <reference field="0" count="1" selected="0">
            <x v="235"/>
          </reference>
        </references>
      </pivotArea>
    </chartFormat>
    <chartFormat chart="2" format="1031">
      <pivotArea type="data" outline="0" fieldPosition="0">
        <references count="2">
          <reference field="4294967294" count="1" selected="0">
            <x v="1"/>
          </reference>
          <reference field="0" count="1" selected="0">
            <x v="236"/>
          </reference>
        </references>
      </pivotArea>
    </chartFormat>
    <chartFormat chart="2" format="1032">
      <pivotArea type="data" outline="0" fieldPosition="0">
        <references count="2">
          <reference field="4294967294" count="1" selected="0">
            <x v="1"/>
          </reference>
          <reference field="0" count="1" selected="0">
            <x v="237"/>
          </reference>
        </references>
      </pivotArea>
    </chartFormat>
    <chartFormat chart="2" format="1033">
      <pivotArea type="data" outline="0" fieldPosition="0">
        <references count="2">
          <reference field="4294967294" count="1" selected="0">
            <x v="1"/>
          </reference>
          <reference field="0" count="1" selected="0">
            <x v="238"/>
          </reference>
        </references>
      </pivotArea>
    </chartFormat>
    <chartFormat chart="2" format="1034">
      <pivotArea type="data" outline="0" fieldPosition="0">
        <references count="2">
          <reference field="4294967294" count="1" selected="0">
            <x v="1"/>
          </reference>
          <reference field="0" count="1" selected="0">
            <x v="239"/>
          </reference>
        </references>
      </pivotArea>
    </chartFormat>
    <chartFormat chart="2" format="1035">
      <pivotArea type="data" outline="0" fieldPosition="0">
        <references count="2">
          <reference field="4294967294" count="1" selected="0">
            <x v="1"/>
          </reference>
          <reference field="0" count="1" selected="0">
            <x v="240"/>
          </reference>
        </references>
      </pivotArea>
    </chartFormat>
    <chartFormat chart="2" format="1036">
      <pivotArea type="data" outline="0" fieldPosition="0">
        <references count="2">
          <reference field="4294967294" count="1" selected="0">
            <x v="1"/>
          </reference>
          <reference field="0" count="1" selected="0">
            <x v="241"/>
          </reference>
        </references>
      </pivotArea>
    </chartFormat>
    <chartFormat chart="2" format="1037">
      <pivotArea type="data" outline="0" fieldPosition="0">
        <references count="2">
          <reference field="4294967294" count="1" selected="0">
            <x v="1"/>
          </reference>
          <reference field="0" count="1" selected="0">
            <x v="242"/>
          </reference>
        </references>
      </pivotArea>
    </chartFormat>
    <chartFormat chart="2" format="1038">
      <pivotArea type="data" outline="0" fieldPosition="0">
        <references count="2">
          <reference field="4294967294" count="1" selected="0">
            <x v="1"/>
          </reference>
          <reference field="0" count="1" selected="0">
            <x v="243"/>
          </reference>
        </references>
      </pivotArea>
    </chartFormat>
    <chartFormat chart="2" format="1039">
      <pivotArea type="data" outline="0" fieldPosition="0">
        <references count="2">
          <reference field="4294967294" count="1" selected="0">
            <x v="1"/>
          </reference>
          <reference field="0" count="1" selected="0">
            <x v="244"/>
          </reference>
        </references>
      </pivotArea>
    </chartFormat>
    <chartFormat chart="2" format="1040">
      <pivotArea type="data" outline="0" fieldPosition="0">
        <references count="2">
          <reference field="4294967294" count="1" selected="0">
            <x v="1"/>
          </reference>
          <reference field="0" count="1" selected="0">
            <x v="245"/>
          </reference>
        </references>
      </pivotArea>
    </chartFormat>
    <chartFormat chart="2" format="1041">
      <pivotArea type="data" outline="0" fieldPosition="0">
        <references count="2">
          <reference field="4294967294" count="1" selected="0">
            <x v="1"/>
          </reference>
          <reference field="0" count="1" selected="0">
            <x v="246"/>
          </reference>
        </references>
      </pivotArea>
    </chartFormat>
    <chartFormat chart="2" format="1042">
      <pivotArea type="data" outline="0" fieldPosition="0">
        <references count="2">
          <reference field="4294967294" count="1" selected="0">
            <x v="1"/>
          </reference>
          <reference field="0" count="1" selected="0">
            <x v="247"/>
          </reference>
        </references>
      </pivotArea>
    </chartFormat>
    <chartFormat chart="2" format="1043">
      <pivotArea type="data" outline="0" fieldPosition="0">
        <references count="2">
          <reference field="4294967294" count="1" selected="0">
            <x v="1"/>
          </reference>
          <reference field="0" count="1" selected="0">
            <x v="248"/>
          </reference>
        </references>
      </pivotArea>
    </chartFormat>
    <chartFormat chart="2" format="1044">
      <pivotArea type="data" outline="0" fieldPosition="0">
        <references count="2">
          <reference field="4294967294" count="1" selected="0">
            <x v="1"/>
          </reference>
          <reference field="0" count="1" selected="0">
            <x v="249"/>
          </reference>
        </references>
      </pivotArea>
    </chartFormat>
    <chartFormat chart="2" format="1045">
      <pivotArea type="data" outline="0" fieldPosition="0">
        <references count="2">
          <reference field="4294967294" count="1" selected="0">
            <x v="1"/>
          </reference>
          <reference field="0" count="1" selected="0">
            <x v="250"/>
          </reference>
        </references>
      </pivotArea>
    </chartFormat>
    <chartFormat chart="2" format="1046">
      <pivotArea type="data" outline="0" fieldPosition="0">
        <references count="2">
          <reference field="4294967294" count="1" selected="0">
            <x v="1"/>
          </reference>
          <reference field="0" count="1" selected="0">
            <x v="251"/>
          </reference>
        </references>
      </pivotArea>
    </chartFormat>
    <chartFormat chart="2" format="1047">
      <pivotArea type="data" outline="0" fieldPosition="0">
        <references count="2">
          <reference field="4294967294" count="1" selected="0">
            <x v="1"/>
          </reference>
          <reference field="0" count="1" selected="0">
            <x v="252"/>
          </reference>
        </references>
      </pivotArea>
    </chartFormat>
    <chartFormat chart="2" format="1048">
      <pivotArea type="data" outline="0" fieldPosition="0">
        <references count="2">
          <reference field="4294967294" count="1" selected="0">
            <x v="1"/>
          </reference>
          <reference field="0" count="1" selected="0">
            <x v="253"/>
          </reference>
        </references>
      </pivotArea>
    </chartFormat>
    <chartFormat chart="2" format="1049">
      <pivotArea type="data" outline="0" fieldPosition="0">
        <references count="2">
          <reference field="4294967294" count="1" selected="0">
            <x v="1"/>
          </reference>
          <reference field="0" count="1" selected="0">
            <x v="254"/>
          </reference>
        </references>
      </pivotArea>
    </chartFormat>
    <chartFormat chart="2" format="1050">
      <pivotArea type="data" outline="0" fieldPosition="0">
        <references count="2">
          <reference field="4294967294" count="1" selected="0">
            <x v="1"/>
          </reference>
          <reference field="0" count="1" selected="0">
            <x v="255"/>
          </reference>
        </references>
      </pivotArea>
    </chartFormat>
    <chartFormat chart="2" format="1051">
      <pivotArea type="data" outline="0" fieldPosition="0">
        <references count="2">
          <reference field="4294967294" count="1" selected="0">
            <x v="1"/>
          </reference>
          <reference field="0" count="1" selected="0">
            <x v="256"/>
          </reference>
        </references>
      </pivotArea>
    </chartFormat>
    <chartFormat chart="2" format="1052">
      <pivotArea type="data" outline="0" fieldPosition="0">
        <references count="2">
          <reference field="4294967294" count="1" selected="0">
            <x v="1"/>
          </reference>
          <reference field="0" count="1" selected="0">
            <x v="257"/>
          </reference>
        </references>
      </pivotArea>
    </chartFormat>
    <chartFormat chart="2" format="1053">
      <pivotArea type="data" outline="0" fieldPosition="0">
        <references count="2">
          <reference field="4294967294" count="1" selected="0">
            <x v="1"/>
          </reference>
          <reference field="0" count="1" selected="0">
            <x v="258"/>
          </reference>
        </references>
      </pivotArea>
    </chartFormat>
    <chartFormat chart="2" format="1054">
      <pivotArea type="data" outline="0" fieldPosition="0">
        <references count="2">
          <reference field="4294967294" count="1" selected="0">
            <x v="1"/>
          </reference>
          <reference field="0" count="1" selected="0">
            <x v="259"/>
          </reference>
        </references>
      </pivotArea>
    </chartFormat>
    <chartFormat chart="2" format="1055">
      <pivotArea type="data" outline="0" fieldPosition="0">
        <references count="2">
          <reference field="4294967294" count="1" selected="0">
            <x v="1"/>
          </reference>
          <reference field="0" count="1" selected="0">
            <x v="260"/>
          </reference>
        </references>
      </pivotArea>
    </chartFormat>
    <chartFormat chart="2" format="1056">
      <pivotArea type="data" outline="0" fieldPosition="0">
        <references count="2">
          <reference field="4294967294" count="1" selected="0">
            <x v="1"/>
          </reference>
          <reference field="0" count="1" selected="0">
            <x v="261"/>
          </reference>
        </references>
      </pivotArea>
    </chartFormat>
    <chartFormat chart="2" format="1057">
      <pivotArea type="data" outline="0" fieldPosition="0">
        <references count="2">
          <reference field="4294967294" count="1" selected="0">
            <x v="1"/>
          </reference>
          <reference field="0" count="1" selected="0">
            <x v="26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1B7880B-307E-47A0-B0FC-C54677A1EE3B}" sourceName="Country">
  <pivotTables>
    <pivotTable tabId="10" name="PivotTable1"/>
    <pivotTable tabId="7" name="PivotTable2"/>
    <pivotTable tabId="8" name="PivotTable4"/>
    <pivotTable tabId="9" name="PivotTable5"/>
  </pivotTables>
  <data>
    <tabular pivotCacheId="145903703">
      <items count="263">
        <i x="78" s="1"/>
        <i x="0" s="1"/>
        <i x="2" s="1"/>
        <i x="3" s="1"/>
        <i x="4" s="1"/>
        <i x="5" s="1"/>
        <i x="6" s="1"/>
        <i x="7" s="1"/>
        <i x="9" s="1"/>
        <i x="10" s="1"/>
        <i x="11" s="1"/>
        <i x="12" s="1"/>
        <i x="14" s="1"/>
        <i x="15" s="1"/>
        <i x="16" s="1"/>
        <i x="17" s="1"/>
        <i x="18" s="1"/>
        <i x="20" s="1"/>
        <i x="21" s="1"/>
        <i x="23" s="1"/>
        <i x="24" s="1"/>
        <i x="25" s="1"/>
        <i x="26" s="1"/>
        <i x="27" s="1"/>
        <i x="28" s="1"/>
        <i x="29" s="1"/>
        <i x="30" s="1"/>
        <i x="31" s="1"/>
        <i x="33" s="1"/>
        <i x="35" s="1"/>
        <i x="36" s="1"/>
        <i x="37" s="1"/>
        <i x="38" s="1"/>
        <i x="39" s="1"/>
        <i x="40" s="1"/>
        <i x="41" s="1"/>
        <i x="42" s="1"/>
        <i x="43" s="1"/>
        <i x="44" s="1"/>
        <i x="45" s="1"/>
        <i x="46" s="1"/>
        <i x="47" s="1"/>
        <i x="48" s="1"/>
        <i x="49" s="1"/>
        <i x="53" s="1"/>
        <i x="54" s="1"/>
        <i x="55" s="1"/>
        <i x="56" s="1"/>
        <i x="57" s="1"/>
        <i x="58" s="1"/>
        <i x="59" s="1"/>
        <i x="60" s="1"/>
        <i x="61" s="1"/>
        <i x="62" s="1"/>
        <i x="63" s="1"/>
        <i x="64" s="1"/>
        <i x="66" s="1"/>
        <i x="67" s="1"/>
        <i x="68" s="1"/>
        <i x="69" s="1"/>
        <i x="70" s="1"/>
        <i x="71" s="1"/>
        <i x="72" s="1"/>
        <i x="73" s="1"/>
        <i x="74" s="1"/>
        <i x="75" s="1"/>
        <i x="76" s="1"/>
        <i x="79" s="1"/>
        <i x="80" s="1"/>
        <i x="81" s="1"/>
        <i x="82" s="1"/>
        <i x="83" s="1"/>
        <i x="84" s="1"/>
        <i x="85" s="1"/>
        <i x="87" s="1"/>
        <i x="88" s="1"/>
        <i x="89" s="1"/>
        <i x="90" s="1"/>
        <i x="91" s="1"/>
        <i x="92" s="1"/>
        <i x="93" s="1"/>
        <i x="95" s="1"/>
        <i x="96" s="1"/>
        <i x="97" s="1"/>
        <i x="98" s="1"/>
        <i x="99" s="1"/>
        <i x="100" s="1"/>
        <i x="101" s="1"/>
        <i x="102" s="1"/>
        <i x="103" s="1"/>
        <i x="104" s="1"/>
        <i x="105" s="1"/>
        <i x="107" s="1"/>
        <i x="108" s="1"/>
        <i x="109" s="1"/>
        <i x="111" s="1"/>
        <i x="112" s="1"/>
        <i x="113" s="1"/>
        <i x="114" s="1"/>
        <i x="115" s="1"/>
        <i x="116" s="1"/>
        <i x="117" s="1"/>
        <i x="118" s="1"/>
        <i x="119" s="1"/>
        <i x="120" s="1"/>
        <i x="122" s="1"/>
        <i x="124" s="1"/>
        <i x="126" s="1"/>
        <i x="128" s="1"/>
        <i x="129"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2" s="1"/>
        <i x="163" s="1"/>
        <i x="164" s="1"/>
        <i x="165" s="1"/>
        <i x="166" s="1"/>
        <i x="167" s="1"/>
        <i x="168" s="1"/>
        <i x="169" s="1"/>
        <i x="171" s="1"/>
        <i x="172" s="1"/>
        <i x="173" s="1"/>
        <i x="174" s="1"/>
        <i x="175" s="1"/>
        <i x="176" s="1"/>
        <i x="177" s="1"/>
        <i x="178" s="1"/>
        <i x="179" s="1"/>
        <i x="180" s="1"/>
        <i x="181" s="1"/>
        <i x="182" s="1"/>
        <i x="183" s="1"/>
        <i x="184" s="1"/>
        <i x="185" s="1"/>
        <i x="187" s="1"/>
        <i x="188" s="1"/>
        <i x="189" s="1"/>
        <i x="190" s="1"/>
        <i x="191" s="1"/>
        <i x="193" s="1"/>
        <i x="194" s="1"/>
        <i x="195" s="1"/>
        <i x="196" s="1"/>
        <i x="197" s="1"/>
        <i x="198" s="1"/>
        <i x="199" s="1"/>
        <i x="200" s="1"/>
        <i x="201" s="1"/>
        <i x="202" s="1"/>
        <i x="203" s="1"/>
        <i x="204" s="1"/>
        <i x="205" s="1"/>
        <i x="206" s="1"/>
        <i x="207" s="1"/>
        <i x="208" s="1"/>
        <i x="209" s="1"/>
        <i x="210" s="1"/>
        <i x="211" s="1"/>
        <i x="212" s="1"/>
        <i x="213" s="1"/>
        <i x="214" s="1"/>
        <i x="215" s="1"/>
        <i x="216" s="1"/>
        <i x="217" s="1"/>
        <i x="218" s="1"/>
        <i x="219" s="1"/>
        <i x="221" s="1"/>
        <i x="223" s="1"/>
        <i x="224" s="1"/>
        <i x="225" s="1"/>
        <i x="227" s="1"/>
        <i x="228" s="1"/>
        <i x="229" s="1"/>
        <i x="230" s="1"/>
        <i x="231" s="1"/>
        <i x="232" s="1"/>
        <i x="233" s="1"/>
        <i x="234" s="1"/>
        <i x="235" s="1"/>
        <i x="236" s="1"/>
        <i x="237" s="1"/>
        <i x="238" s="1"/>
        <i x="240" s="1"/>
        <i x="241" s="1"/>
        <i x="242" s="1"/>
        <i x="243" s="1"/>
        <i x="244" s="1"/>
        <i x="245" s="1"/>
        <i x="246" s="1"/>
        <i x="247" s="1"/>
        <i x="248" s="1"/>
        <i x="249" s="1"/>
        <i x="250" s="1"/>
        <i x="251" s="1"/>
        <i x="252" s="1"/>
        <i x="253" s="1"/>
        <i x="254" s="1"/>
        <i x="255" s="1"/>
        <i x="257" s="1"/>
        <i x="258" s="1"/>
        <i x="260" s="1"/>
        <i x="261" s="1"/>
        <i x="262" s="1"/>
        <i x="1" s="1" nd="1"/>
        <i x="8" s="1" nd="1"/>
        <i x="13" s="1" nd="1"/>
        <i x="19" s="1" nd="1"/>
        <i x="22" s="1" nd="1"/>
        <i x="32" s="1" nd="1"/>
        <i x="34" s="1" nd="1"/>
        <i x="50" s="1" nd="1"/>
        <i x="51" s="1" nd="1"/>
        <i x="52" s="1" nd="1"/>
        <i x="65" s="1" nd="1"/>
        <i x="77" s="1" nd="1"/>
        <i x="86" s="1" nd="1"/>
        <i x="94" s="1" nd="1"/>
        <i x="106" s="1" nd="1"/>
        <i x="110" s="1" nd="1"/>
        <i x="121" s="1" nd="1"/>
        <i x="123" s="1" nd="1"/>
        <i x="125" s="1" nd="1"/>
        <i x="127" s="1" nd="1"/>
        <i x="130" s="1" nd="1"/>
        <i x="161" s="1" nd="1"/>
        <i x="170" s="1" nd="1"/>
        <i x="186" s="1" nd="1"/>
        <i x="192" s="1" nd="1"/>
        <i x="220" s="1" nd="1"/>
        <i x="222" s="1" nd="1"/>
        <i x="226" s="1" nd="1"/>
        <i x="239" s="1" nd="1"/>
        <i x="256" s="1" nd="1"/>
        <i x="259"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6F829EB-C48A-493B-BA06-66BDE488C220}" cache="Slicer_Country" caption="Count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805ABB2F-B556-4DAF-B82F-6B05518DD0DF}" cache="Slicer_Country" caption="Country" startItem="3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C785C7C0-25BB-431B-A562-8C1C0A89F805}" cache="Slicer_Country" caption="Country" startItem="3"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3" xr10:uid="{EE8917A4-A7B1-4021-AEF3-5CCADD6168A5}" cache="Slicer_Country" caption="Country" startItem="6"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4" xr10:uid="{17FAB1D0-34B0-4FCD-B945-D186326BAAA8}" cache="Slicer_Country" caption="Country" style="SlicerStyleDark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CFC302-AE52-4A15-8309-42BF7E5EFBCB}" name="data" displayName="data" ref="A1:AS264" totalsRowShown="0">
  <autoFilter ref="A1:AS264" xr:uid="{88CFC302-AE52-4A15-8309-42BF7E5EFBCB}"/>
  <tableColumns count="45">
    <tableColumn id="1" xr3:uid="{2B21AA69-421A-45C0-B2FA-D8C19788D242}" name="Country"/>
    <tableColumn id="2" xr3:uid="{776D4AE0-4BC3-4147-9E15-7ABCAE9D3AED}" name="Area(sq km)"/>
    <tableColumn id="3" xr3:uid="{FABFC92F-5090-40B5-B9A8-F4ED72F73A8E}" name="Birth rate(births/1000 population)"/>
    <tableColumn id="4" xr3:uid="{DF91C5DE-EF59-49F6-A004-874A957E65E2}" name="Current account balance"/>
    <tableColumn id="5" xr3:uid="{A8564B22-7CB9-4A63-9F55-D9B6B7027B48}" name="Death rate(deaths/1000 population)"/>
    <tableColumn id="6" xr3:uid="{80D5E499-DBDE-4C6E-9438-ADA317F9197A}" name="Debt - external"/>
    <tableColumn id="7" xr3:uid="{A0CBB887-4BA2-46B3-B9DB-EF2CF10FB565}" name="Electricity - consumption(kWh)"/>
    <tableColumn id="8" xr3:uid="{524C957E-9DEE-4478-A570-B0AEC49630A0}" name="Electricity - production(kWh)"/>
    <tableColumn id="9" xr3:uid="{993B7382-6D36-4D5A-9C54-92FA0799EFC3}" name="Exports"/>
    <tableColumn id="10" xr3:uid="{4825C870-898F-40EE-ACB7-3D1017DADEC0}" name="GDP"/>
    <tableColumn id="11" xr3:uid="{8456636E-79B4-4403-BF6A-78D36BBC8093}" name="GDP - per capita"/>
    <tableColumn id="12" xr3:uid="{F2CE2516-768C-4729-BC26-D57E5CBDD793}" name="GDP - real growth rate(%)"/>
    <tableColumn id="13" xr3:uid="{260760DD-E433-4DA7-8A70-2E2F3A8AE269}" name="HIV/AIDS - adult prevalence rate(%)"/>
    <tableColumn id="14" xr3:uid="{65BC7D65-8CF3-491F-92DE-35444AED4A9E}" name="HIV/AIDS - deaths"/>
    <tableColumn id="15" xr3:uid="{77B1B3E0-C90F-40BD-BEBC-EC8B59132118}" name="HIV/AIDS - people living with HIV/AIDS"/>
    <tableColumn id="16" xr3:uid="{FBF48491-0F24-4E25-B5FC-EE92D4CBA5FC}" name="Highways(km)"/>
    <tableColumn id="17" xr3:uid="{335780BF-9436-41B9-9081-9C1B1E6F1663}" name="Imports"/>
    <tableColumn id="18" xr3:uid="{3C9E3440-C18B-4921-9D3E-13793942453D}" name="Industrial production growth rate(%)"/>
    <tableColumn id="19" xr3:uid="{03E9863D-D5A1-4608-8790-41E59F3FFC07}" name="Infant mortality rate(deaths/1000 live births)"/>
    <tableColumn id="20" xr3:uid="{C7338947-ED1F-4EB9-AAA6-73EC66E96E02}" name="Inflation rate (consumer prices)(%)"/>
    <tableColumn id="21" xr3:uid="{1A00B99C-90B7-453D-B648-655DAFFD7D76}" name="Internet hosts"/>
    <tableColumn id="22" xr3:uid="{E12E0AC2-02E3-4527-9954-8A799E872F47}" name="Internet users"/>
    <tableColumn id="23" xr3:uid="{C0AE21A0-7B88-4833-940D-CB0BDD175E2B}" name="Investment (gross fixed)(% of GDP)"/>
    <tableColumn id="24" xr3:uid="{BB7EC926-5BCC-4231-984E-D20B93F73C11}" name="Labor force"/>
    <tableColumn id="25" xr3:uid="{876DF48F-806F-41E2-8F9B-1EBAB6042764}" name="Life expectancy at birth(years)"/>
    <tableColumn id="26" xr3:uid="{0D8A5BCA-590B-4647-BC64-547A3DFA3E87}" name="Military expenditures - dollar figure"/>
    <tableColumn id="27" xr3:uid="{11687F98-2A50-465C-9D86-95CD32CC74BC}" name="Military expenditures - percent of GDP(%)"/>
    <tableColumn id="28" xr3:uid="{C0641743-01EF-43EC-B09C-D8FD39A63027}" name="Natural gas - consumption(cu m)"/>
    <tableColumn id="29" xr3:uid="{0732C8F6-7D9A-486E-984D-A5D75866C0AD}" name="Natural gas - exports(cu m)"/>
    <tableColumn id="30" xr3:uid="{7723142A-4EB8-4036-B4F0-078C408B2726}" name="Natural gas - imports(cu m)"/>
    <tableColumn id="31" xr3:uid="{4F68BEBD-26E6-4438-9DF0-BD7A125BD8EE}" name="Natural gas - production(cu m)"/>
    <tableColumn id="32" xr3:uid="{853EA246-B534-4D43-9285-9486F1E0D6A9}" name="Natural gas - proved reserves(cu m)"/>
    <tableColumn id="33" xr3:uid="{C4D32558-77B1-4D97-88DA-831D00EA1DE6}" name="Oil - consumption(bbl/day)"/>
    <tableColumn id="34" xr3:uid="{5AE80E75-62A7-42CE-AAD8-6218DEBF755E}" name="Oil - exports(bbl/day)"/>
    <tableColumn id="35" xr3:uid="{2347816A-E9AC-4CAE-8E46-F2DF620BEFE2}" name="Oil - imports(bbl/day)"/>
    <tableColumn id="36" xr3:uid="{2F898834-84D5-42F0-B21F-12371E0904E3}" name="Oil - production(bbl/day)"/>
    <tableColumn id="37" xr3:uid="{E227AED2-3A82-40E4-AC2E-6521D6C87040}" name="Oil - proved reserves(bbl)"/>
    <tableColumn id="38" xr3:uid="{9F33D228-A84B-4DF0-9085-AC64E6F7FF57}" name="Population"/>
    <tableColumn id="39" xr3:uid="{EE258815-1360-4A02-8FFB-EE4FCBEF8052}" name="Public debt(% of GDP)"/>
    <tableColumn id="40" xr3:uid="{1B963478-2327-40B2-8C7D-537FEACB4FD3}" name="Railways(km)"/>
    <tableColumn id="41" xr3:uid="{37FA1A48-4D05-430A-8C1B-05CB8287E18F}" name="Reserves of foreign exchange &amp; gold"/>
    <tableColumn id="42" xr3:uid="{FB534F47-1CFB-4D87-BDAE-390D83F190B6}" name="Telephones - main lines in use"/>
    <tableColumn id="43" xr3:uid="{B04C9086-DE2D-4B62-8644-B75E57B8DAD8}" name="Telephones - mobile cellular"/>
    <tableColumn id="44" xr3:uid="{14B0D83A-87CE-469D-B3E8-B25846DB39B7}" name="Total fertility rate(children born/woman)"/>
    <tableColumn id="45" xr3:uid="{931F40C1-7E41-4D3B-9600-2E6A5A9D0203}" name="Unemployment rat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267"/>
  <sheetViews>
    <sheetView topLeftCell="A233" zoomScale="80" zoomScaleNormal="80" workbookViewId="0">
      <selection activeCell="B287" sqref="B287"/>
    </sheetView>
  </sheetViews>
  <sheetFormatPr defaultRowHeight="14.4" x14ac:dyDescent="0.3"/>
  <cols>
    <col min="1" max="1" width="41.6640625" bestFit="1" customWidth="1"/>
    <col min="2" max="2" width="11.44140625" bestFit="1" customWidth="1"/>
    <col min="4" max="4" width="22.21875" bestFit="1" customWidth="1"/>
    <col min="6" max="6" width="14" bestFit="1" customWidth="1"/>
    <col min="7" max="7" width="28" bestFit="1" customWidth="1"/>
    <col min="8" max="8" width="26.21875" bestFit="1" customWidth="1"/>
  </cols>
  <sheetData>
    <row r="1" spans="1:45" x14ac:dyDescent="0.3">
      <c r="A1" t="s">
        <v>0</v>
      </c>
      <c r="B1" s="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row>
    <row r="2" spans="1:45" x14ac:dyDescent="0.3">
      <c r="A2" t="s">
        <v>45</v>
      </c>
      <c r="B2">
        <v>647500</v>
      </c>
      <c r="C2">
        <v>47.02</v>
      </c>
      <c r="E2">
        <v>20.75</v>
      </c>
      <c r="F2">
        <v>8000000000</v>
      </c>
      <c r="G2">
        <v>652200000</v>
      </c>
      <c r="H2">
        <v>540000000</v>
      </c>
      <c r="I2">
        <v>446000000</v>
      </c>
      <c r="J2">
        <v>21500000000</v>
      </c>
      <c r="K2">
        <v>800</v>
      </c>
      <c r="L2">
        <v>7.5</v>
      </c>
      <c r="M2">
        <v>0.01</v>
      </c>
      <c r="P2">
        <v>21000</v>
      </c>
      <c r="Q2">
        <v>3759000000</v>
      </c>
      <c r="S2">
        <v>163.07</v>
      </c>
      <c r="T2">
        <v>10.3</v>
      </c>
      <c r="V2">
        <v>1000</v>
      </c>
      <c r="X2">
        <v>11800000</v>
      </c>
      <c r="Y2">
        <v>42.9</v>
      </c>
      <c r="Z2">
        <v>188400000</v>
      </c>
      <c r="AA2">
        <v>2.6</v>
      </c>
      <c r="AB2">
        <v>220000000</v>
      </c>
      <c r="AC2">
        <v>0</v>
      </c>
      <c r="AD2">
        <v>0</v>
      </c>
      <c r="AE2">
        <v>220000000</v>
      </c>
      <c r="AF2">
        <v>49980000000</v>
      </c>
      <c r="AG2">
        <v>3500</v>
      </c>
      <c r="AJ2">
        <v>0</v>
      </c>
      <c r="AK2">
        <v>0</v>
      </c>
      <c r="AL2">
        <v>29928987</v>
      </c>
      <c r="AP2">
        <v>33100</v>
      </c>
      <c r="AQ2">
        <v>15000</v>
      </c>
      <c r="AR2">
        <v>6.75</v>
      </c>
    </row>
    <row r="3" spans="1:45" x14ac:dyDescent="0.3">
      <c r="A3" t="s">
        <v>46</v>
      </c>
      <c r="B3">
        <v>123</v>
      </c>
    </row>
    <row r="4" spans="1:45" x14ac:dyDescent="0.3">
      <c r="A4" t="s">
        <v>47</v>
      </c>
      <c r="B4">
        <v>28748</v>
      </c>
      <c r="C4">
        <v>15.08</v>
      </c>
      <c r="D4">
        <v>-504000000</v>
      </c>
      <c r="E4">
        <v>5.12</v>
      </c>
      <c r="F4">
        <v>1410000000</v>
      </c>
      <c r="G4">
        <v>6760000000</v>
      </c>
      <c r="H4">
        <v>5680000000</v>
      </c>
      <c r="I4">
        <v>552400000</v>
      </c>
      <c r="J4">
        <v>17460000000</v>
      </c>
      <c r="K4">
        <v>4900</v>
      </c>
      <c r="L4">
        <v>5.6</v>
      </c>
      <c r="P4">
        <v>18000</v>
      </c>
      <c r="Q4">
        <v>2076000000</v>
      </c>
      <c r="R4">
        <v>3.1</v>
      </c>
      <c r="S4">
        <v>21.52</v>
      </c>
      <c r="T4">
        <v>3.2</v>
      </c>
      <c r="U4">
        <v>455</v>
      </c>
      <c r="V4">
        <v>30000</v>
      </c>
      <c r="W4">
        <v>18.399999999999999</v>
      </c>
      <c r="X4">
        <v>1090000</v>
      </c>
      <c r="Y4">
        <v>77.239999999999995</v>
      </c>
      <c r="Z4">
        <v>56500000</v>
      </c>
      <c r="AA4">
        <v>1.49</v>
      </c>
      <c r="AB4">
        <v>30000000</v>
      </c>
      <c r="AC4">
        <v>0</v>
      </c>
      <c r="AD4">
        <v>0</v>
      </c>
      <c r="AE4">
        <v>30000000</v>
      </c>
      <c r="AF4">
        <v>3316000000</v>
      </c>
      <c r="AG4">
        <v>7500</v>
      </c>
      <c r="AH4">
        <v>0</v>
      </c>
      <c r="AI4">
        <v>5500</v>
      </c>
      <c r="AJ4">
        <v>2000</v>
      </c>
      <c r="AK4">
        <v>185500000</v>
      </c>
      <c r="AL4">
        <v>3563112</v>
      </c>
      <c r="AN4">
        <v>447</v>
      </c>
      <c r="AO4">
        <v>1206000000</v>
      </c>
      <c r="AP4">
        <v>255000</v>
      </c>
      <c r="AQ4">
        <v>1100000</v>
      </c>
      <c r="AR4">
        <v>2.04</v>
      </c>
      <c r="AS4">
        <v>14.8</v>
      </c>
    </row>
    <row r="5" spans="1:45" x14ac:dyDescent="0.3">
      <c r="A5" t="s">
        <v>48</v>
      </c>
      <c r="B5">
        <v>2381740</v>
      </c>
      <c r="C5">
        <v>17.13</v>
      </c>
      <c r="D5">
        <v>11900000000</v>
      </c>
      <c r="E5">
        <v>4.5999999999999996</v>
      </c>
      <c r="F5">
        <v>21900000000</v>
      </c>
      <c r="G5">
        <v>23610000000</v>
      </c>
      <c r="H5">
        <v>25760000000</v>
      </c>
      <c r="I5">
        <v>32160000000</v>
      </c>
      <c r="J5">
        <v>212300000000</v>
      </c>
      <c r="K5">
        <v>6600</v>
      </c>
      <c r="L5">
        <v>6.1</v>
      </c>
      <c r="M5">
        <v>0.1</v>
      </c>
      <c r="N5">
        <v>500</v>
      </c>
      <c r="O5">
        <v>9100</v>
      </c>
      <c r="P5">
        <v>104000</v>
      </c>
      <c r="Q5">
        <v>15250000000</v>
      </c>
      <c r="R5">
        <v>6</v>
      </c>
      <c r="S5">
        <v>31</v>
      </c>
      <c r="T5">
        <v>3.1</v>
      </c>
      <c r="U5">
        <v>897</v>
      </c>
      <c r="V5">
        <v>500000</v>
      </c>
      <c r="W5">
        <v>26.2</v>
      </c>
      <c r="X5">
        <v>9910000</v>
      </c>
      <c r="Y5">
        <v>73</v>
      </c>
      <c r="Z5">
        <v>2480000000</v>
      </c>
      <c r="AA5">
        <v>3.2</v>
      </c>
      <c r="AB5">
        <v>22320000000</v>
      </c>
      <c r="AC5">
        <v>57980000000</v>
      </c>
      <c r="AD5">
        <v>0</v>
      </c>
      <c r="AE5">
        <v>80300000000</v>
      </c>
      <c r="AF5">
        <v>4739000000000</v>
      </c>
      <c r="AG5">
        <v>209000</v>
      </c>
      <c r="AJ5">
        <v>1200000</v>
      </c>
      <c r="AK5">
        <v>11870000000</v>
      </c>
      <c r="AL5">
        <v>32531853</v>
      </c>
      <c r="AM5">
        <v>37.4</v>
      </c>
      <c r="AN5">
        <v>3973</v>
      </c>
      <c r="AO5">
        <v>43550000000</v>
      </c>
      <c r="AP5">
        <v>2199600</v>
      </c>
      <c r="AQ5">
        <v>1447310</v>
      </c>
      <c r="AR5">
        <v>1.92</v>
      </c>
      <c r="AS5">
        <v>25.4</v>
      </c>
    </row>
    <row r="6" spans="1:45" x14ac:dyDescent="0.3">
      <c r="A6" t="s">
        <v>49</v>
      </c>
      <c r="B6">
        <v>199</v>
      </c>
      <c r="C6">
        <v>23.13</v>
      </c>
      <c r="E6">
        <v>3.33</v>
      </c>
      <c r="G6">
        <v>120900000</v>
      </c>
      <c r="H6">
        <v>130000000</v>
      </c>
      <c r="I6">
        <v>30000000</v>
      </c>
      <c r="J6">
        <v>500000000</v>
      </c>
      <c r="K6">
        <v>8000</v>
      </c>
      <c r="P6">
        <v>185</v>
      </c>
      <c r="Q6">
        <v>123000000</v>
      </c>
      <c r="S6">
        <v>9.27</v>
      </c>
      <c r="X6">
        <v>14000</v>
      </c>
      <c r="Y6">
        <v>75.84</v>
      </c>
      <c r="AG6">
        <v>3800</v>
      </c>
      <c r="AJ6">
        <v>0</v>
      </c>
      <c r="AL6">
        <v>57881</v>
      </c>
      <c r="AP6">
        <v>15000</v>
      </c>
      <c r="AQ6">
        <v>2377</v>
      </c>
      <c r="AR6">
        <v>3.25</v>
      </c>
      <c r="AS6">
        <v>6</v>
      </c>
    </row>
    <row r="7" spans="1:45" x14ac:dyDescent="0.3">
      <c r="A7" t="s">
        <v>50</v>
      </c>
      <c r="B7">
        <v>468</v>
      </c>
      <c r="C7">
        <v>9</v>
      </c>
      <c r="E7">
        <v>6.07</v>
      </c>
      <c r="I7">
        <v>58000000</v>
      </c>
      <c r="J7">
        <v>1900000000</v>
      </c>
      <c r="K7">
        <v>26800</v>
      </c>
      <c r="L7">
        <v>2</v>
      </c>
      <c r="P7">
        <v>269</v>
      </c>
      <c r="Q7">
        <v>1077000000</v>
      </c>
      <c r="S7">
        <v>4.05</v>
      </c>
      <c r="T7">
        <v>4.3</v>
      </c>
      <c r="U7">
        <v>4144</v>
      </c>
      <c r="V7">
        <v>24500</v>
      </c>
      <c r="X7">
        <v>33000</v>
      </c>
      <c r="Y7">
        <v>83.51</v>
      </c>
      <c r="AL7">
        <v>70549</v>
      </c>
      <c r="AP7">
        <v>35000</v>
      </c>
      <c r="AQ7">
        <v>23500</v>
      </c>
      <c r="AR7">
        <v>1.29</v>
      </c>
      <c r="AS7">
        <v>0</v>
      </c>
    </row>
    <row r="8" spans="1:45" x14ac:dyDescent="0.3">
      <c r="A8" t="s">
        <v>51</v>
      </c>
      <c r="B8">
        <v>1246700</v>
      </c>
      <c r="C8">
        <v>44.64</v>
      </c>
      <c r="D8">
        <v>-37880000</v>
      </c>
      <c r="E8">
        <v>25.9</v>
      </c>
      <c r="F8">
        <v>10450000000</v>
      </c>
      <c r="G8">
        <v>1587000000</v>
      </c>
      <c r="H8">
        <v>1707000000</v>
      </c>
      <c r="I8">
        <v>12760000000</v>
      </c>
      <c r="J8">
        <v>23170000000</v>
      </c>
      <c r="K8">
        <v>2100</v>
      </c>
      <c r="L8">
        <v>11.7</v>
      </c>
      <c r="M8">
        <v>3.9</v>
      </c>
      <c r="N8">
        <v>21000</v>
      </c>
      <c r="O8">
        <v>240000</v>
      </c>
      <c r="P8">
        <v>51429</v>
      </c>
      <c r="Q8">
        <v>4896000000</v>
      </c>
      <c r="R8">
        <v>1</v>
      </c>
      <c r="S8">
        <v>191.19</v>
      </c>
      <c r="T8">
        <v>43.8</v>
      </c>
      <c r="U8">
        <v>17</v>
      </c>
      <c r="V8">
        <v>41000</v>
      </c>
      <c r="W8">
        <v>34.5</v>
      </c>
      <c r="X8">
        <v>5410000</v>
      </c>
      <c r="Y8">
        <v>36.61</v>
      </c>
      <c r="Z8">
        <v>183580000</v>
      </c>
      <c r="AA8">
        <v>10.6</v>
      </c>
      <c r="AB8">
        <v>530000000</v>
      </c>
      <c r="AC8">
        <v>0</v>
      </c>
      <c r="AD8">
        <v>0</v>
      </c>
      <c r="AE8">
        <v>530000000</v>
      </c>
      <c r="AF8">
        <v>79570000000</v>
      </c>
      <c r="AG8">
        <v>31000</v>
      </c>
      <c r="AJ8">
        <v>980000</v>
      </c>
      <c r="AK8">
        <v>22880000000</v>
      </c>
      <c r="AL8">
        <v>11190786</v>
      </c>
      <c r="AN8">
        <v>2761</v>
      </c>
      <c r="AO8">
        <v>800000000</v>
      </c>
      <c r="AP8">
        <v>96300</v>
      </c>
      <c r="AQ8">
        <v>130000</v>
      </c>
      <c r="AR8">
        <v>6.27</v>
      </c>
    </row>
    <row r="9" spans="1:45" x14ac:dyDescent="0.3">
      <c r="A9" t="s">
        <v>52</v>
      </c>
      <c r="B9">
        <v>102</v>
      </c>
      <c r="C9">
        <v>14.26</v>
      </c>
      <c r="E9">
        <v>5.43</v>
      </c>
      <c r="F9">
        <v>8800000</v>
      </c>
      <c r="G9">
        <v>42600000</v>
      </c>
      <c r="I9">
        <v>2600000</v>
      </c>
      <c r="J9">
        <v>112000000</v>
      </c>
      <c r="K9">
        <v>7500</v>
      </c>
      <c r="L9">
        <v>2.8</v>
      </c>
      <c r="P9">
        <v>105</v>
      </c>
      <c r="Q9">
        <v>80900000</v>
      </c>
      <c r="R9">
        <v>3.1</v>
      </c>
      <c r="S9">
        <v>21.03</v>
      </c>
      <c r="T9">
        <v>2.2999999999999998</v>
      </c>
      <c r="V9">
        <v>3000</v>
      </c>
      <c r="X9">
        <v>6049</v>
      </c>
      <c r="Y9">
        <v>77.11</v>
      </c>
      <c r="AL9">
        <v>13254</v>
      </c>
      <c r="AP9">
        <v>6200</v>
      </c>
      <c r="AQ9">
        <v>1800</v>
      </c>
      <c r="AR9">
        <v>1.73</v>
      </c>
      <c r="AS9">
        <v>8</v>
      </c>
    </row>
    <row r="10" spans="1:45" x14ac:dyDescent="0.3">
      <c r="A10" t="s">
        <v>53</v>
      </c>
      <c r="B10">
        <v>14000000</v>
      </c>
      <c r="AP10">
        <v>0</v>
      </c>
    </row>
    <row r="11" spans="1:45" x14ac:dyDescent="0.3">
      <c r="A11" t="s">
        <v>54</v>
      </c>
      <c r="B11">
        <v>443</v>
      </c>
      <c r="C11">
        <v>17.260000000000002</v>
      </c>
      <c r="E11">
        <v>5.44</v>
      </c>
      <c r="F11">
        <v>231000000</v>
      </c>
      <c r="G11">
        <v>103000000</v>
      </c>
      <c r="H11">
        <v>110800000</v>
      </c>
      <c r="I11">
        <v>689000000</v>
      </c>
      <c r="J11">
        <v>750000000</v>
      </c>
      <c r="K11">
        <v>11000</v>
      </c>
      <c r="L11">
        <v>3</v>
      </c>
      <c r="P11">
        <v>250</v>
      </c>
      <c r="Q11">
        <v>692000000</v>
      </c>
      <c r="R11">
        <v>6</v>
      </c>
      <c r="S11">
        <v>19.46</v>
      </c>
      <c r="T11">
        <v>0.4</v>
      </c>
      <c r="U11">
        <v>1665</v>
      </c>
      <c r="V11">
        <v>10000</v>
      </c>
      <c r="X11">
        <v>30000</v>
      </c>
      <c r="Y11">
        <v>71.900000000000006</v>
      </c>
      <c r="AG11">
        <v>3600</v>
      </c>
      <c r="AJ11">
        <v>0</v>
      </c>
      <c r="AL11">
        <v>68722</v>
      </c>
      <c r="AP11">
        <v>38000</v>
      </c>
      <c r="AQ11">
        <v>38200</v>
      </c>
      <c r="AR11">
        <v>2.2599999999999998</v>
      </c>
      <c r="AS11">
        <v>11</v>
      </c>
    </row>
    <row r="12" spans="1:45" x14ac:dyDescent="0.3">
      <c r="A12" t="s">
        <v>55</v>
      </c>
      <c r="B12">
        <v>2766890</v>
      </c>
      <c r="C12">
        <v>16.899999999999999</v>
      </c>
      <c r="D12">
        <v>5473000000</v>
      </c>
      <c r="E12">
        <v>7.56</v>
      </c>
      <c r="F12">
        <v>157700000000</v>
      </c>
      <c r="G12">
        <v>81650000000</v>
      </c>
      <c r="H12">
        <v>81390000000</v>
      </c>
      <c r="I12">
        <v>33780000000</v>
      </c>
      <c r="J12">
        <v>483500000000</v>
      </c>
      <c r="K12">
        <v>12400</v>
      </c>
      <c r="L12">
        <v>8.3000000000000007</v>
      </c>
      <c r="M12">
        <v>0.7</v>
      </c>
      <c r="N12">
        <v>1500</v>
      </c>
      <c r="O12">
        <v>130000</v>
      </c>
      <c r="P12">
        <v>215471</v>
      </c>
      <c r="Q12">
        <v>22060000000</v>
      </c>
      <c r="R12">
        <v>12</v>
      </c>
      <c r="S12">
        <v>15.18</v>
      </c>
      <c r="T12">
        <v>6.1</v>
      </c>
      <c r="U12">
        <v>742358</v>
      </c>
      <c r="V12">
        <v>4100000</v>
      </c>
      <c r="W12">
        <v>18.3</v>
      </c>
      <c r="X12">
        <v>15040000</v>
      </c>
      <c r="Y12">
        <v>75.91</v>
      </c>
      <c r="Z12">
        <v>4300000000</v>
      </c>
      <c r="AA12">
        <v>1.3</v>
      </c>
      <c r="AB12">
        <v>31100000000</v>
      </c>
      <c r="AC12">
        <v>6050000000</v>
      </c>
      <c r="AD12">
        <v>0</v>
      </c>
      <c r="AE12">
        <v>37150000000</v>
      </c>
      <c r="AF12">
        <v>768000000000</v>
      </c>
      <c r="AG12">
        <v>486000</v>
      </c>
      <c r="AJ12">
        <v>755000</v>
      </c>
      <c r="AK12">
        <v>2900000000</v>
      </c>
      <c r="AL12">
        <v>39537943</v>
      </c>
      <c r="AM12">
        <v>118</v>
      </c>
      <c r="AN12">
        <v>34091</v>
      </c>
      <c r="AO12">
        <v>19470000000</v>
      </c>
      <c r="AP12">
        <v>8009400</v>
      </c>
      <c r="AQ12">
        <v>6500000</v>
      </c>
      <c r="AR12">
        <v>2.19</v>
      </c>
      <c r="AS12">
        <v>14.8</v>
      </c>
    </row>
    <row r="13" spans="1:45" x14ac:dyDescent="0.3">
      <c r="A13" t="s">
        <v>56</v>
      </c>
      <c r="B13">
        <v>29800</v>
      </c>
      <c r="C13">
        <v>11.76</v>
      </c>
      <c r="D13">
        <v>-240400000</v>
      </c>
      <c r="E13">
        <v>8.16</v>
      </c>
      <c r="F13">
        <v>905000000</v>
      </c>
      <c r="G13">
        <v>5797000000</v>
      </c>
      <c r="H13">
        <v>6492000000</v>
      </c>
      <c r="I13">
        <v>850000000</v>
      </c>
      <c r="J13">
        <v>13650000000</v>
      </c>
      <c r="K13">
        <v>4600</v>
      </c>
      <c r="L13">
        <v>9</v>
      </c>
      <c r="M13">
        <v>0.1</v>
      </c>
      <c r="N13">
        <v>200</v>
      </c>
      <c r="O13">
        <v>2600</v>
      </c>
      <c r="P13">
        <v>8431</v>
      </c>
      <c r="Q13">
        <v>1300000000</v>
      </c>
      <c r="R13">
        <v>15</v>
      </c>
      <c r="S13">
        <v>23.28</v>
      </c>
      <c r="T13">
        <v>3.5</v>
      </c>
      <c r="U13">
        <v>2206</v>
      </c>
      <c r="V13">
        <v>150000</v>
      </c>
      <c r="W13">
        <v>19.8</v>
      </c>
      <c r="X13">
        <v>1400000</v>
      </c>
      <c r="Y13">
        <v>71.55</v>
      </c>
      <c r="Z13">
        <v>135000000</v>
      </c>
      <c r="AA13">
        <v>6.5</v>
      </c>
      <c r="AB13">
        <v>1400000000</v>
      </c>
      <c r="AC13">
        <v>0</v>
      </c>
      <c r="AD13">
        <v>1400000000</v>
      </c>
      <c r="AE13">
        <v>0</v>
      </c>
      <c r="AG13">
        <v>5700</v>
      </c>
      <c r="AJ13">
        <v>0</v>
      </c>
      <c r="AL13">
        <v>2982904</v>
      </c>
      <c r="AN13">
        <v>845</v>
      </c>
      <c r="AO13">
        <v>555000000</v>
      </c>
      <c r="AP13">
        <v>562600</v>
      </c>
      <c r="AQ13">
        <v>114400</v>
      </c>
      <c r="AR13">
        <v>1.32</v>
      </c>
      <c r="AS13">
        <v>30</v>
      </c>
    </row>
    <row r="14" spans="1:45" x14ac:dyDescent="0.3">
      <c r="A14" t="s">
        <v>57</v>
      </c>
      <c r="B14">
        <v>193</v>
      </c>
      <c r="C14">
        <v>11.26</v>
      </c>
      <c r="E14">
        <v>6.57</v>
      </c>
      <c r="F14">
        <v>285000000</v>
      </c>
      <c r="G14">
        <v>751200000</v>
      </c>
      <c r="H14">
        <v>807700000</v>
      </c>
      <c r="I14">
        <v>128000000</v>
      </c>
      <c r="J14">
        <v>1940000000</v>
      </c>
      <c r="K14">
        <v>28000</v>
      </c>
      <c r="L14">
        <v>-1.5</v>
      </c>
      <c r="P14">
        <v>800</v>
      </c>
      <c r="Q14">
        <v>841000000</v>
      </c>
      <c r="S14">
        <v>5.89</v>
      </c>
      <c r="T14">
        <v>3.2</v>
      </c>
      <c r="U14">
        <v>923</v>
      </c>
      <c r="V14">
        <v>24000</v>
      </c>
      <c r="X14">
        <v>41500</v>
      </c>
      <c r="Y14">
        <v>79.14</v>
      </c>
      <c r="AG14">
        <v>6500</v>
      </c>
      <c r="AJ14">
        <v>0</v>
      </c>
      <c r="AL14">
        <v>71566</v>
      </c>
      <c r="AP14">
        <v>37100</v>
      </c>
      <c r="AQ14">
        <v>53000</v>
      </c>
      <c r="AR14">
        <v>1.79</v>
      </c>
      <c r="AS14">
        <v>0.6</v>
      </c>
    </row>
    <row r="15" spans="1:45" x14ac:dyDescent="0.3">
      <c r="A15" t="s">
        <v>58</v>
      </c>
      <c r="B15">
        <v>5</v>
      </c>
    </row>
    <row r="16" spans="1:45" x14ac:dyDescent="0.3">
      <c r="A16" t="s">
        <v>59</v>
      </c>
      <c r="B16">
        <v>7686850</v>
      </c>
      <c r="C16">
        <v>12.26</v>
      </c>
      <c r="D16">
        <v>-38300000000</v>
      </c>
      <c r="E16">
        <v>7.44</v>
      </c>
      <c r="F16">
        <v>308700000000</v>
      </c>
      <c r="G16">
        <v>195600000000</v>
      </c>
      <c r="H16">
        <v>210300000000</v>
      </c>
      <c r="I16">
        <v>86890000000</v>
      </c>
      <c r="J16">
        <v>611700000000</v>
      </c>
      <c r="K16">
        <v>30700</v>
      </c>
      <c r="L16">
        <v>3.5</v>
      </c>
      <c r="M16">
        <v>0.1</v>
      </c>
      <c r="O16">
        <v>14000</v>
      </c>
      <c r="P16">
        <v>811603</v>
      </c>
      <c r="Q16">
        <v>98100000000</v>
      </c>
      <c r="R16">
        <v>1.9</v>
      </c>
      <c r="S16">
        <v>4.6900000000000004</v>
      </c>
      <c r="T16">
        <v>2.2999999999999998</v>
      </c>
      <c r="U16">
        <v>2847763</v>
      </c>
      <c r="V16">
        <v>9472000</v>
      </c>
      <c r="W16">
        <v>25.3</v>
      </c>
      <c r="X16">
        <v>10350000</v>
      </c>
      <c r="Y16">
        <v>80.39</v>
      </c>
      <c r="Z16">
        <v>1665000000</v>
      </c>
      <c r="AA16">
        <v>2.7</v>
      </c>
      <c r="AB16">
        <v>23330000000</v>
      </c>
      <c r="AC16">
        <v>9744000000</v>
      </c>
      <c r="AD16">
        <v>0</v>
      </c>
      <c r="AE16">
        <v>33080000000</v>
      </c>
      <c r="AF16">
        <v>2407000000000</v>
      </c>
      <c r="AG16">
        <v>796500</v>
      </c>
      <c r="AH16">
        <v>523400</v>
      </c>
      <c r="AI16">
        <v>530800</v>
      </c>
      <c r="AJ16">
        <v>537500</v>
      </c>
      <c r="AK16">
        <v>3664000000</v>
      </c>
      <c r="AL16">
        <v>20090437</v>
      </c>
      <c r="AM16">
        <v>17.399999999999999</v>
      </c>
      <c r="AN16">
        <v>43802</v>
      </c>
      <c r="AO16">
        <v>35140000000</v>
      </c>
      <c r="AP16">
        <v>10815000</v>
      </c>
      <c r="AQ16">
        <v>14347000</v>
      </c>
      <c r="AR16">
        <v>1.76</v>
      </c>
      <c r="AS16">
        <v>5.0999999999999996</v>
      </c>
    </row>
    <row r="17" spans="1:45" x14ac:dyDescent="0.3">
      <c r="A17" t="s">
        <v>60</v>
      </c>
      <c r="B17">
        <v>83870</v>
      </c>
      <c r="C17">
        <v>8.81</v>
      </c>
      <c r="D17">
        <v>-3283000000</v>
      </c>
      <c r="E17">
        <v>9.6999999999999993</v>
      </c>
      <c r="F17">
        <v>15500000000</v>
      </c>
      <c r="G17">
        <v>55090000000</v>
      </c>
      <c r="H17">
        <v>58490000000</v>
      </c>
      <c r="I17">
        <v>102700000000</v>
      </c>
      <c r="J17">
        <v>255900000000</v>
      </c>
      <c r="K17">
        <v>31300</v>
      </c>
      <c r="L17">
        <v>1.9</v>
      </c>
      <c r="M17">
        <v>0.3</v>
      </c>
      <c r="N17">
        <v>100</v>
      </c>
      <c r="O17">
        <v>10000</v>
      </c>
      <c r="P17">
        <v>200000</v>
      </c>
      <c r="Q17">
        <v>101200000000</v>
      </c>
      <c r="R17">
        <v>3.3</v>
      </c>
      <c r="S17">
        <v>4.66</v>
      </c>
      <c r="T17">
        <v>1.8</v>
      </c>
      <c r="U17">
        <v>387006</v>
      </c>
      <c r="V17">
        <v>3730000</v>
      </c>
      <c r="W17">
        <v>22.6</v>
      </c>
      <c r="X17">
        <v>3450000</v>
      </c>
      <c r="Y17">
        <v>78.92</v>
      </c>
      <c r="Z17">
        <v>1497000000</v>
      </c>
      <c r="AA17">
        <v>0.9</v>
      </c>
      <c r="AB17">
        <v>7810000000</v>
      </c>
      <c r="AC17">
        <v>403000000</v>
      </c>
      <c r="AD17">
        <v>6033000000</v>
      </c>
      <c r="AE17">
        <v>1731000000</v>
      </c>
      <c r="AF17">
        <v>24900000000</v>
      </c>
      <c r="AG17">
        <v>262400</v>
      </c>
      <c r="AH17">
        <v>35470</v>
      </c>
      <c r="AI17">
        <v>262000</v>
      </c>
      <c r="AJ17">
        <v>20670</v>
      </c>
      <c r="AK17">
        <v>85690000</v>
      </c>
      <c r="AL17">
        <v>8184691</v>
      </c>
      <c r="AM17">
        <v>64.2</v>
      </c>
      <c r="AN17">
        <v>6021</v>
      </c>
      <c r="AO17">
        <v>12730000000</v>
      </c>
      <c r="AP17">
        <v>3881000</v>
      </c>
      <c r="AQ17">
        <v>7094500</v>
      </c>
      <c r="AR17">
        <v>1.36</v>
      </c>
      <c r="AS17">
        <v>4.4000000000000004</v>
      </c>
    </row>
    <row r="18" spans="1:45" x14ac:dyDescent="0.3">
      <c r="A18" t="s">
        <v>61</v>
      </c>
      <c r="B18">
        <v>86600</v>
      </c>
      <c r="C18">
        <v>20.399999999999999</v>
      </c>
      <c r="D18">
        <v>-2899000000</v>
      </c>
      <c r="E18">
        <v>9.86</v>
      </c>
      <c r="F18">
        <v>1832000000</v>
      </c>
      <c r="G18">
        <v>17370000000</v>
      </c>
      <c r="H18">
        <v>17550000000</v>
      </c>
      <c r="I18">
        <v>3168000000</v>
      </c>
      <c r="J18">
        <v>30010000000</v>
      </c>
      <c r="K18">
        <v>3800</v>
      </c>
      <c r="L18">
        <v>9.8000000000000007</v>
      </c>
      <c r="M18">
        <v>0.1</v>
      </c>
      <c r="N18">
        <v>100</v>
      </c>
      <c r="O18">
        <v>1400</v>
      </c>
      <c r="P18">
        <v>28030</v>
      </c>
      <c r="Q18">
        <v>3622000000</v>
      </c>
      <c r="R18">
        <v>4</v>
      </c>
      <c r="S18">
        <v>81.739999999999995</v>
      </c>
      <c r="T18">
        <v>4.5999999999999996</v>
      </c>
      <c r="U18">
        <v>586</v>
      </c>
      <c r="V18">
        <v>300000</v>
      </c>
      <c r="W18">
        <v>65.099999999999994</v>
      </c>
      <c r="X18">
        <v>5090000</v>
      </c>
      <c r="Y18">
        <v>63.35</v>
      </c>
      <c r="Z18">
        <v>121000000</v>
      </c>
      <c r="AA18">
        <v>2.6</v>
      </c>
      <c r="AB18">
        <v>6720000000</v>
      </c>
      <c r="AC18">
        <v>0</v>
      </c>
      <c r="AD18">
        <v>1000000000</v>
      </c>
      <c r="AE18">
        <v>5720000000</v>
      </c>
      <c r="AF18">
        <v>62300000000</v>
      </c>
      <c r="AG18">
        <v>140000</v>
      </c>
      <c r="AJ18">
        <v>312800</v>
      </c>
      <c r="AK18">
        <v>589000000</v>
      </c>
      <c r="AL18">
        <v>7911974</v>
      </c>
      <c r="AM18">
        <v>18.899999999999999</v>
      </c>
      <c r="AN18">
        <v>2957</v>
      </c>
      <c r="AO18">
        <v>875000000</v>
      </c>
      <c r="AP18">
        <v>923800</v>
      </c>
      <c r="AQ18">
        <v>870000</v>
      </c>
      <c r="AR18">
        <v>2.44</v>
      </c>
      <c r="AS18">
        <v>1.2</v>
      </c>
    </row>
    <row r="19" spans="1:45" x14ac:dyDescent="0.3">
      <c r="A19" t="s">
        <v>62</v>
      </c>
      <c r="B19">
        <v>13940</v>
      </c>
      <c r="C19">
        <v>17.87</v>
      </c>
      <c r="E19">
        <v>8.9700000000000006</v>
      </c>
      <c r="F19">
        <v>308500000</v>
      </c>
      <c r="G19">
        <v>1596000000</v>
      </c>
      <c r="H19">
        <v>1716000000</v>
      </c>
      <c r="I19">
        <v>636000000</v>
      </c>
      <c r="J19">
        <v>5295000000</v>
      </c>
      <c r="K19">
        <v>17700</v>
      </c>
      <c r="L19">
        <v>3</v>
      </c>
      <c r="M19">
        <v>3</v>
      </c>
      <c r="N19">
        <v>200</v>
      </c>
      <c r="O19">
        <v>5600</v>
      </c>
      <c r="P19">
        <v>2693</v>
      </c>
      <c r="Q19">
        <v>1630000000</v>
      </c>
      <c r="S19">
        <v>25.21</v>
      </c>
      <c r="T19">
        <v>1.2</v>
      </c>
      <c r="U19">
        <v>302</v>
      </c>
      <c r="V19">
        <v>84000</v>
      </c>
      <c r="X19">
        <v>156000</v>
      </c>
      <c r="Y19">
        <v>65.540000000000006</v>
      </c>
      <c r="AG19">
        <v>23000</v>
      </c>
      <c r="AH19">
        <v>29000</v>
      </c>
      <c r="AJ19">
        <v>0</v>
      </c>
      <c r="AL19">
        <v>301790</v>
      </c>
      <c r="AP19">
        <v>131700</v>
      </c>
      <c r="AQ19">
        <v>121800</v>
      </c>
      <c r="AR19">
        <v>2.2000000000000002</v>
      </c>
      <c r="AS19">
        <v>10.199999999999999</v>
      </c>
    </row>
    <row r="20" spans="1:45" x14ac:dyDescent="0.3">
      <c r="A20" t="s">
        <v>63</v>
      </c>
      <c r="B20">
        <v>665</v>
      </c>
      <c r="C20">
        <v>18.100000000000001</v>
      </c>
      <c r="D20">
        <v>586100000</v>
      </c>
      <c r="E20">
        <v>4.08</v>
      </c>
      <c r="F20">
        <v>6215000000</v>
      </c>
      <c r="G20">
        <v>6379000000</v>
      </c>
      <c r="H20">
        <v>6860000000</v>
      </c>
      <c r="I20">
        <v>8205000000</v>
      </c>
      <c r="J20">
        <v>13010000000</v>
      </c>
      <c r="K20">
        <v>19200</v>
      </c>
      <c r="L20">
        <v>5.6</v>
      </c>
      <c r="M20">
        <v>0.2</v>
      </c>
      <c r="N20">
        <v>200</v>
      </c>
      <c r="O20">
        <v>600</v>
      </c>
      <c r="P20">
        <v>3459</v>
      </c>
      <c r="Q20">
        <v>5870000000</v>
      </c>
      <c r="R20">
        <v>2</v>
      </c>
      <c r="S20">
        <v>17.27</v>
      </c>
      <c r="T20">
        <v>2.1</v>
      </c>
      <c r="U20">
        <v>1334</v>
      </c>
      <c r="V20">
        <v>195700</v>
      </c>
      <c r="W20">
        <v>12.8</v>
      </c>
      <c r="X20">
        <v>370000</v>
      </c>
      <c r="Y20">
        <v>74.23</v>
      </c>
      <c r="Z20">
        <v>628900000</v>
      </c>
      <c r="AA20">
        <v>6.3</v>
      </c>
      <c r="AB20">
        <v>32700000000</v>
      </c>
      <c r="AC20">
        <v>0</v>
      </c>
      <c r="AD20">
        <v>0</v>
      </c>
      <c r="AE20">
        <v>32700000000</v>
      </c>
      <c r="AF20">
        <v>46000000000</v>
      </c>
      <c r="AG20">
        <v>40000</v>
      </c>
      <c r="AJ20">
        <v>44000</v>
      </c>
      <c r="AK20">
        <v>126000000</v>
      </c>
      <c r="AL20">
        <v>688345</v>
      </c>
      <c r="AM20">
        <v>63.8</v>
      </c>
      <c r="AO20">
        <v>2141000000</v>
      </c>
      <c r="AP20">
        <v>185800</v>
      </c>
      <c r="AQ20">
        <v>443100</v>
      </c>
      <c r="AR20">
        <v>2.63</v>
      </c>
      <c r="AS20">
        <v>15</v>
      </c>
    </row>
    <row r="21" spans="1:45" x14ac:dyDescent="0.3">
      <c r="A21" t="s">
        <v>64</v>
      </c>
      <c r="B21">
        <v>1</v>
      </c>
    </row>
    <row r="22" spans="1:45" x14ac:dyDescent="0.3">
      <c r="A22" t="s">
        <v>65</v>
      </c>
      <c r="B22">
        <v>144000</v>
      </c>
      <c r="C22">
        <v>30.01</v>
      </c>
      <c r="D22">
        <v>216600000</v>
      </c>
      <c r="E22">
        <v>8.4</v>
      </c>
      <c r="F22">
        <v>19970000000</v>
      </c>
      <c r="G22">
        <v>15300000000</v>
      </c>
      <c r="H22">
        <v>16450000000</v>
      </c>
      <c r="I22">
        <v>7478000000</v>
      </c>
      <c r="J22">
        <v>275700000000</v>
      </c>
      <c r="K22">
        <v>2000</v>
      </c>
      <c r="L22">
        <v>4.9000000000000004</v>
      </c>
      <c r="M22">
        <v>0.1</v>
      </c>
      <c r="N22">
        <v>650</v>
      </c>
      <c r="O22">
        <v>13000</v>
      </c>
      <c r="P22">
        <v>207486</v>
      </c>
      <c r="Q22">
        <v>10030000000</v>
      </c>
      <c r="R22">
        <v>6.5</v>
      </c>
      <c r="S22">
        <v>62.6</v>
      </c>
      <c r="T22">
        <v>6</v>
      </c>
      <c r="U22">
        <v>1</v>
      </c>
      <c r="V22">
        <v>243000</v>
      </c>
      <c r="W22">
        <v>23.5</v>
      </c>
      <c r="X22">
        <v>65490000</v>
      </c>
      <c r="Y22">
        <v>62.08</v>
      </c>
      <c r="Z22">
        <v>995300000</v>
      </c>
      <c r="AA22">
        <v>1.8</v>
      </c>
      <c r="AB22">
        <v>9900000000</v>
      </c>
      <c r="AC22">
        <v>0</v>
      </c>
      <c r="AD22">
        <v>0</v>
      </c>
      <c r="AE22">
        <v>9900000000</v>
      </c>
      <c r="AF22">
        <v>150300000000</v>
      </c>
      <c r="AG22">
        <v>71000</v>
      </c>
      <c r="AJ22">
        <v>3581</v>
      </c>
      <c r="AK22">
        <v>28450000</v>
      </c>
      <c r="AL22">
        <v>144319628</v>
      </c>
      <c r="AM22">
        <v>43</v>
      </c>
      <c r="AN22">
        <v>2706</v>
      </c>
      <c r="AO22">
        <v>3000000000</v>
      </c>
      <c r="AP22">
        <v>740000</v>
      </c>
      <c r="AQ22">
        <v>1365000</v>
      </c>
      <c r="AR22">
        <v>3.13</v>
      </c>
      <c r="AS22">
        <v>40</v>
      </c>
    </row>
    <row r="23" spans="1:45" x14ac:dyDescent="0.3">
      <c r="A23" t="s">
        <v>66</v>
      </c>
      <c r="B23">
        <v>431</v>
      </c>
      <c r="C23">
        <v>12.83</v>
      </c>
      <c r="E23">
        <v>9.17</v>
      </c>
      <c r="F23">
        <v>668000000</v>
      </c>
      <c r="G23">
        <v>744000000</v>
      </c>
      <c r="H23">
        <v>800000000</v>
      </c>
      <c r="I23">
        <v>206000000</v>
      </c>
      <c r="J23">
        <v>4569000000</v>
      </c>
      <c r="K23">
        <v>16400</v>
      </c>
      <c r="L23">
        <v>2.2999999999999998</v>
      </c>
      <c r="M23">
        <v>1.5</v>
      </c>
      <c r="N23">
        <v>200</v>
      </c>
      <c r="O23">
        <v>2500</v>
      </c>
      <c r="P23">
        <v>1600</v>
      </c>
      <c r="Q23">
        <v>1039000000</v>
      </c>
      <c r="R23">
        <v>-3.2</v>
      </c>
      <c r="S23">
        <v>12.5</v>
      </c>
      <c r="T23">
        <v>-0.5</v>
      </c>
      <c r="U23">
        <v>204</v>
      </c>
      <c r="V23">
        <v>100000</v>
      </c>
      <c r="X23">
        <v>128500</v>
      </c>
      <c r="Y23">
        <v>71.41</v>
      </c>
      <c r="AB23">
        <v>29170000</v>
      </c>
      <c r="AC23">
        <v>0</v>
      </c>
      <c r="AD23">
        <v>0</v>
      </c>
      <c r="AE23">
        <v>29170000</v>
      </c>
      <c r="AF23">
        <v>70790000</v>
      </c>
      <c r="AG23">
        <v>10900</v>
      </c>
      <c r="AJ23">
        <v>1271</v>
      </c>
      <c r="AK23">
        <v>1254000</v>
      </c>
      <c r="AL23">
        <v>279254</v>
      </c>
      <c r="AP23">
        <v>134000</v>
      </c>
      <c r="AQ23">
        <v>140000</v>
      </c>
      <c r="AR23">
        <v>1.65</v>
      </c>
      <c r="AS23">
        <v>10.7</v>
      </c>
    </row>
    <row r="24" spans="1:45" x14ac:dyDescent="0.3">
      <c r="A24" t="s">
        <v>67</v>
      </c>
      <c r="B24">
        <v>0</v>
      </c>
    </row>
    <row r="25" spans="1:45" x14ac:dyDescent="0.3">
      <c r="A25" t="s">
        <v>68</v>
      </c>
      <c r="B25">
        <v>207600</v>
      </c>
      <c r="C25">
        <v>10.83</v>
      </c>
      <c r="D25">
        <v>-1119000000</v>
      </c>
      <c r="E25">
        <v>14.15</v>
      </c>
      <c r="F25">
        <v>600000000</v>
      </c>
      <c r="G25">
        <v>34300000000</v>
      </c>
      <c r="H25">
        <v>30000000000</v>
      </c>
      <c r="I25">
        <v>11470000000</v>
      </c>
      <c r="J25">
        <v>70500000000</v>
      </c>
      <c r="K25">
        <v>6800</v>
      </c>
      <c r="L25">
        <v>6.4</v>
      </c>
      <c r="M25">
        <v>0.3</v>
      </c>
      <c r="N25">
        <v>1000</v>
      </c>
      <c r="O25">
        <v>15000</v>
      </c>
      <c r="P25">
        <v>79990</v>
      </c>
      <c r="Q25">
        <v>13570000000</v>
      </c>
      <c r="R25">
        <v>4</v>
      </c>
      <c r="S25">
        <v>13.37</v>
      </c>
      <c r="T25">
        <v>17.399999999999999</v>
      </c>
      <c r="U25">
        <v>5308</v>
      </c>
      <c r="V25">
        <v>1391900</v>
      </c>
      <c r="W25">
        <v>21.8</v>
      </c>
      <c r="X25">
        <v>4305000</v>
      </c>
      <c r="Y25">
        <v>68.72</v>
      </c>
      <c r="Z25">
        <v>176100000</v>
      </c>
      <c r="AA25">
        <v>1.4</v>
      </c>
      <c r="AB25">
        <v>18800000000</v>
      </c>
      <c r="AC25">
        <v>0</v>
      </c>
      <c r="AD25">
        <v>18500000000</v>
      </c>
      <c r="AE25">
        <v>250000000</v>
      </c>
      <c r="AG25">
        <v>285000</v>
      </c>
      <c r="AH25">
        <v>14500</v>
      </c>
      <c r="AI25">
        <v>360000</v>
      </c>
      <c r="AJ25">
        <v>36000</v>
      </c>
      <c r="AL25">
        <v>10300483</v>
      </c>
      <c r="AN25">
        <v>5523</v>
      </c>
      <c r="AO25">
        <v>770200000</v>
      </c>
      <c r="AP25">
        <v>3071300</v>
      </c>
      <c r="AQ25">
        <v>1118000</v>
      </c>
      <c r="AR25">
        <v>1.39</v>
      </c>
      <c r="AS25">
        <v>2</v>
      </c>
    </row>
    <row r="26" spans="1:45" x14ac:dyDescent="0.3">
      <c r="A26" t="s">
        <v>69</v>
      </c>
      <c r="B26">
        <v>30528</v>
      </c>
      <c r="C26">
        <v>10.48</v>
      </c>
      <c r="D26">
        <v>11400000000</v>
      </c>
      <c r="E26">
        <v>10.220000000000001</v>
      </c>
      <c r="F26">
        <v>28300000000</v>
      </c>
      <c r="G26">
        <v>78820000000</v>
      </c>
      <c r="H26">
        <v>76580000000</v>
      </c>
      <c r="I26">
        <v>255700000000</v>
      </c>
      <c r="J26">
        <v>316200000000</v>
      </c>
      <c r="K26">
        <v>30600</v>
      </c>
      <c r="L26">
        <v>2.6</v>
      </c>
      <c r="M26">
        <v>0.2</v>
      </c>
      <c r="N26">
        <v>100</v>
      </c>
      <c r="O26">
        <v>10000</v>
      </c>
      <c r="P26">
        <v>149028</v>
      </c>
      <c r="Q26">
        <v>235000000000</v>
      </c>
      <c r="R26">
        <v>3.5</v>
      </c>
      <c r="S26">
        <v>4.68</v>
      </c>
      <c r="T26">
        <v>1.9</v>
      </c>
      <c r="U26">
        <v>166799</v>
      </c>
      <c r="V26">
        <v>3400000</v>
      </c>
      <c r="W26">
        <v>19.100000000000001</v>
      </c>
      <c r="X26">
        <v>4750000</v>
      </c>
      <c r="Y26">
        <v>78.62</v>
      </c>
      <c r="Z26">
        <v>3999000000</v>
      </c>
      <c r="AA26">
        <v>1.3</v>
      </c>
      <c r="AB26">
        <v>15500000000</v>
      </c>
      <c r="AC26">
        <v>0</v>
      </c>
      <c r="AD26">
        <v>15400000000</v>
      </c>
      <c r="AE26">
        <v>0</v>
      </c>
      <c r="AG26">
        <v>595100</v>
      </c>
      <c r="AH26">
        <v>450000</v>
      </c>
      <c r="AI26">
        <v>1042000</v>
      </c>
      <c r="AJ26">
        <v>0</v>
      </c>
      <c r="AL26">
        <v>10364388</v>
      </c>
      <c r="AM26">
        <v>96.2</v>
      </c>
      <c r="AN26">
        <v>3518</v>
      </c>
      <c r="AO26">
        <v>14450000000</v>
      </c>
      <c r="AP26">
        <v>5120400</v>
      </c>
      <c r="AQ26">
        <v>8135500</v>
      </c>
      <c r="AR26">
        <v>1.64</v>
      </c>
      <c r="AS26">
        <v>12</v>
      </c>
    </row>
    <row r="27" spans="1:45" x14ac:dyDescent="0.3">
      <c r="A27" t="s">
        <v>70</v>
      </c>
      <c r="B27">
        <v>22966</v>
      </c>
      <c r="C27">
        <v>29.34</v>
      </c>
      <c r="D27">
        <v>-115000000</v>
      </c>
      <c r="E27">
        <v>6.04</v>
      </c>
      <c r="F27">
        <v>1362000000</v>
      </c>
      <c r="G27">
        <v>108800000</v>
      </c>
      <c r="H27">
        <v>117000000</v>
      </c>
      <c r="I27">
        <v>401400000</v>
      </c>
      <c r="J27">
        <v>1778000000</v>
      </c>
      <c r="K27">
        <v>6500</v>
      </c>
      <c r="L27">
        <v>3.5</v>
      </c>
      <c r="M27">
        <v>2.4</v>
      </c>
      <c r="O27">
        <v>3600</v>
      </c>
      <c r="P27">
        <v>2872</v>
      </c>
      <c r="Q27">
        <v>579900000</v>
      </c>
      <c r="R27">
        <v>4.5999999999999996</v>
      </c>
      <c r="S27">
        <v>25.69</v>
      </c>
      <c r="T27">
        <v>2.9</v>
      </c>
      <c r="U27">
        <v>2613</v>
      </c>
      <c r="V27">
        <v>30000</v>
      </c>
      <c r="W27">
        <v>33.6</v>
      </c>
      <c r="X27">
        <v>90000</v>
      </c>
      <c r="Y27">
        <v>67.489999999999995</v>
      </c>
      <c r="Z27">
        <v>18000000</v>
      </c>
      <c r="AA27">
        <v>2</v>
      </c>
      <c r="AG27">
        <v>5000</v>
      </c>
      <c r="AJ27">
        <v>0</v>
      </c>
      <c r="AL27">
        <v>279457</v>
      </c>
      <c r="AO27">
        <v>111100000</v>
      </c>
      <c r="AP27">
        <v>33300</v>
      </c>
      <c r="AQ27">
        <v>60400</v>
      </c>
      <c r="AR27">
        <v>3.68</v>
      </c>
      <c r="AS27">
        <v>12.9</v>
      </c>
    </row>
    <row r="28" spans="1:45" x14ac:dyDescent="0.3">
      <c r="A28" t="s">
        <v>71</v>
      </c>
      <c r="B28">
        <v>112620</v>
      </c>
      <c r="C28">
        <v>41.99</v>
      </c>
      <c r="D28">
        <v>-159900000</v>
      </c>
      <c r="E28">
        <v>13.76</v>
      </c>
      <c r="F28">
        <v>1600000000</v>
      </c>
      <c r="G28">
        <v>565200000</v>
      </c>
      <c r="H28">
        <v>285200000</v>
      </c>
      <c r="I28">
        <v>720900000</v>
      </c>
      <c r="J28">
        <v>8338000000</v>
      </c>
      <c r="K28">
        <v>1200</v>
      </c>
      <c r="L28">
        <v>5</v>
      </c>
      <c r="M28">
        <v>1.9</v>
      </c>
      <c r="N28">
        <v>5800</v>
      </c>
      <c r="O28">
        <v>68000</v>
      </c>
      <c r="P28">
        <v>6787</v>
      </c>
      <c r="Q28">
        <v>934500000</v>
      </c>
      <c r="R28">
        <v>8.3000000000000007</v>
      </c>
      <c r="S28">
        <v>85</v>
      </c>
      <c r="T28">
        <v>2.8</v>
      </c>
      <c r="U28">
        <v>879</v>
      </c>
      <c r="V28">
        <v>70000</v>
      </c>
      <c r="W28">
        <v>19.3</v>
      </c>
      <c r="Y28">
        <v>50.51</v>
      </c>
      <c r="Z28">
        <v>96500000</v>
      </c>
      <c r="AA28">
        <v>2.4</v>
      </c>
      <c r="AF28">
        <v>608800000</v>
      </c>
      <c r="AG28">
        <v>11500</v>
      </c>
      <c r="AJ28">
        <v>700</v>
      </c>
      <c r="AK28">
        <v>4105000</v>
      </c>
      <c r="AL28">
        <v>7460025</v>
      </c>
      <c r="AN28">
        <v>578</v>
      </c>
      <c r="AO28">
        <v>839300000</v>
      </c>
      <c r="AP28">
        <v>66500</v>
      </c>
      <c r="AQ28">
        <v>236200</v>
      </c>
      <c r="AR28">
        <v>5.86</v>
      </c>
    </row>
    <row r="29" spans="1:45" x14ac:dyDescent="0.3">
      <c r="A29" t="s">
        <v>72</v>
      </c>
      <c r="B29">
        <v>53</v>
      </c>
      <c r="C29">
        <v>11.6</v>
      </c>
      <c r="E29">
        <v>7.63</v>
      </c>
      <c r="F29">
        <v>160000000</v>
      </c>
      <c r="G29">
        <v>598000000</v>
      </c>
      <c r="H29">
        <v>643000000</v>
      </c>
      <c r="I29">
        <v>879000000</v>
      </c>
      <c r="J29">
        <v>2330000000</v>
      </c>
      <c r="K29">
        <v>36000</v>
      </c>
      <c r="L29">
        <v>2</v>
      </c>
      <c r="P29">
        <v>450</v>
      </c>
      <c r="Q29">
        <v>5523000000</v>
      </c>
      <c r="S29">
        <v>8.5299999999999994</v>
      </c>
      <c r="T29">
        <v>3.3</v>
      </c>
      <c r="U29">
        <v>5161</v>
      </c>
      <c r="V29">
        <v>34500</v>
      </c>
      <c r="X29">
        <v>37470</v>
      </c>
      <c r="Y29">
        <v>77.790000000000006</v>
      </c>
      <c r="Z29">
        <v>4030000</v>
      </c>
      <c r="AA29">
        <v>0.11</v>
      </c>
      <c r="AG29">
        <v>4000</v>
      </c>
      <c r="AJ29">
        <v>0</v>
      </c>
      <c r="AL29">
        <v>65365</v>
      </c>
      <c r="AP29">
        <v>56000</v>
      </c>
      <c r="AQ29">
        <v>37873</v>
      </c>
      <c r="AR29">
        <v>1.89</v>
      </c>
      <c r="AS29">
        <v>5</v>
      </c>
    </row>
    <row r="30" spans="1:45" x14ac:dyDescent="0.3">
      <c r="A30" t="s">
        <v>73</v>
      </c>
      <c r="B30">
        <v>47000</v>
      </c>
      <c r="C30">
        <v>34.03</v>
      </c>
      <c r="E30">
        <v>12.94</v>
      </c>
      <c r="F30">
        <v>245000000</v>
      </c>
      <c r="G30">
        <v>312900000</v>
      </c>
      <c r="H30">
        <v>2001000000</v>
      </c>
      <c r="I30">
        <v>154000000</v>
      </c>
      <c r="J30">
        <v>2900000000</v>
      </c>
      <c r="K30">
        <v>1400</v>
      </c>
      <c r="L30">
        <v>5.3</v>
      </c>
      <c r="M30">
        <v>0.1</v>
      </c>
      <c r="O30">
        <v>100</v>
      </c>
      <c r="P30">
        <v>4007</v>
      </c>
      <c r="Q30">
        <v>196000000</v>
      </c>
      <c r="R30">
        <v>9.3000000000000007</v>
      </c>
      <c r="S30">
        <v>100.44</v>
      </c>
      <c r="T30">
        <v>3</v>
      </c>
      <c r="U30">
        <v>985</v>
      </c>
      <c r="V30">
        <v>15000</v>
      </c>
      <c r="Y30">
        <v>54.39</v>
      </c>
      <c r="Z30">
        <v>13700000</v>
      </c>
      <c r="AA30">
        <v>1.8</v>
      </c>
      <c r="AG30">
        <v>1020</v>
      </c>
      <c r="AJ30">
        <v>0</v>
      </c>
      <c r="AL30">
        <v>2232291</v>
      </c>
      <c r="AP30">
        <v>25200</v>
      </c>
      <c r="AQ30">
        <v>22000</v>
      </c>
      <c r="AR30">
        <v>4.8099999999999996</v>
      </c>
    </row>
    <row r="31" spans="1:45" x14ac:dyDescent="0.3">
      <c r="A31" t="s">
        <v>74</v>
      </c>
      <c r="B31">
        <v>1098580</v>
      </c>
      <c r="C31">
        <v>23.76</v>
      </c>
      <c r="D31">
        <v>273000000</v>
      </c>
      <c r="E31">
        <v>7.64</v>
      </c>
      <c r="F31">
        <v>5439000000</v>
      </c>
      <c r="G31">
        <v>3848000000</v>
      </c>
      <c r="H31">
        <v>4132000000</v>
      </c>
      <c r="I31">
        <v>1986000000</v>
      </c>
      <c r="J31">
        <v>22330000000</v>
      </c>
      <c r="K31">
        <v>2600</v>
      </c>
      <c r="L31">
        <v>3.7</v>
      </c>
      <c r="M31">
        <v>0.1</v>
      </c>
      <c r="O31">
        <v>4900</v>
      </c>
      <c r="P31">
        <v>60282</v>
      </c>
      <c r="Q31">
        <v>1595000000</v>
      </c>
      <c r="R31">
        <v>5.7</v>
      </c>
      <c r="S31">
        <v>53.11</v>
      </c>
      <c r="T31">
        <v>4.9000000000000004</v>
      </c>
      <c r="U31">
        <v>7080</v>
      </c>
      <c r="V31">
        <v>270000</v>
      </c>
      <c r="W31">
        <v>10.4</v>
      </c>
      <c r="X31">
        <v>3800000</v>
      </c>
      <c r="Y31">
        <v>65.5</v>
      </c>
      <c r="Z31">
        <v>132200000</v>
      </c>
      <c r="AA31">
        <v>1.6</v>
      </c>
      <c r="AB31">
        <v>1150000000</v>
      </c>
      <c r="AC31">
        <v>2900000000</v>
      </c>
      <c r="AD31">
        <v>0</v>
      </c>
      <c r="AE31">
        <v>8440000000</v>
      </c>
      <c r="AF31">
        <v>727200000000</v>
      </c>
      <c r="AG31">
        <v>49000</v>
      </c>
      <c r="AJ31">
        <v>39000</v>
      </c>
      <c r="AK31">
        <v>458800000</v>
      </c>
      <c r="AL31">
        <v>8857870</v>
      </c>
      <c r="AN31">
        <v>3519</v>
      </c>
      <c r="AO31">
        <v>1214000000</v>
      </c>
      <c r="AP31">
        <v>600100</v>
      </c>
      <c r="AQ31">
        <v>1401500</v>
      </c>
      <c r="AR31">
        <v>2.94</v>
      </c>
      <c r="AS31">
        <v>9.1999999999999993</v>
      </c>
    </row>
    <row r="32" spans="1:45" x14ac:dyDescent="0.3">
      <c r="A32" t="s">
        <v>75</v>
      </c>
      <c r="B32">
        <v>51129</v>
      </c>
      <c r="C32">
        <v>12.49</v>
      </c>
      <c r="D32">
        <v>-2100000000</v>
      </c>
      <c r="E32">
        <v>8.44</v>
      </c>
      <c r="F32">
        <v>3000000000</v>
      </c>
      <c r="G32">
        <v>8318000000</v>
      </c>
      <c r="H32">
        <v>10040000000</v>
      </c>
      <c r="I32">
        <v>1700000000</v>
      </c>
      <c r="J32">
        <v>26210000000</v>
      </c>
      <c r="K32">
        <v>6500</v>
      </c>
      <c r="L32">
        <v>5</v>
      </c>
      <c r="M32">
        <v>0.1</v>
      </c>
      <c r="N32">
        <v>100</v>
      </c>
      <c r="O32">
        <v>900</v>
      </c>
      <c r="P32">
        <v>21846</v>
      </c>
      <c r="Q32">
        <v>5200000000</v>
      </c>
      <c r="R32">
        <v>5.5</v>
      </c>
      <c r="S32">
        <v>21.05</v>
      </c>
      <c r="T32">
        <v>1.1000000000000001</v>
      </c>
      <c r="U32">
        <v>6994</v>
      </c>
      <c r="V32">
        <v>100000</v>
      </c>
      <c r="X32">
        <v>1026000</v>
      </c>
      <c r="Y32">
        <v>72.849999999999994</v>
      </c>
      <c r="Z32">
        <v>234300000</v>
      </c>
      <c r="AA32">
        <v>4.5</v>
      </c>
      <c r="AB32">
        <v>300000000</v>
      </c>
      <c r="AC32">
        <v>0</v>
      </c>
      <c r="AD32">
        <v>300000000</v>
      </c>
      <c r="AE32">
        <v>0</v>
      </c>
      <c r="AG32">
        <v>20000</v>
      </c>
      <c r="AJ32">
        <v>0</v>
      </c>
      <c r="AL32">
        <v>4025476</v>
      </c>
      <c r="AN32">
        <v>1021</v>
      </c>
      <c r="AO32">
        <v>2000000000</v>
      </c>
      <c r="AP32">
        <v>938000</v>
      </c>
      <c r="AQ32">
        <v>1050000</v>
      </c>
      <c r="AR32">
        <v>1.71</v>
      </c>
      <c r="AS32">
        <v>44</v>
      </c>
    </row>
    <row r="33" spans="1:45" x14ac:dyDescent="0.3">
      <c r="A33" t="s">
        <v>76</v>
      </c>
      <c r="B33">
        <v>600370</v>
      </c>
      <c r="C33">
        <v>23.33</v>
      </c>
      <c r="D33">
        <v>337000000</v>
      </c>
      <c r="E33">
        <v>29.36</v>
      </c>
      <c r="F33">
        <v>531000000</v>
      </c>
      <c r="G33">
        <v>1890000000</v>
      </c>
      <c r="H33">
        <v>930000000</v>
      </c>
      <c r="I33">
        <v>2940000000</v>
      </c>
      <c r="J33">
        <v>15050000000</v>
      </c>
      <c r="K33">
        <v>9200</v>
      </c>
      <c r="L33">
        <v>3.5</v>
      </c>
      <c r="M33">
        <v>37.299999999999997</v>
      </c>
      <c r="N33">
        <v>33000</v>
      </c>
      <c r="O33">
        <v>350000</v>
      </c>
      <c r="P33">
        <v>10217</v>
      </c>
      <c r="Q33">
        <v>2255000000</v>
      </c>
      <c r="R33">
        <v>4.4000000000000004</v>
      </c>
      <c r="S33">
        <v>54.58</v>
      </c>
      <c r="T33">
        <v>7</v>
      </c>
      <c r="U33">
        <v>1920</v>
      </c>
      <c r="V33">
        <v>60000</v>
      </c>
      <c r="W33">
        <v>25.5</v>
      </c>
      <c r="X33">
        <v>264000</v>
      </c>
      <c r="Y33">
        <v>33.869999999999997</v>
      </c>
      <c r="Z33">
        <v>338500000</v>
      </c>
      <c r="AA33">
        <v>3.9</v>
      </c>
      <c r="AG33">
        <v>16000</v>
      </c>
      <c r="AJ33">
        <v>0</v>
      </c>
      <c r="AL33">
        <v>1640115</v>
      </c>
      <c r="AM33">
        <v>8.6</v>
      </c>
      <c r="AN33">
        <v>888</v>
      </c>
      <c r="AO33">
        <v>5700000000</v>
      </c>
      <c r="AP33">
        <v>142400</v>
      </c>
      <c r="AQ33">
        <v>435000</v>
      </c>
      <c r="AR33">
        <v>2.85</v>
      </c>
      <c r="AS33">
        <v>23.8</v>
      </c>
    </row>
    <row r="34" spans="1:45" x14ac:dyDescent="0.3">
      <c r="A34" t="s">
        <v>77</v>
      </c>
      <c r="B34">
        <v>59</v>
      </c>
    </row>
    <row r="35" spans="1:45" x14ac:dyDescent="0.3">
      <c r="A35" t="s">
        <v>78</v>
      </c>
      <c r="B35">
        <v>8511965</v>
      </c>
      <c r="C35">
        <v>16.829999999999998</v>
      </c>
      <c r="D35">
        <v>8000000000</v>
      </c>
      <c r="E35">
        <v>6.15</v>
      </c>
      <c r="F35">
        <v>219800000000</v>
      </c>
      <c r="G35">
        <v>351900000000</v>
      </c>
      <c r="H35">
        <v>339000000000</v>
      </c>
      <c r="I35">
        <v>95000000000</v>
      </c>
      <c r="J35">
        <v>1492000000000</v>
      </c>
      <c r="K35">
        <v>8100</v>
      </c>
      <c r="L35">
        <v>5.0999999999999996</v>
      </c>
      <c r="M35">
        <v>0.7</v>
      </c>
      <c r="N35">
        <v>15000</v>
      </c>
      <c r="O35">
        <v>660000</v>
      </c>
      <c r="P35">
        <v>1724929</v>
      </c>
      <c r="Q35">
        <v>61000000000</v>
      </c>
      <c r="R35">
        <v>6</v>
      </c>
      <c r="S35">
        <v>29.61</v>
      </c>
      <c r="T35">
        <v>7.6</v>
      </c>
      <c r="U35">
        <v>3163349</v>
      </c>
      <c r="V35">
        <v>14300000</v>
      </c>
      <c r="W35">
        <v>19.8</v>
      </c>
      <c r="X35">
        <v>89000000</v>
      </c>
      <c r="Y35">
        <v>71.69</v>
      </c>
      <c r="Z35">
        <v>11000000000</v>
      </c>
      <c r="AA35">
        <v>1.8</v>
      </c>
      <c r="AB35">
        <v>9590000000</v>
      </c>
      <c r="AC35">
        <v>0</v>
      </c>
      <c r="AD35">
        <v>3640000000</v>
      </c>
      <c r="AE35">
        <v>5950000000</v>
      </c>
      <c r="AF35">
        <v>221700000000</v>
      </c>
      <c r="AG35">
        <v>2199000</v>
      </c>
      <c r="AJ35">
        <v>1788000</v>
      </c>
      <c r="AK35">
        <v>13900000000</v>
      </c>
      <c r="AL35">
        <v>186112794</v>
      </c>
      <c r="AM35">
        <v>52</v>
      </c>
      <c r="AN35">
        <v>29412</v>
      </c>
      <c r="AO35">
        <v>52940000000</v>
      </c>
      <c r="AP35">
        <v>38810000</v>
      </c>
      <c r="AQ35">
        <v>46373300</v>
      </c>
      <c r="AR35">
        <v>1.93</v>
      </c>
      <c r="AS35">
        <v>11.5</v>
      </c>
    </row>
    <row r="36" spans="1:45" x14ac:dyDescent="0.3">
      <c r="A36" t="s">
        <v>79</v>
      </c>
      <c r="B36">
        <v>60</v>
      </c>
    </row>
    <row r="37" spans="1:45" x14ac:dyDescent="0.3">
      <c r="A37" t="s">
        <v>80</v>
      </c>
      <c r="B37">
        <v>153</v>
      </c>
      <c r="C37">
        <v>14.96</v>
      </c>
      <c r="E37">
        <v>4.42</v>
      </c>
      <c r="F37">
        <v>36100000</v>
      </c>
      <c r="G37">
        <v>33740000</v>
      </c>
      <c r="H37">
        <v>36280000</v>
      </c>
      <c r="I37">
        <v>25300000</v>
      </c>
      <c r="J37">
        <v>2498000000</v>
      </c>
      <c r="K37">
        <v>38500</v>
      </c>
      <c r="L37">
        <v>1</v>
      </c>
      <c r="P37">
        <v>177</v>
      </c>
      <c r="Q37">
        <v>187000000</v>
      </c>
      <c r="S37">
        <v>18.05</v>
      </c>
      <c r="T37">
        <v>2.5</v>
      </c>
      <c r="V37">
        <v>4000</v>
      </c>
      <c r="X37">
        <v>12770</v>
      </c>
      <c r="Y37">
        <v>76.27</v>
      </c>
      <c r="AG37">
        <v>420</v>
      </c>
      <c r="AJ37">
        <v>0</v>
      </c>
      <c r="AL37">
        <v>22643</v>
      </c>
      <c r="AP37">
        <v>11700</v>
      </c>
      <c r="AQ37">
        <v>8000</v>
      </c>
      <c r="AR37">
        <v>1.72</v>
      </c>
      <c r="AS37">
        <v>3</v>
      </c>
    </row>
    <row r="38" spans="1:45" x14ac:dyDescent="0.3">
      <c r="A38" t="s">
        <v>81</v>
      </c>
      <c r="B38">
        <v>5770</v>
      </c>
      <c r="C38">
        <v>19.010000000000002</v>
      </c>
      <c r="E38">
        <v>3.42</v>
      </c>
      <c r="F38">
        <v>0</v>
      </c>
      <c r="G38">
        <v>2286000000</v>
      </c>
      <c r="H38">
        <v>2458000000</v>
      </c>
      <c r="I38">
        <v>7700000000</v>
      </c>
      <c r="J38">
        <v>6842000000</v>
      </c>
      <c r="K38">
        <v>23600</v>
      </c>
      <c r="L38">
        <v>3.2</v>
      </c>
      <c r="M38">
        <v>0.1</v>
      </c>
      <c r="N38">
        <v>200</v>
      </c>
      <c r="O38">
        <v>200</v>
      </c>
      <c r="P38">
        <v>2525</v>
      </c>
      <c r="Q38">
        <v>5200000000</v>
      </c>
      <c r="R38">
        <v>5</v>
      </c>
      <c r="S38">
        <v>12.61</v>
      </c>
      <c r="T38">
        <v>0.3</v>
      </c>
      <c r="U38">
        <v>6409</v>
      </c>
      <c r="V38">
        <v>35000</v>
      </c>
      <c r="X38">
        <v>158000</v>
      </c>
      <c r="Y38">
        <v>74.8</v>
      </c>
      <c r="Z38">
        <v>290700000</v>
      </c>
      <c r="AA38">
        <v>5.0999999999999996</v>
      </c>
      <c r="AB38">
        <v>1350000000</v>
      </c>
      <c r="AC38">
        <v>9000000000</v>
      </c>
      <c r="AD38">
        <v>0</v>
      </c>
      <c r="AE38">
        <v>10350000000</v>
      </c>
      <c r="AF38">
        <v>315000000000</v>
      </c>
      <c r="AG38">
        <v>13000</v>
      </c>
      <c r="AH38">
        <v>199000</v>
      </c>
      <c r="AJ38">
        <v>204000</v>
      </c>
      <c r="AK38">
        <v>1255000000</v>
      </c>
      <c r="AL38">
        <v>372361</v>
      </c>
      <c r="AP38">
        <v>90000</v>
      </c>
      <c r="AQ38">
        <v>137000</v>
      </c>
      <c r="AR38">
        <v>2.2999999999999998</v>
      </c>
      <c r="AS38">
        <v>3.2</v>
      </c>
    </row>
    <row r="39" spans="1:45" x14ac:dyDescent="0.3">
      <c r="A39" t="s">
        <v>82</v>
      </c>
      <c r="B39">
        <v>110910</v>
      </c>
      <c r="C39">
        <v>9.66</v>
      </c>
      <c r="D39">
        <v>682900000</v>
      </c>
      <c r="E39">
        <v>14.26</v>
      </c>
      <c r="F39">
        <v>16100000000</v>
      </c>
      <c r="G39">
        <v>32710000000</v>
      </c>
      <c r="H39">
        <v>43070000000</v>
      </c>
      <c r="I39">
        <v>9134000000</v>
      </c>
      <c r="J39">
        <v>61630000000</v>
      </c>
      <c r="K39">
        <v>8200</v>
      </c>
      <c r="L39">
        <v>5.3</v>
      </c>
      <c r="M39">
        <v>0.1</v>
      </c>
      <c r="N39">
        <v>100</v>
      </c>
      <c r="O39">
        <v>346</v>
      </c>
      <c r="P39">
        <v>37077</v>
      </c>
      <c r="Q39">
        <v>12230000000</v>
      </c>
      <c r="R39">
        <v>5.2</v>
      </c>
      <c r="S39">
        <v>20.55</v>
      </c>
      <c r="T39">
        <v>6.1</v>
      </c>
      <c r="U39">
        <v>53421</v>
      </c>
      <c r="V39">
        <v>630000</v>
      </c>
      <c r="W39">
        <v>18.600000000000001</v>
      </c>
      <c r="X39">
        <v>3398000</v>
      </c>
      <c r="Y39">
        <v>72.03</v>
      </c>
      <c r="Z39">
        <v>356000000</v>
      </c>
      <c r="AA39">
        <v>2.6</v>
      </c>
      <c r="AB39">
        <v>5804000000</v>
      </c>
      <c r="AC39">
        <v>0</v>
      </c>
      <c r="AD39">
        <v>5800000000</v>
      </c>
      <c r="AE39">
        <v>4000000</v>
      </c>
      <c r="AF39">
        <v>3724000000</v>
      </c>
      <c r="AG39">
        <v>94000</v>
      </c>
      <c r="AJ39">
        <v>603</v>
      </c>
      <c r="AK39">
        <v>8100000</v>
      </c>
      <c r="AL39">
        <v>7450349</v>
      </c>
      <c r="AM39">
        <v>41.9</v>
      </c>
      <c r="AN39">
        <v>4294</v>
      </c>
      <c r="AO39">
        <v>7526000000</v>
      </c>
      <c r="AP39">
        <v>2868200</v>
      </c>
      <c r="AQ39">
        <v>2597500</v>
      </c>
      <c r="AR39">
        <v>1.38</v>
      </c>
      <c r="AS39">
        <v>12.7</v>
      </c>
    </row>
    <row r="40" spans="1:45" x14ac:dyDescent="0.3">
      <c r="A40" t="s">
        <v>83</v>
      </c>
      <c r="B40">
        <v>274200</v>
      </c>
      <c r="C40">
        <v>44.17</v>
      </c>
      <c r="D40">
        <v>-471700000</v>
      </c>
      <c r="E40">
        <v>18.86</v>
      </c>
      <c r="F40">
        <v>1300000000</v>
      </c>
      <c r="G40">
        <v>335700000</v>
      </c>
      <c r="H40">
        <v>361000000</v>
      </c>
      <c r="I40">
        <v>418600000</v>
      </c>
      <c r="J40">
        <v>15740000000</v>
      </c>
      <c r="K40">
        <v>1200</v>
      </c>
      <c r="L40">
        <v>4.8</v>
      </c>
      <c r="M40">
        <v>4.2</v>
      </c>
      <c r="N40">
        <v>29000</v>
      </c>
      <c r="O40">
        <v>300000</v>
      </c>
      <c r="P40">
        <v>12506</v>
      </c>
      <c r="Q40">
        <v>866300000</v>
      </c>
      <c r="R40">
        <v>14</v>
      </c>
      <c r="S40">
        <v>97.57</v>
      </c>
      <c r="T40">
        <v>2.4</v>
      </c>
      <c r="U40">
        <v>442</v>
      </c>
      <c r="V40">
        <v>48000</v>
      </c>
      <c r="W40">
        <v>29.1</v>
      </c>
      <c r="X40">
        <v>5000000</v>
      </c>
      <c r="Y40">
        <v>43.92</v>
      </c>
      <c r="Z40">
        <v>64200000</v>
      </c>
      <c r="AA40">
        <v>1.3</v>
      </c>
      <c r="AG40">
        <v>8000</v>
      </c>
      <c r="AJ40">
        <v>0</v>
      </c>
      <c r="AL40">
        <v>13925313</v>
      </c>
      <c r="AN40">
        <v>622</v>
      </c>
      <c r="AO40">
        <v>474900000</v>
      </c>
      <c r="AP40">
        <v>65400</v>
      </c>
      <c r="AQ40">
        <v>227000</v>
      </c>
      <c r="AR40">
        <v>6.23</v>
      </c>
    </row>
    <row r="41" spans="1:45" x14ac:dyDescent="0.3">
      <c r="A41" t="s">
        <v>84</v>
      </c>
      <c r="B41">
        <v>678500</v>
      </c>
      <c r="C41">
        <v>18.11</v>
      </c>
      <c r="D41">
        <v>-185000000</v>
      </c>
      <c r="E41">
        <v>12.15</v>
      </c>
      <c r="F41">
        <v>6752000000</v>
      </c>
      <c r="G41">
        <v>3484000000</v>
      </c>
      <c r="H41">
        <v>5068000000</v>
      </c>
      <c r="I41">
        <v>2137000000</v>
      </c>
      <c r="J41">
        <v>74300000000</v>
      </c>
      <c r="K41">
        <v>1700</v>
      </c>
      <c r="L41">
        <v>-1.3</v>
      </c>
      <c r="M41">
        <v>1.2</v>
      </c>
      <c r="N41">
        <v>20000</v>
      </c>
      <c r="O41">
        <v>330000</v>
      </c>
      <c r="P41">
        <v>28200</v>
      </c>
      <c r="Q41">
        <v>1754000000</v>
      </c>
      <c r="S41">
        <v>67.239999999999995</v>
      </c>
      <c r="T41">
        <v>17.2</v>
      </c>
      <c r="U41">
        <v>3</v>
      </c>
      <c r="V41">
        <v>28000</v>
      </c>
      <c r="W41">
        <v>10.199999999999999</v>
      </c>
      <c r="X41">
        <v>27010000</v>
      </c>
      <c r="Y41">
        <v>56.22</v>
      </c>
      <c r="Z41">
        <v>39000000</v>
      </c>
      <c r="AA41">
        <v>2.1</v>
      </c>
      <c r="AB41">
        <v>1569000000</v>
      </c>
      <c r="AC41">
        <v>8424000000</v>
      </c>
      <c r="AD41">
        <v>0</v>
      </c>
      <c r="AE41">
        <v>9980000000</v>
      </c>
      <c r="AF41">
        <v>2460000000000</v>
      </c>
      <c r="AG41">
        <v>60950</v>
      </c>
      <c r="AH41">
        <v>3356</v>
      </c>
      <c r="AI41">
        <v>49230</v>
      </c>
      <c r="AJ41">
        <v>17550</v>
      </c>
      <c r="AK41">
        <v>3200000000</v>
      </c>
      <c r="AL41">
        <v>42909464</v>
      </c>
      <c r="AN41">
        <v>3955</v>
      </c>
      <c r="AO41">
        <v>590000000</v>
      </c>
      <c r="AP41">
        <v>357300</v>
      </c>
      <c r="AQ41">
        <v>66500</v>
      </c>
      <c r="AR41">
        <v>2.0099999999999998</v>
      </c>
      <c r="AS41">
        <v>5.2</v>
      </c>
    </row>
    <row r="42" spans="1:45" x14ac:dyDescent="0.3">
      <c r="A42" t="s">
        <v>85</v>
      </c>
      <c r="B42">
        <v>27830</v>
      </c>
      <c r="C42">
        <v>39.659999999999997</v>
      </c>
      <c r="D42">
        <v>-59500000</v>
      </c>
      <c r="E42">
        <v>17.43</v>
      </c>
      <c r="F42">
        <v>1133000000</v>
      </c>
      <c r="G42">
        <v>137800000</v>
      </c>
      <c r="H42">
        <v>132000000</v>
      </c>
      <c r="I42">
        <v>31840000</v>
      </c>
      <c r="J42">
        <v>4001000000</v>
      </c>
      <c r="K42">
        <v>600</v>
      </c>
      <c r="L42">
        <v>3</v>
      </c>
      <c r="M42">
        <v>6</v>
      </c>
      <c r="N42">
        <v>25000</v>
      </c>
      <c r="O42">
        <v>250000</v>
      </c>
      <c r="P42">
        <v>14480</v>
      </c>
      <c r="Q42">
        <v>138200000</v>
      </c>
      <c r="R42">
        <v>18</v>
      </c>
      <c r="S42">
        <v>69.290000000000006</v>
      </c>
      <c r="T42">
        <v>8.5</v>
      </c>
      <c r="U42">
        <v>22</v>
      </c>
      <c r="V42">
        <v>14000</v>
      </c>
      <c r="W42">
        <v>10.7</v>
      </c>
      <c r="X42">
        <v>2990000</v>
      </c>
      <c r="Y42">
        <v>43.5</v>
      </c>
      <c r="Z42">
        <v>38700000</v>
      </c>
      <c r="AA42">
        <v>6</v>
      </c>
      <c r="AG42">
        <v>2750</v>
      </c>
      <c r="AJ42">
        <v>0</v>
      </c>
      <c r="AL42">
        <v>6370609</v>
      </c>
      <c r="AO42">
        <v>76890000</v>
      </c>
      <c r="AP42">
        <v>23900</v>
      </c>
      <c r="AQ42">
        <v>64000</v>
      </c>
      <c r="AR42">
        <v>5.81</v>
      </c>
    </row>
    <row r="43" spans="1:45" x14ac:dyDescent="0.3">
      <c r="A43" t="s">
        <v>86</v>
      </c>
      <c r="B43">
        <v>181040</v>
      </c>
      <c r="C43">
        <v>27.08</v>
      </c>
      <c r="D43">
        <v>-316200000</v>
      </c>
      <c r="E43">
        <v>8.9700000000000006</v>
      </c>
      <c r="F43">
        <v>2400000000</v>
      </c>
      <c r="G43">
        <v>100600000</v>
      </c>
      <c r="H43">
        <v>122000000</v>
      </c>
      <c r="I43">
        <v>2311000000</v>
      </c>
      <c r="J43">
        <v>26990000000</v>
      </c>
      <c r="K43">
        <v>2000</v>
      </c>
      <c r="L43">
        <v>5.4</v>
      </c>
      <c r="M43">
        <v>2.6</v>
      </c>
      <c r="N43">
        <v>15000</v>
      </c>
      <c r="O43">
        <v>170000</v>
      </c>
      <c r="P43">
        <v>12323</v>
      </c>
      <c r="Q43">
        <v>3129000000</v>
      </c>
      <c r="R43">
        <v>22</v>
      </c>
      <c r="S43">
        <v>71.48</v>
      </c>
      <c r="T43">
        <v>3.1</v>
      </c>
      <c r="U43">
        <v>818</v>
      </c>
      <c r="V43">
        <v>30000</v>
      </c>
      <c r="W43">
        <v>20.9</v>
      </c>
      <c r="X43">
        <v>7000000</v>
      </c>
      <c r="Y43">
        <v>58.87</v>
      </c>
      <c r="Z43">
        <v>112000000</v>
      </c>
      <c r="AA43">
        <v>3</v>
      </c>
      <c r="AG43">
        <v>7200</v>
      </c>
      <c r="AJ43">
        <v>0</v>
      </c>
      <c r="AL43">
        <v>13607069</v>
      </c>
      <c r="AN43">
        <v>602</v>
      </c>
      <c r="AO43">
        <v>997500000</v>
      </c>
      <c r="AP43">
        <v>35400</v>
      </c>
      <c r="AQ43">
        <v>380000</v>
      </c>
      <c r="AR43">
        <v>3.44</v>
      </c>
      <c r="AS43">
        <v>2.5</v>
      </c>
    </row>
    <row r="44" spans="1:45" x14ac:dyDescent="0.3">
      <c r="A44" t="s">
        <v>87</v>
      </c>
      <c r="B44">
        <v>475440</v>
      </c>
      <c r="C44">
        <v>34.67</v>
      </c>
      <c r="D44">
        <v>-149100000</v>
      </c>
      <c r="E44">
        <v>15.4</v>
      </c>
      <c r="F44">
        <v>8460000000</v>
      </c>
      <c r="G44">
        <v>3321000000</v>
      </c>
      <c r="H44">
        <v>3571000000</v>
      </c>
      <c r="I44">
        <v>2445000000</v>
      </c>
      <c r="J44">
        <v>30170000000</v>
      </c>
      <c r="K44">
        <v>1900</v>
      </c>
      <c r="L44">
        <v>4.9000000000000004</v>
      </c>
      <c r="M44">
        <v>6.9</v>
      </c>
      <c r="N44">
        <v>49000</v>
      </c>
      <c r="O44">
        <v>560000</v>
      </c>
      <c r="P44">
        <v>34300</v>
      </c>
      <c r="Q44">
        <v>1979000000</v>
      </c>
      <c r="R44">
        <v>4.2</v>
      </c>
      <c r="S44">
        <v>68.260000000000005</v>
      </c>
      <c r="T44">
        <v>1</v>
      </c>
      <c r="U44">
        <v>479</v>
      </c>
      <c r="V44">
        <v>60000</v>
      </c>
      <c r="W44">
        <v>16.100000000000001</v>
      </c>
      <c r="X44">
        <v>6680000</v>
      </c>
      <c r="Y44">
        <v>47.84</v>
      </c>
      <c r="Z44">
        <v>221100000</v>
      </c>
      <c r="AA44">
        <v>1.6</v>
      </c>
      <c r="AB44">
        <v>0</v>
      </c>
      <c r="AC44">
        <v>0</v>
      </c>
      <c r="AD44">
        <v>0</v>
      </c>
      <c r="AE44">
        <v>0</v>
      </c>
      <c r="AF44">
        <v>55220000000</v>
      </c>
      <c r="AG44">
        <v>22000</v>
      </c>
      <c r="AJ44">
        <v>94000</v>
      </c>
      <c r="AK44">
        <v>80000000</v>
      </c>
      <c r="AL44">
        <v>16380005</v>
      </c>
      <c r="AM44">
        <v>69.099999999999994</v>
      </c>
      <c r="AN44">
        <v>1008</v>
      </c>
      <c r="AO44">
        <v>687500000</v>
      </c>
      <c r="AP44">
        <v>110900</v>
      </c>
      <c r="AQ44">
        <v>1077000</v>
      </c>
      <c r="AR44">
        <v>4.47</v>
      </c>
      <c r="AS44">
        <v>30</v>
      </c>
    </row>
    <row r="45" spans="1:45" x14ac:dyDescent="0.3">
      <c r="A45" t="s">
        <v>88</v>
      </c>
      <c r="B45">
        <v>9984670</v>
      </c>
      <c r="C45">
        <v>10.84</v>
      </c>
      <c r="D45">
        <v>28200000000</v>
      </c>
      <c r="E45">
        <v>7.73</v>
      </c>
      <c r="F45">
        <v>570000000000</v>
      </c>
      <c r="G45">
        <v>487300000000</v>
      </c>
      <c r="H45">
        <v>548900000000</v>
      </c>
      <c r="I45">
        <v>315600000000</v>
      </c>
      <c r="J45">
        <v>1023000000000</v>
      </c>
      <c r="K45">
        <v>31500</v>
      </c>
      <c r="L45">
        <v>2.4</v>
      </c>
      <c r="M45">
        <v>0.3</v>
      </c>
      <c r="N45">
        <v>1500</v>
      </c>
      <c r="O45">
        <v>56000</v>
      </c>
      <c r="P45">
        <v>1408800</v>
      </c>
      <c r="Q45">
        <v>256100000000</v>
      </c>
      <c r="R45">
        <v>2</v>
      </c>
      <c r="S45">
        <v>4.75</v>
      </c>
      <c r="T45">
        <v>1.9</v>
      </c>
      <c r="U45">
        <v>3210081</v>
      </c>
      <c r="V45">
        <v>16110000</v>
      </c>
      <c r="W45">
        <v>19.399999999999999</v>
      </c>
      <c r="X45">
        <v>17370000</v>
      </c>
      <c r="Y45">
        <v>80.099999999999994</v>
      </c>
      <c r="Z45">
        <v>9801700000</v>
      </c>
      <c r="AA45">
        <v>1.1000000000000001</v>
      </c>
      <c r="AB45">
        <v>55800000000</v>
      </c>
      <c r="AC45">
        <v>91520000000</v>
      </c>
      <c r="AD45">
        <v>8730000000</v>
      </c>
      <c r="AE45">
        <v>165800000000</v>
      </c>
      <c r="AF45">
        <v>1691000000000</v>
      </c>
      <c r="AG45">
        <v>2200000</v>
      </c>
      <c r="AH45">
        <v>1370000</v>
      </c>
      <c r="AI45">
        <v>987000</v>
      </c>
      <c r="AJ45">
        <v>3110000</v>
      </c>
      <c r="AK45">
        <v>178900000000</v>
      </c>
      <c r="AL45">
        <v>32805041</v>
      </c>
      <c r="AN45">
        <v>48909</v>
      </c>
      <c r="AO45">
        <v>36270000000</v>
      </c>
      <c r="AP45">
        <v>19950900</v>
      </c>
      <c r="AQ45">
        <v>13221800</v>
      </c>
      <c r="AR45">
        <v>1.61</v>
      </c>
      <c r="AS45">
        <v>7</v>
      </c>
    </row>
    <row r="46" spans="1:45" x14ac:dyDescent="0.3">
      <c r="A46" t="s">
        <v>89</v>
      </c>
      <c r="B46">
        <v>4033</v>
      </c>
      <c r="C46">
        <v>25.33</v>
      </c>
      <c r="D46">
        <v>-93760000</v>
      </c>
      <c r="E46">
        <v>6.62</v>
      </c>
      <c r="F46">
        <v>325000000</v>
      </c>
      <c r="G46">
        <v>40060000</v>
      </c>
      <c r="H46">
        <v>43080000</v>
      </c>
      <c r="I46">
        <v>61110000</v>
      </c>
      <c r="J46">
        <v>600000000</v>
      </c>
      <c r="K46">
        <v>1400</v>
      </c>
      <c r="L46">
        <v>5</v>
      </c>
      <c r="M46">
        <v>0.04</v>
      </c>
      <c r="N46">
        <v>225</v>
      </c>
      <c r="O46">
        <v>775</v>
      </c>
      <c r="P46">
        <v>1100</v>
      </c>
      <c r="Q46">
        <v>387300000</v>
      </c>
      <c r="S46">
        <v>47.77</v>
      </c>
      <c r="T46">
        <v>1.5</v>
      </c>
      <c r="U46">
        <v>118</v>
      </c>
      <c r="V46">
        <v>20400</v>
      </c>
      <c r="W46">
        <v>19.2</v>
      </c>
      <c r="Y46">
        <v>70.45</v>
      </c>
      <c r="Z46">
        <v>14100000</v>
      </c>
      <c r="AA46">
        <v>1.5</v>
      </c>
      <c r="AG46">
        <v>2000</v>
      </c>
      <c r="AJ46">
        <v>0</v>
      </c>
      <c r="AL46">
        <v>418224</v>
      </c>
      <c r="AO46">
        <v>112700000</v>
      </c>
      <c r="AP46">
        <v>71700</v>
      </c>
      <c r="AQ46">
        <v>53300</v>
      </c>
      <c r="AR46">
        <v>3.48</v>
      </c>
      <c r="AS46">
        <v>21</v>
      </c>
    </row>
    <row r="47" spans="1:45" x14ac:dyDescent="0.3">
      <c r="A47" t="s">
        <v>90</v>
      </c>
      <c r="B47">
        <v>262</v>
      </c>
      <c r="C47">
        <v>12.92</v>
      </c>
      <c r="E47">
        <v>4.8099999999999996</v>
      </c>
      <c r="F47">
        <v>70000000</v>
      </c>
      <c r="G47">
        <v>382100000</v>
      </c>
      <c r="H47">
        <v>410800000</v>
      </c>
      <c r="I47">
        <v>1200000</v>
      </c>
      <c r="J47">
        <v>1391000000</v>
      </c>
      <c r="K47">
        <v>32300</v>
      </c>
      <c r="L47">
        <v>1.7</v>
      </c>
      <c r="P47">
        <v>785</v>
      </c>
      <c r="Q47">
        <v>457400000</v>
      </c>
      <c r="S47">
        <v>8.19</v>
      </c>
      <c r="T47">
        <v>2.8</v>
      </c>
      <c r="V47">
        <v>9909</v>
      </c>
      <c r="X47">
        <v>19820</v>
      </c>
      <c r="Y47">
        <v>79.95</v>
      </c>
      <c r="AG47">
        <v>2400</v>
      </c>
      <c r="AJ47">
        <v>0</v>
      </c>
      <c r="AL47">
        <v>44270</v>
      </c>
      <c r="AP47">
        <v>38000</v>
      </c>
      <c r="AQ47">
        <v>17000</v>
      </c>
      <c r="AR47">
        <v>1.9</v>
      </c>
      <c r="AS47">
        <v>4.0999999999999996</v>
      </c>
    </row>
    <row r="48" spans="1:45" x14ac:dyDescent="0.3">
      <c r="A48" t="s">
        <v>91</v>
      </c>
      <c r="B48">
        <v>622984</v>
      </c>
      <c r="C48">
        <v>35.17</v>
      </c>
      <c r="E48">
        <v>20.27</v>
      </c>
      <c r="F48">
        <v>881400000</v>
      </c>
      <c r="G48">
        <v>98580000</v>
      </c>
      <c r="H48">
        <v>106000000</v>
      </c>
      <c r="I48">
        <v>172000000</v>
      </c>
      <c r="J48">
        <v>4248000000</v>
      </c>
      <c r="K48">
        <v>1100</v>
      </c>
      <c r="L48">
        <v>0.5</v>
      </c>
      <c r="M48">
        <v>13.5</v>
      </c>
      <c r="N48">
        <v>23000</v>
      </c>
      <c r="O48">
        <v>260000</v>
      </c>
      <c r="P48">
        <v>23810</v>
      </c>
      <c r="Q48">
        <v>136000000</v>
      </c>
      <c r="R48">
        <v>3</v>
      </c>
      <c r="S48">
        <v>91</v>
      </c>
      <c r="T48">
        <v>3.6</v>
      </c>
      <c r="U48">
        <v>6</v>
      </c>
      <c r="V48">
        <v>5000</v>
      </c>
      <c r="Y48">
        <v>41.01</v>
      </c>
      <c r="Z48">
        <v>15500000</v>
      </c>
      <c r="AA48">
        <v>1</v>
      </c>
      <c r="AG48">
        <v>2400</v>
      </c>
      <c r="AJ48">
        <v>0</v>
      </c>
      <c r="AL48">
        <v>3799897</v>
      </c>
      <c r="AP48">
        <v>9000</v>
      </c>
      <c r="AQ48">
        <v>13000</v>
      </c>
      <c r="AR48">
        <v>4.5</v>
      </c>
      <c r="AS48">
        <v>8</v>
      </c>
    </row>
    <row r="49" spans="1:45" x14ac:dyDescent="0.3">
      <c r="A49" t="s">
        <v>92</v>
      </c>
      <c r="B49">
        <v>1284000</v>
      </c>
      <c r="C49">
        <v>45.98</v>
      </c>
      <c r="D49">
        <v>330200000</v>
      </c>
      <c r="E49">
        <v>16.41</v>
      </c>
      <c r="F49">
        <v>1100000000</v>
      </c>
      <c r="G49">
        <v>89400000</v>
      </c>
      <c r="H49">
        <v>96130000</v>
      </c>
      <c r="I49">
        <v>365000000</v>
      </c>
      <c r="J49">
        <v>15660000000</v>
      </c>
      <c r="K49">
        <v>1600</v>
      </c>
      <c r="L49">
        <v>38</v>
      </c>
      <c r="M49">
        <v>4.8</v>
      </c>
      <c r="N49">
        <v>18000</v>
      </c>
      <c r="O49">
        <v>200000</v>
      </c>
      <c r="P49">
        <v>33400</v>
      </c>
      <c r="Q49">
        <v>500700000</v>
      </c>
      <c r="R49">
        <v>5</v>
      </c>
      <c r="S49">
        <v>93.82</v>
      </c>
      <c r="T49">
        <v>8</v>
      </c>
      <c r="U49">
        <v>8</v>
      </c>
      <c r="V49">
        <v>15000</v>
      </c>
      <c r="W49">
        <v>24.7</v>
      </c>
      <c r="Y49">
        <v>47.94</v>
      </c>
      <c r="Z49">
        <v>101300000</v>
      </c>
      <c r="AA49">
        <v>2.1</v>
      </c>
      <c r="AG49">
        <v>1500</v>
      </c>
      <c r="AJ49">
        <v>200000</v>
      </c>
      <c r="AL49">
        <v>9826419</v>
      </c>
      <c r="AO49">
        <v>652700000</v>
      </c>
      <c r="AP49">
        <v>11800</v>
      </c>
      <c r="AQ49">
        <v>65000</v>
      </c>
      <c r="AR49">
        <v>6.32</v>
      </c>
    </row>
    <row r="50" spans="1:45" x14ac:dyDescent="0.3">
      <c r="A50" t="s">
        <v>93</v>
      </c>
      <c r="B50">
        <v>756950</v>
      </c>
      <c r="C50">
        <v>15.44</v>
      </c>
      <c r="D50">
        <v>2185000000</v>
      </c>
      <c r="E50">
        <v>5.76</v>
      </c>
      <c r="F50">
        <v>44600000000</v>
      </c>
      <c r="G50">
        <v>41800000000</v>
      </c>
      <c r="H50">
        <v>48600000000</v>
      </c>
      <c r="I50">
        <v>29200000000</v>
      </c>
      <c r="J50">
        <v>169100000000</v>
      </c>
      <c r="K50">
        <v>10700</v>
      </c>
      <c r="L50">
        <v>5.8</v>
      </c>
      <c r="M50">
        <v>0.3</v>
      </c>
      <c r="N50">
        <v>1400</v>
      </c>
      <c r="O50">
        <v>26000</v>
      </c>
      <c r="P50">
        <v>79605</v>
      </c>
      <c r="Q50">
        <v>22530000000</v>
      </c>
      <c r="R50">
        <v>7.8</v>
      </c>
      <c r="S50">
        <v>8.8000000000000007</v>
      </c>
      <c r="T50">
        <v>2.4</v>
      </c>
      <c r="U50">
        <v>202429</v>
      </c>
      <c r="V50">
        <v>3575000</v>
      </c>
      <c r="W50">
        <v>23.9</v>
      </c>
      <c r="X50">
        <v>6200000</v>
      </c>
      <c r="Y50">
        <v>76.58</v>
      </c>
      <c r="Z50">
        <v>3420000000</v>
      </c>
      <c r="AA50">
        <v>3.8</v>
      </c>
      <c r="AB50">
        <v>6517000000</v>
      </c>
      <c r="AC50">
        <v>0</v>
      </c>
      <c r="AD50">
        <v>5337000000</v>
      </c>
      <c r="AE50">
        <v>1180000000</v>
      </c>
      <c r="AF50">
        <v>99050000000</v>
      </c>
      <c r="AG50">
        <v>240000</v>
      </c>
      <c r="AH50">
        <v>0</v>
      </c>
      <c r="AI50">
        <v>221500</v>
      </c>
      <c r="AJ50">
        <v>18500</v>
      </c>
      <c r="AK50">
        <v>150000000</v>
      </c>
      <c r="AL50">
        <v>15980912</v>
      </c>
      <c r="AM50">
        <v>12.8</v>
      </c>
      <c r="AN50">
        <v>6585</v>
      </c>
      <c r="AO50">
        <v>16020000000</v>
      </c>
      <c r="AP50">
        <v>3467000</v>
      </c>
      <c r="AQ50">
        <v>6445700</v>
      </c>
      <c r="AR50">
        <v>2.02</v>
      </c>
      <c r="AS50">
        <v>8.5</v>
      </c>
    </row>
    <row r="51" spans="1:45" x14ac:dyDescent="0.3">
      <c r="A51" t="s">
        <v>94</v>
      </c>
      <c r="B51">
        <v>9596960</v>
      </c>
      <c r="C51">
        <v>13.14</v>
      </c>
      <c r="D51">
        <v>30320000000</v>
      </c>
      <c r="E51">
        <v>6.94</v>
      </c>
      <c r="F51">
        <v>233300000000</v>
      </c>
      <c r="G51">
        <v>1630000000000</v>
      </c>
      <c r="H51">
        <v>1910000000000</v>
      </c>
      <c r="I51">
        <v>583100000000</v>
      </c>
      <c r="J51">
        <v>7262000000000</v>
      </c>
      <c r="K51">
        <v>5600</v>
      </c>
      <c r="L51">
        <v>9.1</v>
      </c>
      <c r="M51">
        <v>0.1</v>
      </c>
      <c r="N51">
        <v>44000</v>
      </c>
      <c r="O51">
        <v>840000</v>
      </c>
      <c r="P51">
        <v>1765222</v>
      </c>
      <c r="Q51">
        <v>552400000000</v>
      </c>
      <c r="R51">
        <v>17.100000000000001</v>
      </c>
      <c r="S51">
        <v>24.18</v>
      </c>
      <c r="T51">
        <v>4.0999999999999996</v>
      </c>
      <c r="U51">
        <v>160421</v>
      </c>
      <c r="V51">
        <v>94000000</v>
      </c>
      <c r="W51">
        <v>46</v>
      </c>
      <c r="X51">
        <v>760800000</v>
      </c>
      <c r="Y51">
        <v>72.27</v>
      </c>
      <c r="Z51">
        <v>67490000000</v>
      </c>
      <c r="AA51">
        <v>4.3</v>
      </c>
      <c r="AB51">
        <v>29180000000</v>
      </c>
      <c r="AC51">
        <v>0</v>
      </c>
      <c r="AD51">
        <v>0</v>
      </c>
      <c r="AE51">
        <v>35000000000</v>
      </c>
      <c r="AF51">
        <v>2230000000000</v>
      </c>
      <c r="AG51">
        <v>4956000</v>
      </c>
      <c r="AH51">
        <v>427800</v>
      </c>
      <c r="AI51">
        <v>2414000</v>
      </c>
      <c r="AJ51">
        <v>3392000</v>
      </c>
      <c r="AK51">
        <v>17740000000</v>
      </c>
      <c r="AL51">
        <v>1306313812</v>
      </c>
      <c r="AM51">
        <v>31.4</v>
      </c>
      <c r="AN51">
        <v>70058</v>
      </c>
      <c r="AO51">
        <v>609900000000</v>
      </c>
      <c r="AP51">
        <v>263000000</v>
      </c>
      <c r="AQ51">
        <v>269000000</v>
      </c>
      <c r="AR51">
        <v>1.72</v>
      </c>
      <c r="AS51">
        <v>9.8000000000000007</v>
      </c>
    </row>
    <row r="52" spans="1:45" x14ac:dyDescent="0.3">
      <c r="A52" t="s">
        <v>95</v>
      </c>
      <c r="B52">
        <v>135</v>
      </c>
      <c r="P52">
        <v>240</v>
      </c>
      <c r="AL52">
        <v>361</v>
      </c>
    </row>
    <row r="53" spans="1:45" x14ac:dyDescent="0.3">
      <c r="A53" t="s">
        <v>96</v>
      </c>
      <c r="B53">
        <v>6</v>
      </c>
    </row>
    <row r="54" spans="1:45" x14ac:dyDescent="0.3">
      <c r="A54" t="s">
        <v>97</v>
      </c>
      <c r="B54">
        <v>14</v>
      </c>
      <c r="P54">
        <v>15</v>
      </c>
      <c r="AL54">
        <v>628</v>
      </c>
      <c r="AP54">
        <v>287</v>
      </c>
      <c r="AS54">
        <v>60</v>
      </c>
    </row>
    <row r="55" spans="1:45" x14ac:dyDescent="0.3">
      <c r="A55" t="s">
        <v>98</v>
      </c>
      <c r="B55">
        <v>1138910</v>
      </c>
      <c r="C55">
        <v>20.82</v>
      </c>
      <c r="D55">
        <v>-1706000000</v>
      </c>
      <c r="E55">
        <v>5.59</v>
      </c>
      <c r="F55">
        <v>38700000000</v>
      </c>
      <c r="G55">
        <v>41140000000</v>
      </c>
      <c r="H55">
        <v>44870000000</v>
      </c>
      <c r="I55">
        <v>15500000000</v>
      </c>
      <c r="J55">
        <v>281100000000</v>
      </c>
      <c r="K55">
        <v>6600</v>
      </c>
      <c r="L55">
        <v>3.6</v>
      </c>
      <c r="M55">
        <v>0.7</v>
      </c>
      <c r="N55">
        <v>3600</v>
      </c>
      <c r="O55">
        <v>190000</v>
      </c>
      <c r="P55">
        <v>112998</v>
      </c>
      <c r="Q55">
        <v>15340000000</v>
      </c>
      <c r="R55">
        <v>4</v>
      </c>
      <c r="S55">
        <v>20.97</v>
      </c>
      <c r="T55">
        <v>5.9</v>
      </c>
      <c r="U55">
        <v>115158</v>
      </c>
      <c r="V55">
        <v>2732200</v>
      </c>
      <c r="W55">
        <v>15.8</v>
      </c>
      <c r="X55">
        <v>20700000</v>
      </c>
      <c r="Y55">
        <v>71.72</v>
      </c>
      <c r="Z55">
        <v>3300000000</v>
      </c>
      <c r="AA55">
        <v>3.4</v>
      </c>
      <c r="AB55">
        <v>5700000000</v>
      </c>
      <c r="AC55">
        <v>0</v>
      </c>
      <c r="AD55">
        <v>0</v>
      </c>
      <c r="AE55">
        <v>5700000000</v>
      </c>
      <c r="AF55">
        <v>132000000000</v>
      </c>
      <c r="AG55">
        <v>252000</v>
      </c>
      <c r="AJ55">
        <v>531100</v>
      </c>
      <c r="AK55">
        <v>1700000000</v>
      </c>
      <c r="AL55">
        <v>42954279</v>
      </c>
      <c r="AM55">
        <v>51.8</v>
      </c>
      <c r="AN55">
        <v>3304</v>
      </c>
      <c r="AO55">
        <v>11940000000</v>
      </c>
      <c r="AP55">
        <v>8768100</v>
      </c>
      <c r="AQ55">
        <v>6186200</v>
      </c>
      <c r="AR55">
        <v>2.56</v>
      </c>
      <c r="AS55">
        <v>13.6</v>
      </c>
    </row>
    <row r="56" spans="1:45" x14ac:dyDescent="0.3">
      <c r="A56" t="s">
        <v>99</v>
      </c>
      <c r="B56">
        <v>2170</v>
      </c>
      <c r="C56">
        <v>37.520000000000003</v>
      </c>
      <c r="E56">
        <v>8.4</v>
      </c>
      <c r="F56">
        <v>232000000</v>
      </c>
      <c r="G56">
        <v>22170000</v>
      </c>
      <c r="H56">
        <v>23840000</v>
      </c>
      <c r="I56">
        <v>28000000</v>
      </c>
      <c r="J56">
        <v>441000000</v>
      </c>
      <c r="K56">
        <v>700</v>
      </c>
      <c r="L56">
        <v>2</v>
      </c>
      <c r="M56">
        <v>0.12</v>
      </c>
      <c r="P56">
        <v>880</v>
      </c>
      <c r="Q56">
        <v>88000000</v>
      </c>
      <c r="R56">
        <v>-2</v>
      </c>
      <c r="S56">
        <v>74.930000000000007</v>
      </c>
      <c r="T56">
        <v>3.5</v>
      </c>
      <c r="U56">
        <v>11</v>
      </c>
      <c r="V56">
        <v>5000</v>
      </c>
      <c r="X56">
        <v>144500</v>
      </c>
      <c r="Y56">
        <v>61.96</v>
      </c>
      <c r="Z56">
        <v>11600000</v>
      </c>
      <c r="AA56">
        <v>3</v>
      </c>
      <c r="AG56">
        <v>700</v>
      </c>
      <c r="AJ56">
        <v>0</v>
      </c>
      <c r="AL56">
        <v>671247</v>
      </c>
      <c r="AP56">
        <v>13200</v>
      </c>
      <c r="AQ56">
        <v>2000</v>
      </c>
      <c r="AR56">
        <v>5.09</v>
      </c>
      <c r="AS56">
        <v>20</v>
      </c>
    </row>
    <row r="57" spans="1:45" x14ac:dyDescent="0.3">
      <c r="A57" t="s">
        <v>100</v>
      </c>
      <c r="B57">
        <v>2345410</v>
      </c>
      <c r="C57">
        <v>44.38</v>
      </c>
      <c r="E57">
        <v>14.43</v>
      </c>
      <c r="F57">
        <v>11600000000</v>
      </c>
      <c r="G57">
        <v>4168000000</v>
      </c>
      <c r="H57">
        <v>6086000000</v>
      </c>
      <c r="I57">
        <v>1417000000</v>
      </c>
      <c r="J57">
        <v>42740000000</v>
      </c>
      <c r="K57">
        <v>700</v>
      </c>
      <c r="L57">
        <v>7.5</v>
      </c>
      <c r="M57">
        <v>4.2</v>
      </c>
      <c r="N57">
        <v>100000</v>
      </c>
      <c r="O57">
        <v>1100000</v>
      </c>
      <c r="P57">
        <v>157000</v>
      </c>
      <c r="Q57">
        <v>933000000</v>
      </c>
      <c r="S57">
        <v>92.87</v>
      </c>
      <c r="T57">
        <v>14</v>
      </c>
      <c r="U57">
        <v>153</v>
      </c>
      <c r="V57">
        <v>50000</v>
      </c>
      <c r="X57">
        <v>14510000</v>
      </c>
      <c r="Y57">
        <v>49.35</v>
      </c>
      <c r="Z57">
        <v>93500000</v>
      </c>
      <c r="AA57">
        <v>1.5</v>
      </c>
      <c r="AF57">
        <v>104800000000</v>
      </c>
      <c r="AG57">
        <v>14000</v>
      </c>
      <c r="AJ57">
        <v>24000</v>
      </c>
      <c r="AK57">
        <v>1538000000</v>
      </c>
      <c r="AL57">
        <v>60085804</v>
      </c>
      <c r="AN57">
        <v>5138</v>
      </c>
      <c r="AP57">
        <v>10000</v>
      </c>
      <c r="AQ57">
        <v>1000000</v>
      </c>
      <c r="AR57">
        <v>6.54</v>
      </c>
    </row>
    <row r="58" spans="1:45" x14ac:dyDescent="0.3">
      <c r="A58" t="s">
        <v>101</v>
      </c>
      <c r="B58">
        <v>342000</v>
      </c>
      <c r="C58">
        <v>27.88</v>
      </c>
      <c r="D58">
        <v>266000000</v>
      </c>
      <c r="E58">
        <v>14.82</v>
      </c>
      <c r="F58">
        <v>5000000000</v>
      </c>
      <c r="G58">
        <v>573600000</v>
      </c>
      <c r="H58">
        <v>348000000</v>
      </c>
      <c r="I58">
        <v>2224000000</v>
      </c>
      <c r="J58">
        <v>2324000000</v>
      </c>
      <c r="K58">
        <v>800</v>
      </c>
      <c r="L58">
        <v>3.7</v>
      </c>
      <c r="M58">
        <v>4.9000000000000004</v>
      </c>
      <c r="N58">
        <v>9700</v>
      </c>
      <c r="O58">
        <v>90000</v>
      </c>
      <c r="P58">
        <v>12800</v>
      </c>
      <c r="Q58">
        <v>749300000</v>
      </c>
      <c r="R58">
        <v>0</v>
      </c>
      <c r="S58">
        <v>92.41</v>
      </c>
      <c r="T58">
        <v>1.8</v>
      </c>
      <c r="U58">
        <v>46</v>
      </c>
      <c r="V58">
        <v>15000</v>
      </c>
      <c r="W58">
        <v>25.8</v>
      </c>
      <c r="Y58">
        <v>48.97</v>
      </c>
      <c r="Z58">
        <v>126500000</v>
      </c>
      <c r="AA58">
        <v>2.8</v>
      </c>
      <c r="AB58">
        <v>0</v>
      </c>
      <c r="AC58">
        <v>0</v>
      </c>
      <c r="AD58">
        <v>0</v>
      </c>
      <c r="AE58">
        <v>0</v>
      </c>
      <c r="AF58">
        <v>495500000</v>
      </c>
      <c r="AG58">
        <v>5000</v>
      </c>
      <c r="AJ58">
        <v>227000</v>
      </c>
      <c r="AK58">
        <v>93500000</v>
      </c>
      <c r="AL58">
        <v>3039126</v>
      </c>
      <c r="AN58">
        <v>894</v>
      </c>
      <c r="AO58">
        <v>40420000</v>
      </c>
      <c r="AP58">
        <v>7000</v>
      </c>
      <c r="AQ58">
        <v>330000</v>
      </c>
      <c r="AR58">
        <v>3.54</v>
      </c>
    </row>
    <row r="59" spans="1:45" x14ac:dyDescent="0.3">
      <c r="A59" t="s">
        <v>102</v>
      </c>
      <c r="B59">
        <v>240</v>
      </c>
      <c r="F59">
        <v>141000000</v>
      </c>
      <c r="G59">
        <v>25110000</v>
      </c>
      <c r="H59">
        <v>27000000</v>
      </c>
      <c r="I59">
        <v>9100000</v>
      </c>
      <c r="J59">
        <v>105000000</v>
      </c>
      <c r="K59">
        <v>5000</v>
      </c>
      <c r="L59">
        <v>7.1</v>
      </c>
      <c r="P59">
        <v>320</v>
      </c>
      <c r="Q59">
        <v>50700000</v>
      </c>
      <c r="R59">
        <v>1</v>
      </c>
      <c r="T59">
        <v>3.2</v>
      </c>
      <c r="V59">
        <v>3600</v>
      </c>
      <c r="X59">
        <v>8000</v>
      </c>
      <c r="AG59">
        <v>450</v>
      </c>
      <c r="AJ59">
        <v>0</v>
      </c>
      <c r="AL59">
        <v>21388</v>
      </c>
      <c r="AP59">
        <v>6200</v>
      </c>
      <c r="AQ59">
        <v>1500</v>
      </c>
      <c r="AS59">
        <v>13</v>
      </c>
    </row>
    <row r="60" spans="1:45" x14ac:dyDescent="0.3">
      <c r="A60" t="s">
        <v>103</v>
      </c>
      <c r="B60">
        <v>51100</v>
      </c>
      <c r="C60">
        <v>18.600000000000001</v>
      </c>
      <c r="D60">
        <v>-980300000</v>
      </c>
      <c r="E60">
        <v>4.33</v>
      </c>
      <c r="F60">
        <v>5962000000</v>
      </c>
      <c r="G60">
        <v>5733000000</v>
      </c>
      <c r="H60">
        <v>6614000000</v>
      </c>
      <c r="I60">
        <v>6184000000</v>
      </c>
      <c r="J60">
        <v>37970000000</v>
      </c>
      <c r="K60">
        <v>9600</v>
      </c>
      <c r="L60">
        <v>3.9</v>
      </c>
      <c r="M60">
        <v>0.6</v>
      </c>
      <c r="N60">
        <v>900</v>
      </c>
      <c r="O60">
        <v>12000</v>
      </c>
      <c r="P60">
        <v>35303</v>
      </c>
      <c r="Q60">
        <v>7842000000</v>
      </c>
      <c r="R60">
        <v>3.1</v>
      </c>
      <c r="S60">
        <v>9.9499999999999993</v>
      </c>
      <c r="T60">
        <v>11.5</v>
      </c>
      <c r="U60">
        <v>10826</v>
      </c>
      <c r="V60">
        <v>800000</v>
      </c>
      <c r="W60">
        <v>19.2</v>
      </c>
      <c r="X60">
        <v>1810000</v>
      </c>
      <c r="Y60">
        <v>76.84</v>
      </c>
      <c r="Z60">
        <v>64200000</v>
      </c>
      <c r="AA60">
        <v>0.4</v>
      </c>
      <c r="AG60">
        <v>37000</v>
      </c>
      <c r="AJ60">
        <v>0</v>
      </c>
      <c r="AL60">
        <v>4016173</v>
      </c>
      <c r="AM60">
        <v>58</v>
      </c>
      <c r="AN60">
        <v>950</v>
      </c>
      <c r="AO60">
        <v>1736000000</v>
      </c>
      <c r="AP60">
        <v>1132000</v>
      </c>
      <c r="AQ60">
        <v>528047</v>
      </c>
      <c r="AR60">
        <v>2.2799999999999998</v>
      </c>
      <c r="AS60">
        <v>6.6</v>
      </c>
    </row>
    <row r="61" spans="1:45" x14ac:dyDescent="0.3">
      <c r="A61" t="s">
        <v>104</v>
      </c>
      <c r="B61">
        <v>322460</v>
      </c>
      <c r="C61">
        <v>35.51</v>
      </c>
      <c r="D61">
        <v>-421500000</v>
      </c>
      <c r="E61">
        <v>14.94</v>
      </c>
      <c r="F61">
        <v>11810000000</v>
      </c>
      <c r="G61">
        <v>2976000000</v>
      </c>
      <c r="H61">
        <v>4759000000</v>
      </c>
      <c r="I61">
        <v>5124000000</v>
      </c>
      <c r="J61">
        <v>24780000000</v>
      </c>
      <c r="K61">
        <v>1500</v>
      </c>
      <c r="L61">
        <v>-1</v>
      </c>
      <c r="M61">
        <v>7</v>
      </c>
      <c r="N61">
        <v>47000</v>
      </c>
      <c r="O61">
        <v>570000</v>
      </c>
      <c r="P61">
        <v>50400</v>
      </c>
      <c r="Q61">
        <v>3360000000</v>
      </c>
      <c r="R61">
        <v>15</v>
      </c>
      <c r="S61">
        <v>90.83</v>
      </c>
      <c r="T61">
        <v>1.4</v>
      </c>
      <c r="U61">
        <v>3795</v>
      </c>
      <c r="V61">
        <v>90000</v>
      </c>
      <c r="W61">
        <v>11.3</v>
      </c>
      <c r="X61">
        <v>6700000</v>
      </c>
      <c r="Y61">
        <v>48.62</v>
      </c>
      <c r="Z61">
        <v>180200000</v>
      </c>
      <c r="AA61">
        <v>1.2</v>
      </c>
      <c r="AB61">
        <v>1350000000</v>
      </c>
      <c r="AC61">
        <v>0</v>
      </c>
      <c r="AD61">
        <v>0</v>
      </c>
      <c r="AE61">
        <v>1350000000</v>
      </c>
      <c r="AF61">
        <v>14870000000</v>
      </c>
      <c r="AG61">
        <v>32000</v>
      </c>
      <c r="AJ61">
        <v>29300</v>
      </c>
      <c r="AK61">
        <v>220000000</v>
      </c>
      <c r="AL61">
        <v>17298040</v>
      </c>
      <c r="AM61">
        <v>74.8</v>
      </c>
      <c r="AN61">
        <v>660</v>
      </c>
      <c r="AO61">
        <v>1950000000</v>
      </c>
      <c r="AP61">
        <v>328000</v>
      </c>
      <c r="AQ61">
        <v>1236000</v>
      </c>
      <c r="AR61">
        <v>4.58</v>
      </c>
      <c r="AS61">
        <v>13</v>
      </c>
    </row>
    <row r="62" spans="1:45" x14ac:dyDescent="0.3">
      <c r="A62" t="s">
        <v>105</v>
      </c>
      <c r="B62">
        <v>56542</v>
      </c>
      <c r="C62">
        <v>9.57</v>
      </c>
      <c r="D62">
        <v>-1925000000</v>
      </c>
      <c r="E62">
        <v>11.38</v>
      </c>
      <c r="F62">
        <v>26400000000</v>
      </c>
      <c r="G62">
        <v>15200000000</v>
      </c>
      <c r="H62">
        <v>12510000000</v>
      </c>
      <c r="I62">
        <v>7845000000</v>
      </c>
      <c r="J62">
        <v>50330000000</v>
      </c>
      <c r="K62">
        <v>11200</v>
      </c>
      <c r="L62">
        <v>3.7</v>
      </c>
      <c r="M62">
        <v>0.1</v>
      </c>
      <c r="N62">
        <v>10</v>
      </c>
      <c r="O62">
        <v>200</v>
      </c>
      <c r="P62">
        <v>28344</v>
      </c>
      <c r="Q62">
        <v>16700000000</v>
      </c>
      <c r="R62">
        <v>2.7</v>
      </c>
      <c r="S62">
        <v>6.84</v>
      </c>
      <c r="T62">
        <v>2.5</v>
      </c>
      <c r="U62">
        <v>29644</v>
      </c>
      <c r="V62">
        <v>1014000</v>
      </c>
      <c r="W62">
        <v>28.6</v>
      </c>
      <c r="X62">
        <v>1710000</v>
      </c>
      <c r="Y62">
        <v>74.45</v>
      </c>
      <c r="Z62">
        <v>620000000</v>
      </c>
      <c r="AA62">
        <v>2.39</v>
      </c>
      <c r="AB62">
        <v>2840000000</v>
      </c>
      <c r="AC62">
        <v>0</v>
      </c>
      <c r="AD62">
        <v>1080000000</v>
      </c>
      <c r="AE62">
        <v>1760000000</v>
      </c>
      <c r="AF62">
        <v>34360000000</v>
      </c>
      <c r="AG62">
        <v>89000</v>
      </c>
      <c r="AJ62">
        <v>21000</v>
      </c>
      <c r="AK62">
        <v>93600000</v>
      </c>
      <c r="AL62">
        <v>4495904</v>
      </c>
      <c r="AM62">
        <v>41.7</v>
      </c>
      <c r="AN62">
        <v>2726</v>
      </c>
      <c r="AO62">
        <v>8563000000</v>
      </c>
      <c r="AP62">
        <v>1825000</v>
      </c>
      <c r="AQ62">
        <v>2553000</v>
      </c>
      <c r="AR62">
        <v>1.39</v>
      </c>
      <c r="AS62">
        <v>13.8</v>
      </c>
    </row>
    <row r="63" spans="1:45" x14ac:dyDescent="0.3">
      <c r="A63" t="s">
        <v>106</v>
      </c>
      <c r="B63">
        <v>110860</v>
      </c>
      <c r="C63">
        <v>12.03</v>
      </c>
      <c r="D63">
        <v>-185100000</v>
      </c>
      <c r="E63">
        <v>7.19</v>
      </c>
      <c r="F63">
        <v>12090000000</v>
      </c>
      <c r="G63">
        <v>13400000000</v>
      </c>
      <c r="H63">
        <v>14410000000</v>
      </c>
      <c r="I63">
        <v>2104000000</v>
      </c>
      <c r="J63">
        <v>33920000000</v>
      </c>
      <c r="K63">
        <v>3000</v>
      </c>
      <c r="L63">
        <v>3</v>
      </c>
      <c r="M63">
        <v>0.1</v>
      </c>
      <c r="N63">
        <v>200</v>
      </c>
      <c r="O63">
        <v>3300</v>
      </c>
      <c r="P63">
        <v>60858</v>
      </c>
      <c r="Q63">
        <v>5296000000</v>
      </c>
      <c r="R63">
        <v>1.4</v>
      </c>
      <c r="S63">
        <v>6.33</v>
      </c>
      <c r="T63">
        <v>3.1</v>
      </c>
      <c r="U63">
        <v>1529</v>
      </c>
      <c r="V63">
        <v>120000</v>
      </c>
      <c r="W63">
        <v>11.2</v>
      </c>
      <c r="X63">
        <v>4550000</v>
      </c>
      <c r="Y63">
        <v>77.23</v>
      </c>
      <c r="Z63">
        <v>572300000</v>
      </c>
      <c r="AA63">
        <v>1.8</v>
      </c>
      <c r="AB63">
        <v>600000000</v>
      </c>
      <c r="AC63">
        <v>0</v>
      </c>
      <c r="AD63">
        <v>0</v>
      </c>
      <c r="AE63">
        <v>600000000</v>
      </c>
      <c r="AF63">
        <v>42620000000</v>
      </c>
      <c r="AG63">
        <v>163000</v>
      </c>
      <c r="AJ63">
        <v>77900</v>
      </c>
      <c r="AK63">
        <v>532000000</v>
      </c>
      <c r="AL63">
        <v>11346670</v>
      </c>
      <c r="AN63">
        <v>4226</v>
      </c>
      <c r="AO63">
        <v>738600000</v>
      </c>
      <c r="AP63">
        <v>574400</v>
      </c>
      <c r="AQ63">
        <v>17900</v>
      </c>
      <c r="AR63">
        <v>1.66</v>
      </c>
      <c r="AS63">
        <v>2.5</v>
      </c>
    </row>
    <row r="64" spans="1:45" x14ac:dyDescent="0.3">
      <c r="A64" t="s">
        <v>107</v>
      </c>
      <c r="B64">
        <v>9250</v>
      </c>
      <c r="C64">
        <v>12.57</v>
      </c>
      <c r="D64">
        <v>-619900000</v>
      </c>
      <c r="E64">
        <v>7.64</v>
      </c>
      <c r="F64">
        <v>7327000000</v>
      </c>
      <c r="G64">
        <v>602000000</v>
      </c>
      <c r="H64">
        <v>4000000000</v>
      </c>
      <c r="I64">
        <v>49300000</v>
      </c>
      <c r="J64">
        <v>4540000000</v>
      </c>
      <c r="K64">
        <v>7135</v>
      </c>
      <c r="L64">
        <v>2.6</v>
      </c>
      <c r="M64">
        <v>0.1</v>
      </c>
      <c r="O64">
        <v>1000</v>
      </c>
      <c r="P64">
        <v>13943</v>
      </c>
      <c r="Q64">
        <v>415200000</v>
      </c>
      <c r="R64">
        <v>-0.3</v>
      </c>
      <c r="S64">
        <v>7.18</v>
      </c>
      <c r="T64">
        <v>2.4</v>
      </c>
      <c r="U64">
        <v>5901</v>
      </c>
      <c r="V64">
        <v>210000</v>
      </c>
      <c r="W64">
        <v>17.899999999999999</v>
      </c>
      <c r="X64">
        <v>95025</v>
      </c>
      <c r="Y64">
        <v>77.650000000000006</v>
      </c>
      <c r="Z64">
        <v>384000000</v>
      </c>
      <c r="AA64">
        <v>3.8</v>
      </c>
      <c r="AG64">
        <v>49000</v>
      </c>
      <c r="AJ64">
        <v>300</v>
      </c>
      <c r="AL64">
        <v>780133</v>
      </c>
      <c r="AM64">
        <v>74.900000000000006</v>
      </c>
      <c r="AO64">
        <v>941600000</v>
      </c>
      <c r="AP64">
        <v>86228</v>
      </c>
      <c r="AQ64">
        <v>143178</v>
      </c>
      <c r="AR64">
        <v>1.83</v>
      </c>
      <c r="AS64">
        <v>3.2</v>
      </c>
    </row>
    <row r="65" spans="1:45" x14ac:dyDescent="0.3">
      <c r="A65" t="s">
        <v>108</v>
      </c>
      <c r="B65">
        <v>78866</v>
      </c>
      <c r="C65">
        <v>9.07</v>
      </c>
      <c r="D65">
        <v>-5730000000</v>
      </c>
      <c r="E65">
        <v>10.54</v>
      </c>
      <c r="F65">
        <v>36280000000</v>
      </c>
      <c r="G65">
        <v>55330000000</v>
      </c>
      <c r="H65">
        <v>71750000000</v>
      </c>
      <c r="I65">
        <v>66510000000</v>
      </c>
      <c r="J65">
        <v>172200000000</v>
      </c>
      <c r="K65">
        <v>16800</v>
      </c>
      <c r="L65">
        <v>3.7</v>
      </c>
      <c r="M65">
        <v>0.1</v>
      </c>
      <c r="N65">
        <v>10</v>
      </c>
      <c r="O65">
        <v>2500</v>
      </c>
      <c r="P65">
        <v>127204</v>
      </c>
      <c r="Q65">
        <v>68190000000</v>
      </c>
      <c r="R65">
        <v>4.7</v>
      </c>
      <c r="S65">
        <v>3.93</v>
      </c>
      <c r="T65">
        <v>3.2</v>
      </c>
      <c r="U65">
        <v>295677</v>
      </c>
      <c r="V65">
        <v>2700000</v>
      </c>
      <c r="W65">
        <v>29</v>
      </c>
      <c r="X65">
        <v>5250000</v>
      </c>
      <c r="Y65">
        <v>76.02</v>
      </c>
      <c r="Z65">
        <v>2170000000</v>
      </c>
      <c r="AA65">
        <v>2.02</v>
      </c>
      <c r="AB65">
        <v>9892000000</v>
      </c>
      <c r="AC65">
        <v>1000000</v>
      </c>
      <c r="AD65">
        <v>9521000000</v>
      </c>
      <c r="AE65">
        <v>160000000</v>
      </c>
      <c r="AF65">
        <v>3057000000</v>
      </c>
      <c r="AG65">
        <v>175700</v>
      </c>
      <c r="AH65">
        <v>26670</v>
      </c>
      <c r="AI65">
        <v>192300</v>
      </c>
      <c r="AJ65">
        <v>7419</v>
      </c>
      <c r="AK65">
        <v>17250000</v>
      </c>
      <c r="AL65">
        <v>10241138</v>
      </c>
      <c r="AM65">
        <v>33.5</v>
      </c>
      <c r="AN65">
        <v>9520</v>
      </c>
      <c r="AO65">
        <v>32780000000</v>
      </c>
      <c r="AP65">
        <v>3626000</v>
      </c>
      <c r="AQ65">
        <v>9708700</v>
      </c>
      <c r="AR65">
        <v>1.2</v>
      </c>
      <c r="AS65">
        <v>10.6</v>
      </c>
    </row>
    <row r="66" spans="1:45" x14ac:dyDescent="0.3">
      <c r="A66" t="s">
        <v>109</v>
      </c>
      <c r="B66">
        <v>43094</v>
      </c>
      <c r="C66">
        <v>11.36</v>
      </c>
      <c r="D66">
        <v>6529000000</v>
      </c>
      <c r="E66">
        <v>10.43</v>
      </c>
      <c r="F66">
        <v>21700000000</v>
      </c>
      <c r="G66">
        <v>31630000000</v>
      </c>
      <c r="H66">
        <v>36380000000</v>
      </c>
      <c r="I66">
        <v>73060000000</v>
      </c>
      <c r="J66">
        <v>174400000000</v>
      </c>
      <c r="K66">
        <v>32200</v>
      </c>
      <c r="L66">
        <v>2.1</v>
      </c>
      <c r="M66">
        <v>0.2</v>
      </c>
      <c r="N66">
        <v>100</v>
      </c>
      <c r="O66">
        <v>5000</v>
      </c>
      <c r="P66">
        <v>71847</v>
      </c>
      <c r="Q66">
        <v>63450000000</v>
      </c>
      <c r="R66">
        <v>1.7</v>
      </c>
      <c r="S66">
        <v>4.5599999999999996</v>
      </c>
      <c r="T66">
        <v>1.4</v>
      </c>
      <c r="U66">
        <v>1219925</v>
      </c>
      <c r="V66">
        <v>2756000</v>
      </c>
      <c r="W66">
        <v>19.8</v>
      </c>
      <c r="X66">
        <v>2870000</v>
      </c>
      <c r="Y66">
        <v>77.62</v>
      </c>
      <c r="Z66">
        <v>3271600000</v>
      </c>
      <c r="AA66">
        <v>1.5</v>
      </c>
      <c r="AB66">
        <v>5280000000</v>
      </c>
      <c r="AC66">
        <v>3100000000</v>
      </c>
      <c r="AD66">
        <v>0</v>
      </c>
      <c r="AE66">
        <v>8380000000</v>
      </c>
      <c r="AF66">
        <v>81980000000</v>
      </c>
      <c r="AG66">
        <v>218000</v>
      </c>
      <c r="AH66">
        <v>332100</v>
      </c>
      <c r="AI66">
        <v>195000</v>
      </c>
      <c r="AJ66">
        <v>346200</v>
      </c>
      <c r="AK66">
        <v>1230000000</v>
      </c>
      <c r="AL66">
        <v>5432335</v>
      </c>
      <c r="AM66">
        <v>42.5</v>
      </c>
      <c r="AN66">
        <v>3002</v>
      </c>
      <c r="AO66">
        <v>37980000000</v>
      </c>
      <c r="AP66">
        <v>3610100</v>
      </c>
      <c r="AQ66">
        <v>4785300</v>
      </c>
      <c r="AR66">
        <v>1.74</v>
      </c>
      <c r="AS66">
        <v>6.2</v>
      </c>
    </row>
    <row r="67" spans="1:45" x14ac:dyDescent="0.3">
      <c r="A67" t="s">
        <v>110</v>
      </c>
      <c r="B67">
        <v>131</v>
      </c>
    </row>
    <row r="68" spans="1:45" x14ac:dyDescent="0.3">
      <c r="A68" t="s">
        <v>111</v>
      </c>
      <c r="B68">
        <v>23000</v>
      </c>
      <c r="C68">
        <v>39.979999999999997</v>
      </c>
      <c r="E68">
        <v>19.39</v>
      </c>
      <c r="F68">
        <v>366000000</v>
      </c>
      <c r="G68">
        <v>167400000</v>
      </c>
      <c r="H68">
        <v>180000000</v>
      </c>
      <c r="I68">
        <v>155000000</v>
      </c>
      <c r="J68">
        <v>619000000</v>
      </c>
      <c r="K68">
        <v>1300</v>
      </c>
      <c r="L68">
        <v>3.5</v>
      </c>
      <c r="M68">
        <v>2.9</v>
      </c>
      <c r="N68">
        <v>690</v>
      </c>
      <c r="O68">
        <v>9100</v>
      </c>
      <c r="P68">
        <v>2890</v>
      </c>
      <c r="Q68">
        <v>665000000</v>
      </c>
      <c r="R68">
        <v>3</v>
      </c>
      <c r="S68">
        <v>104.13</v>
      </c>
      <c r="T68">
        <v>2</v>
      </c>
      <c r="U68">
        <v>702</v>
      </c>
      <c r="V68">
        <v>6500</v>
      </c>
      <c r="X68">
        <v>282000</v>
      </c>
      <c r="Y68">
        <v>43.1</v>
      </c>
      <c r="Z68">
        <v>28600000</v>
      </c>
      <c r="AA68">
        <v>4.4000000000000004</v>
      </c>
      <c r="AG68">
        <v>11300</v>
      </c>
      <c r="AJ68">
        <v>0</v>
      </c>
      <c r="AL68">
        <v>476703</v>
      </c>
      <c r="AN68">
        <v>100</v>
      </c>
      <c r="AP68">
        <v>9500</v>
      </c>
      <c r="AQ68">
        <v>23000</v>
      </c>
      <c r="AR68">
        <v>5.4</v>
      </c>
      <c r="AS68">
        <v>50</v>
      </c>
    </row>
    <row r="69" spans="1:45" x14ac:dyDescent="0.3">
      <c r="A69" t="s">
        <v>112</v>
      </c>
      <c r="B69">
        <v>754</v>
      </c>
      <c r="C69">
        <v>15.73</v>
      </c>
      <c r="E69">
        <v>6.81</v>
      </c>
      <c r="F69">
        <v>161500000</v>
      </c>
      <c r="G69">
        <v>63620000</v>
      </c>
      <c r="H69">
        <v>68410000</v>
      </c>
      <c r="I69">
        <v>39000000</v>
      </c>
      <c r="J69">
        <v>384000000</v>
      </c>
      <c r="K69">
        <v>5500</v>
      </c>
      <c r="L69">
        <v>-1</v>
      </c>
      <c r="P69">
        <v>780</v>
      </c>
      <c r="Q69">
        <v>98200000</v>
      </c>
      <c r="R69">
        <v>-10</v>
      </c>
      <c r="S69">
        <v>14.15</v>
      </c>
      <c r="T69">
        <v>1</v>
      </c>
      <c r="U69">
        <v>681</v>
      </c>
      <c r="V69">
        <v>12500</v>
      </c>
      <c r="X69">
        <v>25000</v>
      </c>
      <c r="Y69">
        <v>74.650000000000006</v>
      </c>
      <c r="AG69">
        <v>600</v>
      </c>
      <c r="AJ69">
        <v>0</v>
      </c>
      <c r="AL69">
        <v>69029</v>
      </c>
      <c r="AP69">
        <v>23700</v>
      </c>
      <c r="AQ69">
        <v>9400</v>
      </c>
      <c r="AR69">
        <v>1.96</v>
      </c>
      <c r="AS69">
        <v>23</v>
      </c>
    </row>
    <row r="70" spans="1:45" x14ac:dyDescent="0.3">
      <c r="A70" t="s">
        <v>113</v>
      </c>
      <c r="B70">
        <v>48730</v>
      </c>
      <c r="C70">
        <v>23.28</v>
      </c>
      <c r="D70">
        <v>762200000</v>
      </c>
      <c r="E70">
        <v>7.35</v>
      </c>
      <c r="F70">
        <v>7745000000</v>
      </c>
      <c r="G70">
        <v>8912000000</v>
      </c>
      <c r="H70">
        <v>9583000000</v>
      </c>
      <c r="I70">
        <v>5446000000</v>
      </c>
      <c r="J70">
        <v>55680000000</v>
      </c>
      <c r="K70">
        <v>6300</v>
      </c>
      <c r="L70">
        <v>1.7</v>
      </c>
      <c r="M70">
        <v>1.7</v>
      </c>
      <c r="N70">
        <v>7900</v>
      </c>
      <c r="O70">
        <v>88000</v>
      </c>
      <c r="P70">
        <v>12600</v>
      </c>
      <c r="Q70">
        <v>8093000000</v>
      </c>
      <c r="R70">
        <v>2</v>
      </c>
      <c r="S70">
        <v>32.380000000000003</v>
      </c>
      <c r="T70">
        <v>55</v>
      </c>
      <c r="U70">
        <v>64197</v>
      </c>
      <c r="V70">
        <v>500000</v>
      </c>
      <c r="W70">
        <v>18.899999999999999</v>
      </c>
      <c r="Y70">
        <v>67.260000000000005</v>
      </c>
      <c r="Z70">
        <v>180000000</v>
      </c>
      <c r="AA70">
        <v>1.1000000000000001</v>
      </c>
      <c r="AG70">
        <v>129000</v>
      </c>
      <c r="AI70">
        <v>129900</v>
      </c>
      <c r="AJ70">
        <v>0</v>
      </c>
      <c r="AL70">
        <v>8950034</v>
      </c>
      <c r="AM70">
        <v>61.1</v>
      </c>
      <c r="AN70">
        <v>1743</v>
      </c>
      <c r="AO70">
        <v>426000000</v>
      </c>
      <c r="AP70">
        <v>901800</v>
      </c>
      <c r="AQ70">
        <v>2120400</v>
      </c>
      <c r="AR70">
        <v>2.86</v>
      </c>
      <c r="AS70">
        <v>17</v>
      </c>
    </row>
    <row r="71" spans="1:45" x14ac:dyDescent="0.3">
      <c r="A71" t="s">
        <v>114</v>
      </c>
      <c r="B71">
        <v>15007</v>
      </c>
      <c r="C71">
        <v>27.19</v>
      </c>
      <c r="E71">
        <v>6.3</v>
      </c>
      <c r="I71">
        <v>8000000</v>
      </c>
      <c r="J71">
        <v>370000000</v>
      </c>
      <c r="K71">
        <v>400</v>
      </c>
      <c r="L71">
        <v>1</v>
      </c>
      <c r="P71">
        <v>3800</v>
      </c>
      <c r="Q71">
        <v>167000000</v>
      </c>
      <c r="R71">
        <v>8.5</v>
      </c>
      <c r="S71">
        <v>47.41</v>
      </c>
      <c r="T71">
        <v>4</v>
      </c>
      <c r="Y71">
        <v>65.900000000000006</v>
      </c>
      <c r="Z71">
        <v>4400000</v>
      </c>
      <c r="AL71">
        <v>1040880</v>
      </c>
      <c r="AR71">
        <v>3.61</v>
      </c>
      <c r="AS71">
        <v>50</v>
      </c>
    </row>
    <row r="72" spans="1:45" x14ac:dyDescent="0.3">
      <c r="A72" t="s">
        <v>115</v>
      </c>
      <c r="B72">
        <v>283560</v>
      </c>
      <c r="C72">
        <v>22.67</v>
      </c>
      <c r="D72">
        <v>261100000</v>
      </c>
      <c r="E72">
        <v>4.24</v>
      </c>
      <c r="F72">
        <v>16810000000</v>
      </c>
      <c r="G72">
        <v>75580000000</v>
      </c>
      <c r="H72">
        <v>81270000000</v>
      </c>
      <c r="I72">
        <v>7560000000</v>
      </c>
      <c r="J72">
        <v>49510000000</v>
      </c>
      <c r="K72">
        <v>3700</v>
      </c>
      <c r="L72">
        <v>5.8</v>
      </c>
      <c r="M72">
        <v>0.3</v>
      </c>
      <c r="N72">
        <v>1700</v>
      </c>
      <c r="O72">
        <v>21000</v>
      </c>
      <c r="P72">
        <v>43197</v>
      </c>
      <c r="Q72">
        <v>7650000000</v>
      </c>
      <c r="R72">
        <v>10</v>
      </c>
      <c r="S72">
        <v>23.66</v>
      </c>
      <c r="T72">
        <v>2</v>
      </c>
      <c r="U72">
        <v>3188</v>
      </c>
      <c r="V72">
        <v>569700</v>
      </c>
      <c r="W72">
        <v>20.6</v>
      </c>
      <c r="X72">
        <v>4530000</v>
      </c>
      <c r="Y72">
        <v>76.209999999999994</v>
      </c>
      <c r="Z72">
        <v>655000000</v>
      </c>
      <c r="AA72">
        <v>2.2000000000000002</v>
      </c>
      <c r="AB72">
        <v>160000000</v>
      </c>
      <c r="AC72">
        <v>0</v>
      </c>
      <c r="AD72">
        <v>0</v>
      </c>
      <c r="AE72">
        <v>160000000</v>
      </c>
      <c r="AF72">
        <v>106500000000</v>
      </c>
      <c r="AG72">
        <v>129000</v>
      </c>
      <c r="AH72">
        <v>387000</v>
      </c>
      <c r="AJ72">
        <v>523000</v>
      </c>
      <c r="AK72">
        <v>4408000000</v>
      </c>
      <c r="AL72">
        <v>13363593</v>
      </c>
      <c r="AM72">
        <v>49.2</v>
      </c>
      <c r="AN72">
        <v>966</v>
      </c>
      <c r="AO72">
        <v>1436000000</v>
      </c>
      <c r="AP72">
        <v>1549000</v>
      </c>
      <c r="AQ72">
        <v>2394400</v>
      </c>
      <c r="AR72">
        <v>2.72</v>
      </c>
      <c r="AS72">
        <v>11.1</v>
      </c>
    </row>
    <row r="73" spans="1:45" x14ac:dyDescent="0.3">
      <c r="A73" t="s">
        <v>116</v>
      </c>
      <c r="B73">
        <v>1001450</v>
      </c>
      <c r="C73">
        <v>23.32</v>
      </c>
      <c r="D73">
        <v>2113000000</v>
      </c>
      <c r="E73">
        <v>5.26</v>
      </c>
      <c r="F73">
        <v>33750000000</v>
      </c>
      <c r="G73">
        <v>75580000000</v>
      </c>
      <c r="H73">
        <v>81270000000</v>
      </c>
      <c r="I73">
        <v>11000000000</v>
      </c>
      <c r="J73">
        <v>316300000000</v>
      </c>
      <c r="K73">
        <v>4200</v>
      </c>
      <c r="L73">
        <v>4.5</v>
      </c>
      <c r="M73">
        <v>0.1</v>
      </c>
      <c r="N73">
        <v>700</v>
      </c>
      <c r="O73">
        <v>12000</v>
      </c>
      <c r="P73">
        <v>64000</v>
      </c>
      <c r="Q73">
        <v>19210000000</v>
      </c>
      <c r="R73">
        <v>2.5</v>
      </c>
      <c r="S73">
        <v>32.590000000000003</v>
      </c>
      <c r="T73">
        <v>9.5</v>
      </c>
      <c r="U73">
        <v>3401</v>
      </c>
      <c r="V73">
        <v>2700000</v>
      </c>
      <c r="W73">
        <v>15.8</v>
      </c>
      <c r="X73">
        <v>20710000</v>
      </c>
      <c r="Y73">
        <v>71</v>
      </c>
      <c r="Z73">
        <v>2440000000</v>
      </c>
      <c r="AA73">
        <v>3.4</v>
      </c>
      <c r="AB73">
        <v>21200000000</v>
      </c>
      <c r="AC73">
        <v>0</v>
      </c>
      <c r="AD73">
        <v>0</v>
      </c>
      <c r="AE73">
        <v>21200000000</v>
      </c>
      <c r="AF73">
        <v>1264000000000</v>
      </c>
      <c r="AG73">
        <v>562000</v>
      </c>
      <c r="AJ73">
        <v>740000</v>
      </c>
      <c r="AK73">
        <v>2700000000</v>
      </c>
      <c r="AL73">
        <v>77505756</v>
      </c>
      <c r="AM73">
        <v>102.7</v>
      </c>
      <c r="AN73">
        <v>5063</v>
      </c>
      <c r="AO73">
        <v>14030000000</v>
      </c>
      <c r="AP73">
        <v>8735700</v>
      </c>
      <c r="AQ73">
        <v>5797500</v>
      </c>
      <c r="AR73">
        <v>2.88</v>
      </c>
      <c r="AS73">
        <v>10.9</v>
      </c>
    </row>
    <row r="74" spans="1:45" x14ac:dyDescent="0.3">
      <c r="A74" t="s">
        <v>117</v>
      </c>
      <c r="B74">
        <v>21040</v>
      </c>
      <c r="C74">
        <v>27.04</v>
      </c>
      <c r="D74">
        <v>-880500000</v>
      </c>
      <c r="E74">
        <v>5.85</v>
      </c>
      <c r="F74">
        <v>4792000000</v>
      </c>
      <c r="G74">
        <v>4450000000</v>
      </c>
      <c r="H74">
        <v>4158000000</v>
      </c>
      <c r="I74">
        <v>3249000000</v>
      </c>
      <c r="J74">
        <v>32350000000</v>
      </c>
      <c r="K74">
        <v>4900</v>
      </c>
      <c r="L74">
        <v>1.8</v>
      </c>
      <c r="M74">
        <v>0.7</v>
      </c>
      <c r="N74">
        <v>2200</v>
      </c>
      <c r="O74">
        <v>29000</v>
      </c>
      <c r="P74">
        <v>10029</v>
      </c>
      <c r="Q74">
        <v>5968000000</v>
      </c>
      <c r="R74">
        <v>0.7</v>
      </c>
      <c r="S74">
        <v>25.1</v>
      </c>
      <c r="T74">
        <v>5.4</v>
      </c>
      <c r="U74">
        <v>4084</v>
      </c>
      <c r="V74">
        <v>550000</v>
      </c>
      <c r="W74">
        <v>16.600000000000001</v>
      </c>
      <c r="X74">
        <v>2750000</v>
      </c>
      <c r="Y74">
        <v>71.22</v>
      </c>
      <c r="Z74">
        <v>157000000</v>
      </c>
      <c r="AA74">
        <v>1.1000000000000001</v>
      </c>
      <c r="AG74">
        <v>39000</v>
      </c>
      <c r="AJ74">
        <v>0</v>
      </c>
      <c r="AL74">
        <v>6704932</v>
      </c>
      <c r="AM74">
        <v>41.7</v>
      </c>
      <c r="AN74">
        <v>283</v>
      </c>
      <c r="AO74">
        <v>1888000000</v>
      </c>
      <c r="AP74">
        <v>752600</v>
      </c>
      <c r="AQ74">
        <v>1149800</v>
      </c>
      <c r="AR74">
        <v>3.16</v>
      </c>
      <c r="AS74">
        <v>6.3</v>
      </c>
    </row>
    <row r="75" spans="1:45" x14ac:dyDescent="0.3">
      <c r="A75" t="s">
        <v>118</v>
      </c>
      <c r="B75">
        <v>28051</v>
      </c>
      <c r="C75">
        <v>36.18</v>
      </c>
      <c r="D75">
        <v>-578600000</v>
      </c>
      <c r="E75">
        <v>12</v>
      </c>
      <c r="F75">
        <v>248000000</v>
      </c>
      <c r="G75">
        <v>24820000</v>
      </c>
      <c r="H75">
        <v>26690000</v>
      </c>
      <c r="I75">
        <v>2771000000</v>
      </c>
      <c r="J75">
        <v>1270000000</v>
      </c>
      <c r="K75">
        <v>2700</v>
      </c>
      <c r="L75">
        <v>20</v>
      </c>
      <c r="M75">
        <v>3.4</v>
      </c>
      <c r="N75">
        <v>370</v>
      </c>
      <c r="O75">
        <v>5900</v>
      </c>
      <c r="P75">
        <v>2880</v>
      </c>
      <c r="Q75">
        <v>1167000000</v>
      </c>
      <c r="R75">
        <v>30</v>
      </c>
      <c r="S75">
        <v>85.13</v>
      </c>
      <c r="T75">
        <v>8.5</v>
      </c>
      <c r="U75">
        <v>3</v>
      </c>
      <c r="V75">
        <v>1800</v>
      </c>
      <c r="W75">
        <v>50.8</v>
      </c>
      <c r="Y75">
        <v>55.56</v>
      </c>
      <c r="Z75">
        <v>126200000</v>
      </c>
      <c r="AA75">
        <v>2.5</v>
      </c>
      <c r="AB75">
        <v>20000000</v>
      </c>
      <c r="AC75">
        <v>0</v>
      </c>
      <c r="AD75">
        <v>0</v>
      </c>
      <c r="AE75">
        <v>20000000</v>
      </c>
      <c r="AF75">
        <v>68530000000</v>
      </c>
      <c r="AG75">
        <v>2000</v>
      </c>
      <c r="AJ75">
        <v>350000</v>
      </c>
      <c r="AK75">
        <v>563500000</v>
      </c>
      <c r="AL75">
        <v>535881</v>
      </c>
      <c r="AO75">
        <v>235200000</v>
      </c>
      <c r="AP75">
        <v>9600</v>
      </c>
      <c r="AQ75">
        <v>41500</v>
      </c>
      <c r="AR75">
        <v>4.62</v>
      </c>
      <c r="AS75">
        <v>30</v>
      </c>
    </row>
    <row r="76" spans="1:45" x14ac:dyDescent="0.3">
      <c r="A76" t="s">
        <v>119</v>
      </c>
      <c r="B76">
        <v>121320</v>
      </c>
      <c r="C76">
        <v>38.619999999999997</v>
      </c>
      <c r="D76">
        <v>-144900000</v>
      </c>
      <c r="E76">
        <v>13.53</v>
      </c>
      <c r="F76">
        <v>311000000</v>
      </c>
      <c r="G76">
        <v>229400000</v>
      </c>
      <c r="H76">
        <v>246600000</v>
      </c>
      <c r="I76">
        <v>64440000</v>
      </c>
      <c r="J76">
        <v>4154000000</v>
      </c>
      <c r="K76">
        <v>900</v>
      </c>
      <c r="L76">
        <v>2.5</v>
      </c>
      <c r="M76">
        <v>2.7</v>
      </c>
      <c r="N76">
        <v>6300</v>
      </c>
      <c r="O76">
        <v>60000</v>
      </c>
      <c r="P76">
        <v>4010</v>
      </c>
      <c r="Q76">
        <v>622000000</v>
      </c>
      <c r="S76">
        <v>74.87</v>
      </c>
      <c r="T76">
        <v>10</v>
      </c>
      <c r="U76">
        <v>1047</v>
      </c>
      <c r="V76">
        <v>9500</v>
      </c>
      <c r="W76">
        <v>26.3</v>
      </c>
      <c r="Y76">
        <v>52.16</v>
      </c>
      <c r="Z76">
        <v>151000000</v>
      </c>
      <c r="AA76">
        <v>13.4</v>
      </c>
      <c r="AG76">
        <v>6000</v>
      </c>
      <c r="AJ76">
        <v>0</v>
      </c>
      <c r="AL76">
        <v>4561599</v>
      </c>
      <c r="AN76">
        <v>306</v>
      </c>
      <c r="AO76">
        <v>30870000</v>
      </c>
      <c r="AP76">
        <v>38100</v>
      </c>
      <c r="AR76">
        <v>5.61</v>
      </c>
    </row>
    <row r="77" spans="1:45" x14ac:dyDescent="0.3">
      <c r="A77" t="s">
        <v>120</v>
      </c>
      <c r="B77">
        <v>45226</v>
      </c>
      <c r="C77">
        <v>9.91</v>
      </c>
      <c r="D77">
        <v>-1169000000</v>
      </c>
      <c r="E77">
        <v>13.21</v>
      </c>
      <c r="F77">
        <v>8373000000</v>
      </c>
      <c r="G77">
        <v>6358000000</v>
      </c>
      <c r="H77">
        <v>8301000000</v>
      </c>
      <c r="I77">
        <v>5701000000</v>
      </c>
      <c r="J77">
        <v>19230000000</v>
      </c>
      <c r="K77">
        <v>14300</v>
      </c>
      <c r="L77">
        <v>6</v>
      </c>
      <c r="M77">
        <v>1.1000000000000001</v>
      </c>
      <c r="N77">
        <v>200</v>
      </c>
      <c r="O77">
        <v>7800</v>
      </c>
      <c r="P77">
        <v>55944</v>
      </c>
      <c r="Q77">
        <v>7318000000</v>
      </c>
      <c r="R77">
        <v>5</v>
      </c>
      <c r="S77">
        <v>7.87</v>
      </c>
      <c r="T77">
        <v>3</v>
      </c>
      <c r="U77">
        <v>82142</v>
      </c>
      <c r="V77">
        <v>444000</v>
      </c>
      <c r="W77">
        <v>28.2</v>
      </c>
      <c r="X77">
        <v>660000</v>
      </c>
      <c r="Y77">
        <v>71.77</v>
      </c>
      <c r="Z77">
        <v>155000000</v>
      </c>
      <c r="AA77">
        <v>2</v>
      </c>
      <c r="AB77">
        <v>1270000000</v>
      </c>
      <c r="AC77">
        <v>0</v>
      </c>
      <c r="AD77">
        <v>1270000000</v>
      </c>
      <c r="AE77">
        <v>0</v>
      </c>
      <c r="AG77">
        <v>24000</v>
      </c>
      <c r="AJ77">
        <v>5100</v>
      </c>
      <c r="AL77">
        <v>1332893</v>
      </c>
      <c r="AM77">
        <v>5.4</v>
      </c>
      <c r="AN77">
        <v>958</v>
      </c>
      <c r="AO77">
        <v>1503000000</v>
      </c>
      <c r="AP77">
        <v>475000</v>
      </c>
      <c r="AQ77">
        <v>881000</v>
      </c>
      <c r="AR77">
        <v>1.39</v>
      </c>
      <c r="AS77">
        <v>9.6</v>
      </c>
    </row>
    <row r="78" spans="1:45" x14ac:dyDescent="0.3">
      <c r="A78" t="s">
        <v>121</v>
      </c>
      <c r="B78">
        <v>1127127</v>
      </c>
      <c r="C78">
        <v>38.61</v>
      </c>
      <c r="D78">
        <v>-464400000</v>
      </c>
      <c r="E78">
        <v>15.06</v>
      </c>
      <c r="F78">
        <v>2900000000</v>
      </c>
      <c r="G78">
        <v>1998000000</v>
      </c>
      <c r="H78">
        <v>2149000000</v>
      </c>
      <c r="I78">
        <v>562800000</v>
      </c>
      <c r="J78">
        <v>54890000000</v>
      </c>
      <c r="K78">
        <v>800</v>
      </c>
      <c r="L78">
        <v>11.6</v>
      </c>
      <c r="M78">
        <v>4.4000000000000004</v>
      </c>
      <c r="N78">
        <v>120000</v>
      </c>
      <c r="O78">
        <v>1500000</v>
      </c>
      <c r="P78">
        <v>33297</v>
      </c>
      <c r="Q78">
        <v>2104000000</v>
      </c>
      <c r="R78">
        <v>6.7</v>
      </c>
      <c r="S78">
        <v>95.32</v>
      </c>
      <c r="T78">
        <v>2.4</v>
      </c>
      <c r="U78">
        <v>9</v>
      </c>
      <c r="V78">
        <v>75000</v>
      </c>
      <c r="W78">
        <v>17.8</v>
      </c>
      <c r="Y78">
        <v>48.83</v>
      </c>
      <c r="Z78">
        <v>337100000</v>
      </c>
      <c r="AA78">
        <v>4.5999999999999996</v>
      </c>
      <c r="AF78">
        <v>12460000000</v>
      </c>
      <c r="AG78">
        <v>23000</v>
      </c>
      <c r="AJ78">
        <v>0</v>
      </c>
      <c r="AK78">
        <v>214000</v>
      </c>
      <c r="AL78">
        <v>73053286</v>
      </c>
      <c r="AN78">
        <v>681</v>
      </c>
      <c r="AO78">
        <v>923100000</v>
      </c>
      <c r="AP78">
        <v>435000</v>
      </c>
      <c r="AQ78">
        <v>97800</v>
      </c>
      <c r="AR78">
        <v>5.33</v>
      </c>
    </row>
    <row r="79" spans="1:45" x14ac:dyDescent="0.3">
      <c r="A79" t="s">
        <v>122</v>
      </c>
      <c r="B79">
        <v>28</v>
      </c>
    </row>
    <row r="80" spans="1:45" x14ac:dyDescent="0.3">
      <c r="A80" t="s">
        <v>123</v>
      </c>
      <c r="B80">
        <v>3976372</v>
      </c>
      <c r="C80">
        <v>10.1</v>
      </c>
      <c r="E80">
        <v>10.1</v>
      </c>
      <c r="G80">
        <v>2661000000000</v>
      </c>
      <c r="H80">
        <v>2888000000000</v>
      </c>
      <c r="I80">
        <v>1109000000000</v>
      </c>
      <c r="J80">
        <v>11650000000000</v>
      </c>
      <c r="K80">
        <v>26900</v>
      </c>
      <c r="L80">
        <v>2.4</v>
      </c>
      <c r="P80">
        <v>4634810</v>
      </c>
      <c r="Q80">
        <v>1123000000000</v>
      </c>
      <c r="R80">
        <v>2.4</v>
      </c>
      <c r="S80">
        <v>5.2</v>
      </c>
      <c r="T80">
        <v>2.1</v>
      </c>
      <c r="U80">
        <v>22000414</v>
      </c>
      <c r="V80">
        <v>206032067</v>
      </c>
      <c r="W80">
        <v>19.5</v>
      </c>
      <c r="X80">
        <v>215000000</v>
      </c>
      <c r="Y80">
        <v>78.2</v>
      </c>
      <c r="AB80">
        <v>467700000000</v>
      </c>
      <c r="AC80">
        <v>78100000000</v>
      </c>
      <c r="AD80">
        <v>297800000000</v>
      </c>
      <c r="AE80">
        <v>242600000000</v>
      </c>
      <c r="AF80">
        <v>3256000000000</v>
      </c>
      <c r="AG80">
        <v>14540000</v>
      </c>
      <c r="AH80">
        <v>5322000</v>
      </c>
      <c r="AI80">
        <v>15690000</v>
      </c>
      <c r="AJ80">
        <v>2648000</v>
      </c>
      <c r="AK80">
        <v>28210000000</v>
      </c>
      <c r="AL80">
        <v>457030418</v>
      </c>
      <c r="AN80">
        <v>222293</v>
      </c>
      <c r="AP80">
        <v>238763162</v>
      </c>
      <c r="AQ80">
        <v>314644700</v>
      </c>
      <c r="AR80">
        <v>1.48</v>
      </c>
      <c r="AS80">
        <v>9.5</v>
      </c>
    </row>
    <row r="81" spans="1:45" x14ac:dyDescent="0.3">
      <c r="A81" t="s">
        <v>124</v>
      </c>
      <c r="B81">
        <v>12173</v>
      </c>
      <c r="G81">
        <v>17720000</v>
      </c>
      <c r="H81">
        <v>19060000</v>
      </c>
      <c r="I81">
        <v>82000000</v>
      </c>
      <c r="J81">
        <v>75000000</v>
      </c>
      <c r="K81">
        <v>25000</v>
      </c>
      <c r="P81">
        <v>440</v>
      </c>
      <c r="Q81">
        <v>53000000</v>
      </c>
      <c r="T81">
        <v>3.6</v>
      </c>
      <c r="X81">
        <v>1100</v>
      </c>
      <c r="AG81">
        <v>200</v>
      </c>
      <c r="AJ81">
        <v>0</v>
      </c>
      <c r="AL81">
        <v>2967</v>
      </c>
      <c r="AP81">
        <v>2400</v>
      </c>
      <c r="AQ81">
        <v>0</v>
      </c>
    </row>
    <row r="82" spans="1:45" x14ac:dyDescent="0.3">
      <c r="A82" t="s">
        <v>125</v>
      </c>
      <c r="B82">
        <v>1399</v>
      </c>
      <c r="C82">
        <v>13.97</v>
      </c>
      <c r="E82">
        <v>8.69</v>
      </c>
      <c r="F82">
        <v>64000000</v>
      </c>
      <c r="G82">
        <v>204600000</v>
      </c>
      <c r="H82">
        <v>220000000</v>
      </c>
      <c r="I82">
        <v>408000000</v>
      </c>
      <c r="J82">
        <v>1000000000</v>
      </c>
      <c r="K82">
        <v>22000</v>
      </c>
      <c r="L82">
        <v>10</v>
      </c>
      <c r="P82">
        <v>463</v>
      </c>
      <c r="Q82">
        <v>466000000</v>
      </c>
      <c r="R82">
        <v>8</v>
      </c>
      <c r="S82">
        <v>6.24</v>
      </c>
      <c r="T82">
        <v>5.0999999999999996</v>
      </c>
      <c r="V82">
        <v>25000</v>
      </c>
      <c r="X82">
        <v>24250</v>
      </c>
      <c r="Y82">
        <v>79.209999999999994</v>
      </c>
      <c r="AG82">
        <v>4500</v>
      </c>
      <c r="AJ82">
        <v>0</v>
      </c>
      <c r="AL82">
        <v>46962</v>
      </c>
      <c r="AP82">
        <v>23000</v>
      </c>
      <c r="AQ82">
        <v>30700</v>
      </c>
      <c r="AR82">
        <v>2.2000000000000002</v>
      </c>
      <c r="AS82">
        <v>1</v>
      </c>
    </row>
    <row r="83" spans="1:45" x14ac:dyDescent="0.3">
      <c r="A83" t="s">
        <v>126</v>
      </c>
      <c r="B83">
        <v>18270</v>
      </c>
      <c r="C83">
        <v>22.73</v>
      </c>
      <c r="E83">
        <v>5.65</v>
      </c>
      <c r="F83">
        <v>188100000</v>
      </c>
      <c r="G83">
        <v>697500000</v>
      </c>
      <c r="H83">
        <v>750000000</v>
      </c>
      <c r="I83">
        <v>609000000</v>
      </c>
      <c r="J83">
        <v>5173000000</v>
      </c>
      <c r="K83">
        <v>5900</v>
      </c>
      <c r="L83">
        <v>3.6</v>
      </c>
      <c r="M83">
        <v>0.1</v>
      </c>
      <c r="N83">
        <v>200</v>
      </c>
      <c r="O83">
        <v>600</v>
      </c>
      <c r="P83">
        <v>3440</v>
      </c>
      <c r="Q83">
        <v>835000000</v>
      </c>
      <c r="S83">
        <v>12.62</v>
      </c>
      <c r="T83">
        <v>1.6</v>
      </c>
      <c r="U83">
        <v>493</v>
      </c>
      <c r="V83">
        <v>55000</v>
      </c>
      <c r="X83">
        <v>137000</v>
      </c>
      <c r="Y83">
        <v>69.53</v>
      </c>
      <c r="Z83">
        <v>36000000</v>
      </c>
      <c r="AA83">
        <v>2.2000000000000002</v>
      </c>
      <c r="AG83">
        <v>5700</v>
      </c>
      <c r="AJ83">
        <v>0</v>
      </c>
      <c r="AL83">
        <v>893354</v>
      </c>
      <c r="AN83">
        <v>597</v>
      </c>
      <c r="AP83">
        <v>102000</v>
      </c>
      <c r="AQ83">
        <v>109900</v>
      </c>
      <c r="AR83">
        <v>2.75</v>
      </c>
      <c r="AS83">
        <v>7.6</v>
      </c>
    </row>
    <row r="84" spans="1:45" x14ac:dyDescent="0.3">
      <c r="A84" t="s">
        <v>127</v>
      </c>
      <c r="B84">
        <v>338145</v>
      </c>
      <c r="C84">
        <v>10.5</v>
      </c>
      <c r="D84">
        <v>11390000000</v>
      </c>
      <c r="E84">
        <v>9.7899999999999991</v>
      </c>
      <c r="F84">
        <v>30000000000</v>
      </c>
      <c r="G84">
        <v>78580000000</v>
      </c>
      <c r="H84">
        <v>71590000000</v>
      </c>
      <c r="I84">
        <v>61040000000</v>
      </c>
      <c r="J84">
        <v>151200000000</v>
      </c>
      <c r="K84">
        <v>29000</v>
      </c>
      <c r="L84">
        <v>3</v>
      </c>
      <c r="M84">
        <v>0.1</v>
      </c>
      <c r="N84">
        <v>100</v>
      </c>
      <c r="O84">
        <v>1500</v>
      </c>
      <c r="P84">
        <v>78197</v>
      </c>
      <c r="Q84">
        <v>45170000000</v>
      </c>
      <c r="R84">
        <v>2</v>
      </c>
      <c r="S84">
        <v>3.57</v>
      </c>
      <c r="T84">
        <v>0.7</v>
      </c>
      <c r="U84">
        <v>1219173</v>
      </c>
      <c r="V84">
        <v>2650000</v>
      </c>
      <c r="W84">
        <v>18.3</v>
      </c>
      <c r="X84">
        <v>2660000</v>
      </c>
      <c r="Y84">
        <v>78.349999999999994</v>
      </c>
      <c r="Z84">
        <v>1800000000</v>
      </c>
      <c r="AA84">
        <v>2</v>
      </c>
      <c r="AB84">
        <v>4557000000</v>
      </c>
      <c r="AC84">
        <v>0</v>
      </c>
      <c r="AD84">
        <v>4567000000</v>
      </c>
      <c r="AE84">
        <v>0</v>
      </c>
      <c r="AG84">
        <v>211400</v>
      </c>
      <c r="AH84">
        <v>101000</v>
      </c>
      <c r="AI84">
        <v>318300</v>
      </c>
      <c r="AJ84">
        <v>0</v>
      </c>
      <c r="AL84">
        <v>5223442</v>
      </c>
      <c r="AM84">
        <v>46.8</v>
      </c>
      <c r="AN84">
        <v>5851</v>
      </c>
      <c r="AO84">
        <v>11170000000</v>
      </c>
      <c r="AP84">
        <v>2548000</v>
      </c>
      <c r="AQ84">
        <v>4700000</v>
      </c>
      <c r="AR84">
        <v>1.73</v>
      </c>
      <c r="AS84">
        <v>8.9</v>
      </c>
    </row>
    <row r="85" spans="1:45" x14ac:dyDescent="0.3">
      <c r="A85" t="s">
        <v>128</v>
      </c>
      <c r="B85">
        <v>547030</v>
      </c>
      <c r="C85">
        <v>12.15</v>
      </c>
      <c r="D85">
        <v>-305000000</v>
      </c>
      <c r="E85">
        <v>9.08</v>
      </c>
      <c r="G85">
        <v>414700000000</v>
      </c>
      <c r="H85">
        <v>528600000000</v>
      </c>
      <c r="I85">
        <v>419000000000</v>
      </c>
      <c r="J85">
        <v>1737000000000</v>
      </c>
      <c r="K85">
        <v>28700</v>
      </c>
      <c r="L85">
        <v>2.1</v>
      </c>
      <c r="M85">
        <v>0.4</v>
      </c>
      <c r="N85">
        <v>1000</v>
      </c>
      <c r="O85">
        <v>120000</v>
      </c>
      <c r="P85">
        <v>893100</v>
      </c>
      <c r="Q85">
        <v>419700000000</v>
      </c>
      <c r="R85">
        <v>1.7</v>
      </c>
      <c r="S85">
        <v>4.26</v>
      </c>
      <c r="T85">
        <v>2.2999999999999998</v>
      </c>
      <c r="U85">
        <v>2396761</v>
      </c>
      <c r="V85">
        <v>21900000</v>
      </c>
      <c r="W85">
        <v>19.2</v>
      </c>
      <c r="X85">
        <v>27700000</v>
      </c>
      <c r="Y85">
        <v>79.599999999999994</v>
      </c>
      <c r="Z85">
        <v>45238100000</v>
      </c>
      <c r="AA85">
        <v>2.6</v>
      </c>
      <c r="AB85">
        <v>42010000000</v>
      </c>
      <c r="AC85">
        <v>1725000000</v>
      </c>
      <c r="AD85">
        <v>40260000000</v>
      </c>
      <c r="AE85">
        <v>1898000000</v>
      </c>
      <c r="AF85">
        <v>12860000000</v>
      </c>
      <c r="AG85">
        <v>2026000</v>
      </c>
      <c r="AH85">
        <v>409600</v>
      </c>
      <c r="AI85">
        <v>2281000</v>
      </c>
      <c r="AJ85">
        <v>34920</v>
      </c>
      <c r="AK85">
        <v>144300000</v>
      </c>
      <c r="AL85">
        <v>60656178</v>
      </c>
      <c r="AM85">
        <v>67.7</v>
      </c>
      <c r="AN85">
        <v>32175</v>
      </c>
      <c r="AO85">
        <v>70760000000</v>
      </c>
      <c r="AP85">
        <v>33905400</v>
      </c>
      <c r="AQ85">
        <v>41683100</v>
      </c>
      <c r="AR85">
        <v>1.85</v>
      </c>
      <c r="AS85">
        <v>10.1</v>
      </c>
    </row>
    <row r="86" spans="1:45" x14ac:dyDescent="0.3">
      <c r="A86" t="s">
        <v>129</v>
      </c>
      <c r="B86">
        <v>91000</v>
      </c>
      <c r="C86">
        <v>20.7</v>
      </c>
      <c r="E86">
        <v>4.8499999999999996</v>
      </c>
      <c r="F86">
        <v>1200000000</v>
      </c>
      <c r="G86">
        <v>427900000</v>
      </c>
      <c r="H86">
        <v>460100000</v>
      </c>
      <c r="I86">
        <v>155000000</v>
      </c>
      <c r="J86">
        <v>1551000000</v>
      </c>
      <c r="K86">
        <v>8300</v>
      </c>
      <c r="P86">
        <v>817</v>
      </c>
      <c r="Q86">
        <v>625000000</v>
      </c>
      <c r="S86">
        <v>12.07</v>
      </c>
      <c r="T86">
        <v>1.5</v>
      </c>
      <c r="V86">
        <v>3200</v>
      </c>
      <c r="X86">
        <v>58800</v>
      </c>
      <c r="Y86">
        <v>77.09</v>
      </c>
      <c r="AG86">
        <v>6500</v>
      </c>
      <c r="AJ86">
        <v>0</v>
      </c>
      <c r="AL86">
        <v>195506</v>
      </c>
      <c r="AP86">
        <v>51000</v>
      </c>
      <c r="AQ86">
        <v>138200</v>
      </c>
      <c r="AR86">
        <v>3.01</v>
      </c>
      <c r="AS86">
        <v>22</v>
      </c>
    </row>
    <row r="87" spans="1:45" x14ac:dyDescent="0.3">
      <c r="A87" t="s">
        <v>130</v>
      </c>
      <c r="B87">
        <v>4167</v>
      </c>
      <c r="C87">
        <v>16.93</v>
      </c>
      <c r="E87">
        <v>4.63</v>
      </c>
      <c r="G87">
        <v>353400000</v>
      </c>
      <c r="H87">
        <v>380000000</v>
      </c>
      <c r="I87">
        <v>244000000</v>
      </c>
      <c r="J87">
        <v>4580000000</v>
      </c>
      <c r="K87">
        <v>17500</v>
      </c>
      <c r="P87">
        <v>2590</v>
      </c>
      <c r="Q87">
        <v>1341000000</v>
      </c>
      <c r="S87">
        <v>8.44</v>
      </c>
      <c r="T87">
        <v>1.5</v>
      </c>
      <c r="U87">
        <v>5123</v>
      </c>
      <c r="V87">
        <v>35000</v>
      </c>
      <c r="X87">
        <v>70000</v>
      </c>
      <c r="Y87">
        <v>75.900000000000006</v>
      </c>
      <c r="AG87">
        <v>4750</v>
      </c>
      <c r="AJ87">
        <v>0</v>
      </c>
      <c r="AL87">
        <v>270485</v>
      </c>
      <c r="AP87">
        <v>52500</v>
      </c>
      <c r="AQ87">
        <v>90000</v>
      </c>
      <c r="AR87">
        <v>2.04</v>
      </c>
      <c r="AS87">
        <v>11.8</v>
      </c>
    </row>
    <row r="88" spans="1:45" x14ac:dyDescent="0.3">
      <c r="A88" t="s">
        <v>131</v>
      </c>
      <c r="B88">
        <v>7829</v>
      </c>
    </row>
    <row r="89" spans="1:45" x14ac:dyDescent="0.3">
      <c r="A89" t="s">
        <v>132</v>
      </c>
      <c r="B89">
        <v>267667</v>
      </c>
      <c r="C89">
        <v>36.24</v>
      </c>
      <c r="D89">
        <v>196800000</v>
      </c>
      <c r="E89">
        <v>11.72</v>
      </c>
      <c r="F89">
        <v>3804000000</v>
      </c>
      <c r="G89">
        <v>1080000000</v>
      </c>
      <c r="H89">
        <v>1161000000</v>
      </c>
      <c r="I89">
        <v>3710000000</v>
      </c>
      <c r="J89">
        <v>7966000000</v>
      </c>
      <c r="K89">
        <v>5900</v>
      </c>
      <c r="L89">
        <v>1.9</v>
      </c>
      <c r="M89">
        <v>8.1</v>
      </c>
      <c r="N89">
        <v>3000</v>
      </c>
      <c r="O89">
        <v>48000</v>
      </c>
      <c r="P89">
        <v>8464</v>
      </c>
      <c r="Q89">
        <v>1225000000</v>
      </c>
      <c r="R89">
        <v>1.6</v>
      </c>
      <c r="S89">
        <v>53.64</v>
      </c>
      <c r="T89">
        <v>1.5</v>
      </c>
      <c r="U89">
        <v>93</v>
      </c>
      <c r="V89">
        <v>35000</v>
      </c>
      <c r="W89">
        <v>21.8</v>
      </c>
      <c r="X89">
        <v>650000</v>
      </c>
      <c r="Y89">
        <v>55.75</v>
      </c>
      <c r="Z89">
        <v>184800000</v>
      </c>
      <c r="AA89">
        <v>2</v>
      </c>
      <c r="AB89">
        <v>80000000</v>
      </c>
      <c r="AC89">
        <v>0</v>
      </c>
      <c r="AD89">
        <v>0</v>
      </c>
      <c r="AE89">
        <v>80000000</v>
      </c>
      <c r="AF89">
        <v>66470000000</v>
      </c>
      <c r="AG89">
        <v>13000</v>
      </c>
      <c r="AJ89">
        <v>264900</v>
      </c>
      <c r="AK89">
        <v>2022000000</v>
      </c>
      <c r="AL89">
        <v>1389201</v>
      </c>
      <c r="AM89">
        <v>29.3</v>
      </c>
      <c r="AN89">
        <v>814</v>
      </c>
      <c r="AO89">
        <v>268600000</v>
      </c>
      <c r="AP89">
        <v>38400</v>
      </c>
      <c r="AQ89">
        <v>300000</v>
      </c>
      <c r="AR89">
        <v>4.7699999999999996</v>
      </c>
      <c r="AS89">
        <v>21</v>
      </c>
    </row>
    <row r="90" spans="1:45" x14ac:dyDescent="0.3">
      <c r="A90" t="s">
        <v>133</v>
      </c>
      <c r="B90">
        <v>11300</v>
      </c>
      <c r="C90">
        <v>39.86</v>
      </c>
      <c r="D90">
        <v>-16400000</v>
      </c>
      <c r="E90">
        <v>11.81</v>
      </c>
      <c r="F90">
        <v>476000000</v>
      </c>
      <c r="G90">
        <v>83990000</v>
      </c>
      <c r="H90">
        <v>90310000</v>
      </c>
      <c r="I90">
        <v>114400000</v>
      </c>
      <c r="J90">
        <v>2799000000</v>
      </c>
      <c r="K90">
        <v>1800</v>
      </c>
      <c r="L90">
        <v>6</v>
      </c>
      <c r="M90">
        <v>1.2</v>
      </c>
      <c r="N90">
        <v>600</v>
      </c>
      <c r="O90">
        <v>6800</v>
      </c>
      <c r="P90">
        <v>2700</v>
      </c>
      <c r="Q90">
        <v>180900000</v>
      </c>
      <c r="S90">
        <v>72.02</v>
      </c>
      <c r="T90">
        <v>7</v>
      </c>
      <c r="U90">
        <v>568</v>
      </c>
      <c r="V90">
        <v>25000</v>
      </c>
      <c r="W90">
        <v>25.3</v>
      </c>
      <c r="X90">
        <v>400000</v>
      </c>
      <c r="Y90">
        <v>55.2</v>
      </c>
      <c r="Z90">
        <v>1000000</v>
      </c>
      <c r="AA90">
        <v>0.3</v>
      </c>
      <c r="AG90">
        <v>1900</v>
      </c>
      <c r="AJ90">
        <v>0</v>
      </c>
      <c r="AL90">
        <v>1593256</v>
      </c>
      <c r="AO90">
        <v>113100000</v>
      </c>
      <c r="AP90">
        <v>38400</v>
      </c>
      <c r="AQ90">
        <v>100000</v>
      </c>
      <c r="AR90">
        <v>5.38</v>
      </c>
    </row>
    <row r="91" spans="1:45" x14ac:dyDescent="0.3">
      <c r="A91" t="s">
        <v>134</v>
      </c>
      <c r="B91">
        <v>360</v>
      </c>
      <c r="C91">
        <v>40.03</v>
      </c>
      <c r="E91">
        <v>3.87</v>
      </c>
      <c r="F91">
        <v>108000000</v>
      </c>
      <c r="I91">
        <v>205000000</v>
      </c>
      <c r="J91">
        <v>768000000</v>
      </c>
      <c r="K91">
        <v>600</v>
      </c>
      <c r="L91">
        <v>4.5</v>
      </c>
      <c r="Q91">
        <v>1900000000</v>
      </c>
      <c r="S91">
        <v>22.93</v>
      </c>
      <c r="T91">
        <v>2.2000000000000002</v>
      </c>
      <c r="V91">
        <v>60000</v>
      </c>
      <c r="X91">
        <v>725000</v>
      </c>
      <c r="Y91">
        <v>71.790000000000006</v>
      </c>
      <c r="AL91">
        <v>1376289</v>
      </c>
      <c r="AP91">
        <v>95729</v>
      </c>
      <c r="AQ91">
        <v>320000</v>
      </c>
      <c r="AR91">
        <v>5.91</v>
      </c>
      <c r="AS91">
        <v>50</v>
      </c>
    </row>
    <row r="92" spans="1:45" x14ac:dyDescent="0.3">
      <c r="A92" t="s">
        <v>135</v>
      </c>
      <c r="B92">
        <v>69700</v>
      </c>
      <c r="C92">
        <v>10.25</v>
      </c>
      <c r="D92">
        <v>-632900000</v>
      </c>
      <c r="E92">
        <v>9.09</v>
      </c>
      <c r="F92">
        <v>1800000000</v>
      </c>
      <c r="G92">
        <v>6811000000</v>
      </c>
      <c r="H92">
        <v>6732000000</v>
      </c>
      <c r="I92">
        <v>909400000</v>
      </c>
      <c r="J92">
        <v>14450000000</v>
      </c>
      <c r="K92">
        <v>3100</v>
      </c>
      <c r="L92">
        <v>9.5</v>
      </c>
      <c r="M92">
        <v>0.1</v>
      </c>
      <c r="N92">
        <v>200</v>
      </c>
      <c r="O92">
        <v>3000</v>
      </c>
      <c r="P92">
        <v>20229</v>
      </c>
      <c r="Q92">
        <v>1806000000</v>
      </c>
      <c r="R92">
        <v>3</v>
      </c>
      <c r="S92">
        <v>18.59</v>
      </c>
      <c r="T92">
        <v>5.5</v>
      </c>
      <c r="U92">
        <v>5160</v>
      </c>
      <c r="V92">
        <v>150500</v>
      </c>
      <c r="W92">
        <v>18.5</v>
      </c>
      <c r="X92">
        <v>2100000</v>
      </c>
      <c r="Y92">
        <v>75.88</v>
      </c>
      <c r="Z92">
        <v>23000000</v>
      </c>
      <c r="AA92">
        <v>0.59</v>
      </c>
      <c r="AB92">
        <v>1160000000</v>
      </c>
      <c r="AC92">
        <v>0</v>
      </c>
      <c r="AD92">
        <v>1100000000</v>
      </c>
      <c r="AE92">
        <v>60000000</v>
      </c>
      <c r="AG92">
        <v>31500</v>
      </c>
      <c r="AJ92">
        <v>2000</v>
      </c>
      <c r="AL92">
        <v>4677401</v>
      </c>
      <c r="AN92">
        <v>1612</v>
      </c>
      <c r="AO92">
        <v>231400000</v>
      </c>
      <c r="AP92">
        <v>650500</v>
      </c>
      <c r="AQ92">
        <v>522300</v>
      </c>
      <c r="AR92">
        <v>1.41</v>
      </c>
      <c r="AS92">
        <v>17</v>
      </c>
    </row>
    <row r="93" spans="1:45" x14ac:dyDescent="0.3">
      <c r="A93" t="s">
        <v>136</v>
      </c>
      <c r="B93">
        <v>357021</v>
      </c>
      <c r="C93">
        <v>8.33</v>
      </c>
      <c r="D93">
        <v>73590000000</v>
      </c>
      <c r="E93">
        <v>10.55</v>
      </c>
      <c r="G93">
        <v>519500000000</v>
      </c>
      <c r="H93">
        <v>560000000000</v>
      </c>
      <c r="I93">
        <v>893300000000</v>
      </c>
      <c r="J93">
        <v>2362000000000</v>
      </c>
      <c r="K93">
        <v>28700</v>
      </c>
      <c r="L93">
        <v>1.7</v>
      </c>
      <c r="M93">
        <v>0.1</v>
      </c>
      <c r="N93">
        <v>1000</v>
      </c>
      <c r="O93">
        <v>43000</v>
      </c>
      <c r="P93">
        <v>230735</v>
      </c>
      <c r="Q93">
        <v>716700000000</v>
      </c>
      <c r="R93">
        <v>2.2000000000000002</v>
      </c>
      <c r="S93">
        <v>4.16</v>
      </c>
      <c r="T93">
        <v>1.6</v>
      </c>
      <c r="U93">
        <v>2686119</v>
      </c>
      <c r="V93">
        <v>39000000</v>
      </c>
      <c r="W93">
        <v>17.600000000000001</v>
      </c>
      <c r="X93">
        <v>42630000</v>
      </c>
      <c r="Y93">
        <v>78.650000000000006</v>
      </c>
      <c r="Z93">
        <v>35063000000</v>
      </c>
      <c r="AA93">
        <v>1.5</v>
      </c>
      <c r="AB93">
        <v>99550000000</v>
      </c>
      <c r="AC93">
        <v>7731000000</v>
      </c>
      <c r="AD93">
        <v>85020000000</v>
      </c>
      <c r="AE93">
        <v>21000000000</v>
      </c>
      <c r="AF93">
        <v>293000000000</v>
      </c>
      <c r="AG93">
        <v>2891000</v>
      </c>
      <c r="AH93">
        <v>12990</v>
      </c>
      <c r="AI93">
        <v>2135000</v>
      </c>
      <c r="AJ93">
        <v>74100</v>
      </c>
      <c r="AK93">
        <v>395800000</v>
      </c>
      <c r="AL93">
        <v>82431390</v>
      </c>
      <c r="AM93">
        <v>65.8</v>
      </c>
      <c r="AN93">
        <v>46039</v>
      </c>
      <c r="AO93">
        <v>96840000000</v>
      </c>
      <c r="AP93">
        <v>54350000</v>
      </c>
      <c r="AQ93">
        <v>64800000</v>
      </c>
      <c r="AR93">
        <v>1.39</v>
      </c>
      <c r="AS93">
        <v>10.6</v>
      </c>
    </row>
    <row r="94" spans="1:45" x14ac:dyDescent="0.3">
      <c r="A94" t="s">
        <v>137</v>
      </c>
      <c r="B94">
        <v>239460</v>
      </c>
      <c r="C94">
        <v>23.97</v>
      </c>
      <c r="D94">
        <v>83870000</v>
      </c>
      <c r="E94">
        <v>10.84</v>
      </c>
      <c r="F94">
        <v>7396000000</v>
      </c>
      <c r="G94">
        <v>6137000000</v>
      </c>
      <c r="H94">
        <v>6922000000</v>
      </c>
      <c r="I94">
        <v>3010000000</v>
      </c>
      <c r="J94">
        <v>48270000000</v>
      </c>
      <c r="K94">
        <v>2300</v>
      </c>
      <c r="L94">
        <v>5.4</v>
      </c>
      <c r="M94">
        <v>3.1</v>
      </c>
      <c r="N94">
        <v>30000</v>
      </c>
      <c r="O94">
        <v>350000</v>
      </c>
      <c r="P94">
        <v>46176</v>
      </c>
      <c r="Q94">
        <v>3699000000</v>
      </c>
      <c r="R94">
        <v>3.8</v>
      </c>
      <c r="S94">
        <v>51.43</v>
      </c>
      <c r="T94">
        <v>13</v>
      </c>
      <c r="U94">
        <v>407</v>
      </c>
      <c r="V94">
        <v>170000</v>
      </c>
      <c r="W94">
        <v>19.7</v>
      </c>
      <c r="X94">
        <v>10240000</v>
      </c>
      <c r="Y94">
        <v>56</v>
      </c>
      <c r="Z94">
        <v>49200000</v>
      </c>
      <c r="AA94">
        <v>0.6</v>
      </c>
      <c r="AF94">
        <v>11890000000</v>
      </c>
      <c r="AG94">
        <v>38000</v>
      </c>
      <c r="AJ94">
        <v>7000</v>
      </c>
      <c r="AK94">
        <v>8255000</v>
      </c>
      <c r="AL94">
        <v>21029853</v>
      </c>
      <c r="AN94">
        <v>953</v>
      </c>
      <c r="AO94">
        <v>1267000000</v>
      </c>
      <c r="AP94">
        <v>302300</v>
      </c>
      <c r="AQ94">
        <v>799900</v>
      </c>
      <c r="AR94">
        <v>3.02</v>
      </c>
      <c r="AS94">
        <v>20</v>
      </c>
    </row>
    <row r="95" spans="1:45" x14ac:dyDescent="0.3">
      <c r="A95" t="s">
        <v>138</v>
      </c>
      <c r="B95">
        <v>7</v>
      </c>
      <c r="C95">
        <v>10.87</v>
      </c>
      <c r="E95">
        <v>9.18</v>
      </c>
      <c r="G95">
        <v>96760000</v>
      </c>
      <c r="H95">
        <v>104000000</v>
      </c>
      <c r="I95">
        <v>136000000</v>
      </c>
      <c r="J95">
        <v>769000000</v>
      </c>
      <c r="K95">
        <v>27900</v>
      </c>
      <c r="P95">
        <v>29</v>
      </c>
      <c r="Q95">
        <v>1743000000</v>
      </c>
      <c r="S95">
        <v>5.13</v>
      </c>
      <c r="T95">
        <v>1.5</v>
      </c>
      <c r="V95">
        <v>6200</v>
      </c>
      <c r="X95">
        <v>14800</v>
      </c>
      <c r="Y95">
        <v>79.67</v>
      </c>
      <c r="AG95">
        <v>42000</v>
      </c>
      <c r="AJ95">
        <v>0</v>
      </c>
      <c r="AL95">
        <v>27884</v>
      </c>
      <c r="AP95">
        <v>24512</v>
      </c>
      <c r="AQ95">
        <v>9797</v>
      </c>
      <c r="AR95">
        <v>1.65</v>
      </c>
      <c r="AS95">
        <v>2</v>
      </c>
    </row>
    <row r="96" spans="1:45" x14ac:dyDescent="0.3">
      <c r="A96" t="s">
        <v>139</v>
      </c>
      <c r="B96">
        <v>5</v>
      </c>
    </row>
    <row r="97" spans="1:45" x14ac:dyDescent="0.3">
      <c r="A97" t="s">
        <v>140</v>
      </c>
      <c r="B97">
        <v>131940</v>
      </c>
      <c r="C97">
        <v>9.7200000000000006</v>
      </c>
      <c r="D97">
        <v>-8000000000</v>
      </c>
      <c r="E97">
        <v>10.15</v>
      </c>
      <c r="F97">
        <v>67230000000</v>
      </c>
      <c r="G97">
        <v>47420000000</v>
      </c>
      <c r="H97">
        <v>47220000000</v>
      </c>
      <c r="I97">
        <v>15500000000</v>
      </c>
      <c r="J97">
        <v>226400000000</v>
      </c>
      <c r="K97">
        <v>21300</v>
      </c>
      <c r="L97">
        <v>3.7</v>
      </c>
      <c r="M97">
        <v>0.2</v>
      </c>
      <c r="N97">
        <v>100</v>
      </c>
      <c r="O97">
        <v>9100</v>
      </c>
      <c r="P97">
        <v>117000</v>
      </c>
      <c r="Q97">
        <v>54280000000</v>
      </c>
      <c r="R97">
        <v>4.0999999999999996</v>
      </c>
      <c r="S97">
        <v>5.53</v>
      </c>
      <c r="T97">
        <v>2.9</v>
      </c>
      <c r="U97">
        <v>208977</v>
      </c>
      <c r="V97">
        <v>1718400</v>
      </c>
      <c r="W97">
        <v>27</v>
      </c>
      <c r="X97">
        <v>4400000</v>
      </c>
      <c r="Y97">
        <v>79.09</v>
      </c>
      <c r="Z97">
        <v>5890000000</v>
      </c>
      <c r="AA97">
        <v>4.3</v>
      </c>
      <c r="AB97">
        <v>2021000000</v>
      </c>
      <c r="AC97">
        <v>0</v>
      </c>
      <c r="AD97">
        <v>2018000000</v>
      </c>
      <c r="AE97">
        <v>35000000</v>
      </c>
      <c r="AF97">
        <v>254900000</v>
      </c>
      <c r="AG97">
        <v>405700</v>
      </c>
      <c r="AH97">
        <v>84720</v>
      </c>
      <c r="AI97">
        <v>468300</v>
      </c>
      <c r="AJ97">
        <v>5992</v>
      </c>
      <c r="AK97">
        <v>4500000</v>
      </c>
      <c r="AL97">
        <v>10668354</v>
      </c>
      <c r="AM97">
        <v>112</v>
      </c>
      <c r="AN97">
        <v>2571</v>
      </c>
      <c r="AO97">
        <v>7300000000</v>
      </c>
      <c r="AP97">
        <v>5205100</v>
      </c>
      <c r="AQ97">
        <v>8936200</v>
      </c>
      <c r="AR97">
        <v>1.33</v>
      </c>
      <c r="AS97">
        <v>10</v>
      </c>
    </row>
    <row r="98" spans="1:45" x14ac:dyDescent="0.3">
      <c r="A98" t="s">
        <v>141</v>
      </c>
      <c r="B98">
        <v>2166086</v>
      </c>
      <c r="C98">
        <v>15.93</v>
      </c>
      <c r="E98">
        <v>7.77</v>
      </c>
      <c r="F98">
        <v>25000000</v>
      </c>
      <c r="G98">
        <v>227900000</v>
      </c>
      <c r="H98">
        <v>245000000</v>
      </c>
      <c r="I98">
        <v>388000000</v>
      </c>
      <c r="J98">
        <v>1100000000</v>
      </c>
      <c r="K98">
        <v>20000</v>
      </c>
      <c r="L98">
        <v>1.8</v>
      </c>
      <c r="O98">
        <v>100</v>
      </c>
      <c r="Q98">
        <v>445000000</v>
      </c>
      <c r="S98">
        <v>15.82</v>
      </c>
      <c r="T98">
        <v>1.6</v>
      </c>
      <c r="U98">
        <v>2642</v>
      </c>
      <c r="V98">
        <v>20000</v>
      </c>
      <c r="X98">
        <v>24500</v>
      </c>
      <c r="Y98">
        <v>69.650000000000006</v>
      </c>
      <c r="AG98">
        <v>3700</v>
      </c>
      <c r="AJ98">
        <v>0</v>
      </c>
      <c r="AL98">
        <v>56375</v>
      </c>
      <c r="AP98">
        <v>26000</v>
      </c>
      <c r="AQ98">
        <v>16747</v>
      </c>
      <c r="AR98">
        <v>2.41</v>
      </c>
      <c r="AS98">
        <v>10</v>
      </c>
    </row>
    <row r="99" spans="1:45" x14ac:dyDescent="0.3">
      <c r="A99" t="s">
        <v>142</v>
      </c>
      <c r="B99">
        <v>344</v>
      </c>
      <c r="C99">
        <v>22.3</v>
      </c>
      <c r="E99">
        <v>7.17</v>
      </c>
      <c r="F99">
        <v>196000000</v>
      </c>
      <c r="G99">
        <v>138600000</v>
      </c>
      <c r="H99">
        <v>149000000</v>
      </c>
      <c r="I99">
        <v>46000000</v>
      </c>
      <c r="J99">
        <v>440000000</v>
      </c>
      <c r="K99">
        <v>5000</v>
      </c>
      <c r="L99">
        <v>2.5</v>
      </c>
      <c r="P99">
        <v>1040</v>
      </c>
      <c r="Q99">
        <v>208000000</v>
      </c>
      <c r="R99">
        <v>0.7</v>
      </c>
      <c r="S99">
        <v>14.62</v>
      </c>
      <c r="T99">
        <v>2.8</v>
      </c>
      <c r="U99">
        <v>18</v>
      </c>
      <c r="V99">
        <v>15000</v>
      </c>
      <c r="X99">
        <v>42300</v>
      </c>
      <c r="Y99">
        <v>64.53</v>
      </c>
      <c r="AG99">
        <v>1000</v>
      </c>
      <c r="AJ99">
        <v>0</v>
      </c>
      <c r="AL99">
        <v>89502</v>
      </c>
      <c r="AP99">
        <v>33500</v>
      </c>
      <c r="AQ99">
        <v>7600</v>
      </c>
      <c r="AR99">
        <v>2.37</v>
      </c>
      <c r="AS99">
        <v>12.5</v>
      </c>
    </row>
    <row r="100" spans="1:45" x14ac:dyDescent="0.3">
      <c r="A100" t="s">
        <v>143</v>
      </c>
      <c r="B100">
        <v>1780</v>
      </c>
      <c r="C100">
        <v>15.42</v>
      </c>
      <c r="E100">
        <v>6.06</v>
      </c>
      <c r="G100">
        <v>1079000000</v>
      </c>
      <c r="H100">
        <v>1160000000</v>
      </c>
      <c r="I100">
        <v>140000000</v>
      </c>
      <c r="J100">
        <v>3513000000</v>
      </c>
      <c r="K100">
        <v>7900</v>
      </c>
      <c r="P100">
        <v>947</v>
      </c>
      <c r="Q100">
        <v>1700000000</v>
      </c>
      <c r="S100">
        <v>8.6</v>
      </c>
      <c r="V100">
        <v>20000</v>
      </c>
      <c r="X100">
        <v>125900</v>
      </c>
      <c r="Y100">
        <v>77.900000000000006</v>
      </c>
      <c r="AG100">
        <v>13000</v>
      </c>
      <c r="AJ100">
        <v>0</v>
      </c>
      <c r="AL100">
        <v>448713</v>
      </c>
      <c r="AP100">
        <v>210000</v>
      </c>
      <c r="AQ100">
        <v>323500</v>
      </c>
      <c r="AR100">
        <v>1.91</v>
      </c>
      <c r="AS100">
        <v>27.8</v>
      </c>
    </row>
    <row r="101" spans="1:45" x14ac:dyDescent="0.3">
      <c r="A101" t="s">
        <v>144</v>
      </c>
      <c r="B101">
        <v>549</v>
      </c>
      <c r="C101">
        <v>19.03</v>
      </c>
      <c r="E101">
        <v>4.41</v>
      </c>
      <c r="G101">
        <v>776600000</v>
      </c>
      <c r="H101">
        <v>835000000</v>
      </c>
      <c r="I101">
        <v>38000000</v>
      </c>
      <c r="J101">
        <v>3200000000</v>
      </c>
      <c r="K101">
        <v>21000</v>
      </c>
      <c r="P101">
        <v>977</v>
      </c>
      <c r="Q101">
        <v>462000000</v>
      </c>
      <c r="S101">
        <v>6.94</v>
      </c>
      <c r="T101">
        <v>0</v>
      </c>
      <c r="V101">
        <v>50000</v>
      </c>
      <c r="X101">
        <v>60000</v>
      </c>
      <c r="Y101">
        <v>78.400000000000006</v>
      </c>
      <c r="AG101">
        <v>20000</v>
      </c>
      <c r="AJ101">
        <v>0</v>
      </c>
      <c r="AL101">
        <v>168564</v>
      </c>
      <c r="AP101">
        <v>84134</v>
      </c>
      <c r="AQ101">
        <v>32600</v>
      </c>
      <c r="AR101">
        <v>2.6</v>
      </c>
      <c r="AS101">
        <v>15</v>
      </c>
    </row>
    <row r="102" spans="1:45" x14ac:dyDescent="0.3">
      <c r="A102" t="s">
        <v>145</v>
      </c>
      <c r="B102">
        <v>108890</v>
      </c>
      <c r="C102">
        <v>34.11</v>
      </c>
      <c r="D102">
        <v>-1381000000</v>
      </c>
      <c r="E102">
        <v>6.81</v>
      </c>
      <c r="F102">
        <v>5969000000</v>
      </c>
      <c r="G102">
        <v>5760000000</v>
      </c>
      <c r="H102">
        <v>6608000000</v>
      </c>
      <c r="I102">
        <v>2911000000</v>
      </c>
      <c r="J102">
        <v>59470000000</v>
      </c>
      <c r="K102">
        <v>4200</v>
      </c>
      <c r="L102">
        <v>2.6</v>
      </c>
      <c r="M102">
        <v>1.1000000000000001</v>
      </c>
      <c r="N102">
        <v>5800</v>
      </c>
      <c r="O102">
        <v>78000</v>
      </c>
      <c r="P102">
        <v>14118</v>
      </c>
      <c r="Q102">
        <v>7770000000</v>
      </c>
      <c r="R102">
        <v>4.0999999999999996</v>
      </c>
      <c r="S102">
        <v>35.93</v>
      </c>
      <c r="T102">
        <v>7.2</v>
      </c>
      <c r="U102">
        <v>20360</v>
      </c>
      <c r="V102">
        <v>400000</v>
      </c>
      <c r="W102">
        <v>14.9</v>
      </c>
      <c r="X102">
        <v>3680000</v>
      </c>
      <c r="Y102">
        <v>65.14</v>
      </c>
      <c r="Z102">
        <v>201900000</v>
      </c>
      <c r="AA102">
        <v>0.8</v>
      </c>
      <c r="AF102">
        <v>1543000000</v>
      </c>
      <c r="AG102">
        <v>61000</v>
      </c>
      <c r="AH102">
        <v>3104</v>
      </c>
      <c r="AJ102">
        <v>25000</v>
      </c>
      <c r="AK102">
        <v>263000000</v>
      </c>
      <c r="AL102">
        <v>14655189</v>
      </c>
      <c r="AM102">
        <v>32</v>
      </c>
      <c r="AN102">
        <v>886</v>
      </c>
      <c r="AO102">
        <v>3084000000</v>
      </c>
      <c r="AP102">
        <v>846000</v>
      </c>
      <c r="AQ102">
        <v>1577100</v>
      </c>
      <c r="AR102">
        <v>4.53</v>
      </c>
      <c r="AS102">
        <v>7.5</v>
      </c>
    </row>
    <row r="103" spans="1:45" x14ac:dyDescent="0.3">
      <c r="A103" t="s">
        <v>146</v>
      </c>
      <c r="B103">
        <v>78</v>
      </c>
      <c r="C103">
        <v>9.01</v>
      </c>
      <c r="E103">
        <v>9.9499999999999993</v>
      </c>
      <c r="J103">
        <v>2590000000</v>
      </c>
      <c r="K103">
        <v>40000</v>
      </c>
      <c r="L103">
        <v>3</v>
      </c>
      <c r="S103">
        <v>4.71</v>
      </c>
      <c r="T103">
        <v>4.9000000000000004</v>
      </c>
      <c r="X103">
        <v>32290</v>
      </c>
      <c r="Y103">
        <v>80.3</v>
      </c>
      <c r="AL103">
        <v>65228</v>
      </c>
      <c r="AP103">
        <v>55000</v>
      </c>
      <c r="AQ103">
        <v>31500</v>
      </c>
      <c r="AR103">
        <v>1.38</v>
      </c>
      <c r="AS103">
        <v>0.5</v>
      </c>
    </row>
    <row r="104" spans="1:45" x14ac:dyDescent="0.3">
      <c r="A104" t="s">
        <v>147</v>
      </c>
      <c r="B104">
        <v>245857</v>
      </c>
      <c r="C104">
        <v>42.03</v>
      </c>
      <c r="D104">
        <v>-308300000</v>
      </c>
      <c r="E104">
        <v>15.38</v>
      </c>
      <c r="F104">
        <v>3250000000</v>
      </c>
      <c r="G104">
        <v>795200000</v>
      </c>
      <c r="H104">
        <v>855000000</v>
      </c>
      <c r="I104">
        <v>709200000</v>
      </c>
      <c r="J104">
        <v>19500000000</v>
      </c>
      <c r="K104">
        <v>2100</v>
      </c>
      <c r="L104">
        <v>1</v>
      </c>
      <c r="M104">
        <v>3.2</v>
      </c>
      <c r="N104">
        <v>9000</v>
      </c>
      <c r="O104">
        <v>140000</v>
      </c>
      <c r="P104">
        <v>30500</v>
      </c>
      <c r="Q104">
        <v>641500000</v>
      </c>
      <c r="R104">
        <v>3.2</v>
      </c>
      <c r="S104">
        <v>90.37</v>
      </c>
      <c r="T104">
        <v>18</v>
      </c>
      <c r="U104">
        <v>380</v>
      </c>
      <c r="V104">
        <v>40000</v>
      </c>
      <c r="W104">
        <v>21</v>
      </c>
      <c r="X104">
        <v>3000000</v>
      </c>
      <c r="Y104">
        <v>49.86</v>
      </c>
      <c r="Z104">
        <v>56700000</v>
      </c>
      <c r="AA104">
        <v>1.7</v>
      </c>
      <c r="AG104">
        <v>8600</v>
      </c>
      <c r="AJ104">
        <v>0</v>
      </c>
      <c r="AL104">
        <v>9467866</v>
      </c>
      <c r="AN104">
        <v>837</v>
      </c>
      <c r="AO104">
        <v>201700000</v>
      </c>
      <c r="AP104">
        <v>26200</v>
      </c>
      <c r="AQ104">
        <v>111500</v>
      </c>
      <c r="AR104">
        <v>5.83</v>
      </c>
    </row>
    <row r="105" spans="1:45" x14ac:dyDescent="0.3">
      <c r="A105" t="s">
        <v>148</v>
      </c>
      <c r="B105">
        <v>36120</v>
      </c>
      <c r="C105">
        <v>37.65</v>
      </c>
      <c r="E105">
        <v>16.53</v>
      </c>
      <c r="F105">
        <v>941500000</v>
      </c>
      <c r="G105">
        <v>51150000</v>
      </c>
      <c r="H105">
        <v>55000000</v>
      </c>
      <c r="I105">
        <v>54000000</v>
      </c>
      <c r="J105">
        <v>1008000000</v>
      </c>
      <c r="K105">
        <v>700</v>
      </c>
      <c r="L105">
        <v>2.6</v>
      </c>
      <c r="M105">
        <v>10</v>
      </c>
      <c r="N105">
        <v>1200</v>
      </c>
      <c r="O105">
        <v>17000</v>
      </c>
      <c r="P105">
        <v>4400</v>
      </c>
      <c r="Q105">
        <v>104000000</v>
      </c>
      <c r="R105">
        <v>2.6</v>
      </c>
      <c r="S105">
        <v>107.17</v>
      </c>
      <c r="T105">
        <v>4</v>
      </c>
      <c r="U105">
        <v>2</v>
      </c>
      <c r="V105">
        <v>19000</v>
      </c>
      <c r="X105">
        <v>480000</v>
      </c>
      <c r="Y105">
        <v>46.97</v>
      </c>
      <c r="Z105">
        <v>8900000</v>
      </c>
      <c r="AA105">
        <v>3.1</v>
      </c>
      <c r="AG105">
        <v>2500</v>
      </c>
      <c r="AJ105">
        <v>0</v>
      </c>
      <c r="AL105">
        <v>1416027</v>
      </c>
      <c r="AP105">
        <v>10600</v>
      </c>
      <c r="AQ105">
        <v>1300</v>
      </c>
      <c r="AR105">
        <v>4.93</v>
      </c>
    </row>
    <row r="106" spans="1:45" x14ac:dyDescent="0.3">
      <c r="A106" t="s">
        <v>149</v>
      </c>
      <c r="B106">
        <v>214970</v>
      </c>
      <c r="C106">
        <v>18.45</v>
      </c>
      <c r="D106">
        <v>-129400000</v>
      </c>
      <c r="E106">
        <v>8.32</v>
      </c>
      <c r="F106">
        <v>1200000000</v>
      </c>
      <c r="G106">
        <v>751400000</v>
      </c>
      <c r="H106">
        <v>808000000</v>
      </c>
      <c r="I106">
        <v>570200000</v>
      </c>
      <c r="J106">
        <v>2899000000</v>
      </c>
      <c r="K106">
        <v>3800</v>
      </c>
      <c r="L106">
        <v>1.9</v>
      </c>
      <c r="M106">
        <v>2.5</v>
      </c>
      <c r="N106">
        <v>1100</v>
      </c>
      <c r="O106">
        <v>11000</v>
      </c>
      <c r="P106">
        <v>7970</v>
      </c>
      <c r="Q106">
        <v>650100000</v>
      </c>
      <c r="R106">
        <v>7.1</v>
      </c>
      <c r="S106">
        <v>33.26</v>
      </c>
      <c r="T106">
        <v>4.5</v>
      </c>
      <c r="U106">
        <v>613</v>
      </c>
      <c r="V106">
        <v>125000</v>
      </c>
      <c r="W106">
        <v>34.5</v>
      </c>
      <c r="X106">
        <v>418000</v>
      </c>
      <c r="Y106">
        <v>65.5</v>
      </c>
      <c r="Z106">
        <v>6500000</v>
      </c>
      <c r="AA106">
        <v>0.9</v>
      </c>
      <c r="AG106">
        <v>11000</v>
      </c>
      <c r="AJ106">
        <v>0</v>
      </c>
      <c r="AL106">
        <v>765283</v>
      </c>
      <c r="AN106">
        <v>187</v>
      </c>
      <c r="AO106">
        <v>280600000</v>
      </c>
      <c r="AP106">
        <v>80400</v>
      </c>
      <c r="AQ106">
        <v>87300</v>
      </c>
      <c r="AR106">
        <v>2.0499999999999998</v>
      </c>
    </row>
    <row r="107" spans="1:45" x14ac:dyDescent="0.3">
      <c r="A107" t="s">
        <v>150</v>
      </c>
      <c r="B107">
        <v>27750</v>
      </c>
      <c r="C107">
        <v>36.590000000000003</v>
      </c>
      <c r="D107">
        <v>-27630000</v>
      </c>
      <c r="E107">
        <v>12.34</v>
      </c>
      <c r="F107">
        <v>1200000000</v>
      </c>
      <c r="G107">
        <v>574700000</v>
      </c>
      <c r="H107">
        <v>618000000</v>
      </c>
      <c r="I107">
        <v>338100000</v>
      </c>
      <c r="J107">
        <v>12050000000</v>
      </c>
      <c r="K107">
        <v>1500</v>
      </c>
      <c r="L107">
        <v>-3.5</v>
      </c>
      <c r="M107">
        <v>5.6</v>
      </c>
      <c r="N107">
        <v>24000</v>
      </c>
      <c r="O107">
        <v>280000</v>
      </c>
      <c r="P107">
        <v>4160</v>
      </c>
      <c r="Q107">
        <v>1085000000</v>
      </c>
      <c r="S107">
        <v>73.45</v>
      </c>
      <c r="T107">
        <v>22</v>
      </c>
      <c r="V107">
        <v>80000</v>
      </c>
      <c r="X107">
        <v>3600000</v>
      </c>
      <c r="Y107">
        <v>52.92</v>
      </c>
      <c r="Z107">
        <v>26000000</v>
      </c>
      <c r="AA107">
        <v>0.9</v>
      </c>
      <c r="AG107">
        <v>11000</v>
      </c>
      <c r="AJ107">
        <v>0</v>
      </c>
      <c r="AL107">
        <v>8121622</v>
      </c>
      <c r="AO107">
        <v>80640000</v>
      </c>
      <c r="AP107">
        <v>130000</v>
      </c>
      <c r="AQ107">
        <v>140000</v>
      </c>
      <c r="AR107">
        <v>5.0199999999999996</v>
      </c>
    </row>
    <row r="108" spans="1:45" x14ac:dyDescent="0.3">
      <c r="A108" t="s">
        <v>151</v>
      </c>
      <c r="B108">
        <v>412</v>
      </c>
    </row>
    <row r="109" spans="1:45" x14ac:dyDescent="0.3">
      <c r="A109" t="s">
        <v>152</v>
      </c>
      <c r="B109">
        <v>0</v>
      </c>
      <c r="U109">
        <v>9</v>
      </c>
      <c r="AL109">
        <v>921</v>
      </c>
    </row>
    <row r="110" spans="1:45" x14ac:dyDescent="0.3">
      <c r="A110" t="s">
        <v>153</v>
      </c>
      <c r="B110">
        <v>112090</v>
      </c>
      <c r="C110">
        <v>30.38</v>
      </c>
      <c r="D110">
        <v>258300000</v>
      </c>
      <c r="E110">
        <v>6.87</v>
      </c>
      <c r="F110">
        <v>5365000000</v>
      </c>
      <c r="G110">
        <v>3771000000</v>
      </c>
      <c r="H110">
        <v>3626000000</v>
      </c>
      <c r="I110">
        <v>1457000000</v>
      </c>
      <c r="J110">
        <v>18790000000</v>
      </c>
      <c r="K110">
        <v>2800</v>
      </c>
      <c r="L110">
        <v>4.2</v>
      </c>
      <c r="M110">
        <v>1.8</v>
      </c>
      <c r="N110">
        <v>4100</v>
      </c>
      <c r="O110">
        <v>63000</v>
      </c>
      <c r="P110">
        <v>13603</v>
      </c>
      <c r="Q110">
        <v>3332000000</v>
      </c>
      <c r="R110">
        <v>7.7</v>
      </c>
      <c r="S110">
        <v>29.32</v>
      </c>
      <c r="T110">
        <v>7</v>
      </c>
      <c r="U110">
        <v>1944</v>
      </c>
      <c r="V110">
        <v>168600</v>
      </c>
      <c r="W110">
        <v>24.1</v>
      </c>
      <c r="X110">
        <v>2470000</v>
      </c>
      <c r="Y110">
        <v>65.599999999999994</v>
      </c>
      <c r="Z110">
        <v>100600000</v>
      </c>
      <c r="AA110">
        <v>1.4</v>
      </c>
      <c r="AG110">
        <v>29000</v>
      </c>
      <c r="AJ110">
        <v>0</v>
      </c>
      <c r="AL110">
        <v>6975204</v>
      </c>
      <c r="AM110">
        <v>74.099999999999994</v>
      </c>
      <c r="AN110">
        <v>699</v>
      </c>
      <c r="AO110">
        <v>1464000000</v>
      </c>
      <c r="AP110">
        <v>322500</v>
      </c>
      <c r="AQ110">
        <v>326500</v>
      </c>
      <c r="AR110">
        <v>3.87</v>
      </c>
      <c r="AS110">
        <v>28.5</v>
      </c>
    </row>
    <row r="111" spans="1:45" x14ac:dyDescent="0.3">
      <c r="A111" t="s">
        <v>154</v>
      </c>
      <c r="B111">
        <v>1092</v>
      </c>
      <c r="C111">
        <v>7.23</v>
      </c>
      <c r="D111">
        <v>14850000000</v>
      </c>
      <c r="E111">
        <v>5.98</v>
      </c>
      <c r="F111">
        <v>417600000000</v>
      </c>
      <c r="G111">
        <v>38450000000</v>
      </c>
      <c r="H111">
        <v>35510000000</v>
      </c>
      <c r="I111">
        <v>268100000000</v>
      </c>
      <c r="J111">
        <v>234500000000</v>
      </c>
      <c r="K111">
        <v>34200</v>
      </c>
      <c r="L111">
        <v>7.9</v>
      </c>
      <c r="M111">
        <v>0.1</v>
      </c>
      <c r="N111">
        <v>200</v>
      </c>
      <c r="O111">
        <v>2600</v>
      </c>
      <c r="P111">
        <v>1831</v>
      </c>
      <c r="Q111">
        <v>275900000000</v>
      </c>
      <c r="R111">
        <v>1</v>
      </c>
      <c r="S111">
        <v>2.97</v>
      </c>
      <c r="T111">
        <v>-0.3</v>
      </c>
      <c r="U111">
        <v>591993</v>
      </c>
      <c r="V111">
        <v>3212800</v>
      </c>
      <c r="W111">
        <v>22.7</v>
      </c>
      <c r="X111">
        <v>3540000</v>
      </c>
      <c r="Y111">
        <v>81.39</v>
      </c>
      <c r="AB111">
        <v>680900000</v>
      </c>
      <c r="AC111">
        <v>0</v>
      </c>
      <c r="AD111">
        <v>680900000</v>
      </c>
      <c r="AG111">
        <v>257000</v>
      </c>
      <c r="AJ111">
        <v>0</v>
      </c>
      <c r="AL111">
        <v>6898686</v>
      </c>
      <c r="AM111">
        <v>2.1</v>
      </c>
      <c r="AO111">
        <v>123600000000</v>
      </c>
      <c r="AP111">
        <v>3801300</v>
      </c>
      <c r="AQ111">
        <v>7241400</v>
      </c>
      <c r="AR111">
        <v>0.91</v>
      </c>
      <c r="AS111">
        <v>6.7</v>
      </c>
    </row>
    <row r="112" spans="1:45" x14ac:dyDescent="0.3">
      <c r="A112" t="s">
        <v>155</v>
      </c>
      <c r="B112">
        <v>2</v>
      </c>
    </row>
    <row r="113" spans="1:45" x14ac:dyDescent="0.3">
      <c r="A113" t="s">
        <v>156</v>
      </c>
      <c r="B113">
        <v>93030</v>
      </c>
      <c r="C113">
        <v>9.76</v>
      </c>
      <c r="D113">
        <v>-7941000000</v>
      </c>
      <c r="E113">
        <v>13.19</v>
      </c>
      <c r="F113">
        <v>57000000000</v>
      </c>
      <c r="G113">
        <v>35990000000</v>
      </c>
      <c r="H113">
        <v>34070000000</v>
      </c>
      <c r="I113">
        <v>54620000000</v>
      </c>
      <c r="J113">
        <v>149300000000</v>
      </c>
      <c r="K113">
        <v>14900</v>
      </c>
      <c r="L113">
        <v>3.9</v>
      </c>
      <c r="M113">
        <v>0.1</v>
      </c>
      <c r="N113">
        <v>100</v>
      </c>
      <c r="O113">
        <v>2800</v>
      </c>
      <c r="P113">
        <v>159568</v>
      </c>
      <c r="Q113">
        <v>58680000000</v>
      </c>
      <c r="R113">
        <v>9.6</v>
      </c>
      <c r="S113">
        <v>8.57</v>
      </c>
      <c r="T113">
        <v>7</v>
      </c>
      <c r="U113">
        <v>383071</v>
      </c>
      <c r="V113">
        <v>1600000</v>
      </c>
      <c r="W113">
        <v>22.8</v>
      </c>
      <c r="X113">
        <v>4170000</v>
      </c>
      <c r="Y113">
        <v>72.400000000000006</v>
      </c>
      <c r="Z113">
        <v>1080000000</v>
      </c>
      <c r="AA113">
        <v>1.75</v>
      </c>
      <c r="AB113">
        <v>13370000000</v>
      </c>
      <c r="AC113">
        <v>4000000</v>
      </c>
      <c r="AD113">
        <v>9587000000</v>
      </c>
      <c r="AE113">
        <v>3231000000</v>
      </c>
      <c r="AF113">
        <v>50450000000</v>
      </c>
      <c r="AG113">
        <v>140700</v>
      </c>
      <c r="AH113">
        <v>47180</v>
      </c>
      <c r="AI113">
        <v>136600</v>
      </c>
      <c r="AJ113">
        <v>41190</v>
      </c>
      <c r="AK113">
        <v>110700000</v>
      </c>
      <c r="AL113">
        <v>10006835</v>
      </c>
      <c r="AM113">
        <v>58.3</v>
      </c>
      <c r="AN113">
        <v>7937</v>
      </c>
      <c r="AO113">
        <v>14800000000</v>
      </c>
      <c r="AP113">
        <v>3666400</v>
      </c>
      <c r="AQ113">
        <v>6862800</v>
      </c>
      <c r="AR113">
        <v>1.32</v>
      </c>
      <c r="AS113">
        <v>5.9</v>
      </c>
    </row>
    <row r="114" spans="1:45" x14ac:dyDescent="0.3">
      <c r="A114" t="s">
        <v>157</v>
      </c>
      <c r="B114">
        <v>103000</v>
      </c>
      <c r="C114">
        <v>13.73</v>
      </c>
      <c r="D114">
        <v>-570000000</v>
      </c>
      <c r="E114">
        <v>6.68</v>
      </c>
      <c r="F114">
        <v>3073000000</v>
      </c>
      <c r="G114">
        <v>7692000000</v>
      </c>
      <c r="H114">
        <v>8271000000</v>
      </c>
      <c r="I114">
        <v>2902000000</v>
      </c>
      <c r="J114">
        <v>9373000000</v>
      </c>
      <c r="K114">
        <v>31900</v>
      </c>
      <c r="L114">
        <v>1.8</v>
      </c>
      <c r="M114">
        <v>0.2</v>
      </c>
      <c r="N114">
        <v>100</v>
      </c>
      <c r="O114">
        <v>220</v>
      </c>
      <c r="P114">
        <v>13004</v>
      </c>
      <c r="Q114">
        <v>3307000000</v>
      </c>
      <c r="R114">
        <v>8.8000000000000007</v>
      </c>
      <c r="S114">
        <v>3.31</v>
      </c>
      <c r="T114">
        <v>4</v>
      </c>
      <c r="U114">
        <v>122175</v>
      </c>
      <c r="V114">
        <v>195000</v>
      </c>
      <c r="W114">
        <v>23.8</v>
      </c>
      <c r="X114">
        <v>158100</v>
      </c>
      <c r="Y114">
        <v>80.19</v>
      </c>
      <c r="AG114">
        <v>16300</v>
      </c>
      <c r="AH114">
        <v>0</v>
      </c>
      <c r="AI114">
        <v>15470</v>
      </c>
      <c r="AJ114">
        <v>0</v>
      </c>
      <c r="AL114">
        <v>296737</v>
      </c>
      <c r="AM114">
        <v>35.9</v>
      </c>
      <c r="AO114">
        <v>935000000</v>
      </c>
      <c r="AP114">
        <v>190700</v>
      </c>
      <c r="AQ114">
        <v>279100</v>
      </c>
      <c r="AR114">
        <v>1.92</v>
      </c>
      <c r="AS114">
        <v>3.1</v>
      </c>
    </row>
    <row r="115" spans="1:45" x14ac:dyDescent="0.3">
      <c r="A115" t="s">
        <v>158</v>
      </c>
      <c r="B115">
        <v>3287590</v>
      </c>
      <c r="C115">
        <v>22.32</v>
      </c>
      <c r="D115">
        <v>4897000000</v>
      </c>
      <c r="E115">
        <v>8.2799999999999994</v>
      </c>
      <c r="F115">
        <v>117200000000</v>
      </c>
      <c r="G115">
        <v>510100000000</v>
      </c>
      <c r="H115">
        <v>547200000000</v>
      </c>
      <c r="I115">
        <v>69180000000</v>
      </c>
      <c r="J115">
        <v>3319000000000</v>
      </c>
      <c r="K115">
        <v>3100</v>
      </c>
      <c r="L115">
        <v>6.2</v>
      </c>
      <c r="M115">
        <v>0.9</v>
      </c>
      <c r="N115">
        <v>310000</v>
      </c>
      <c r="O115">
        <v>5100000</v>
      </c>
      <c r="P115">
        <v>2525989</v>
      </c>
      <c r="Q115">
        <v>89330000000</v>
      </c>
      <c r="R115">
        <v>7.4</v>
      </c>
      <c r="S115">
        <v>56.29</v>
      </c>
      <c r="T115">
        <v>4.2</v>
      </c>
      <c r="U115">
        <v>86871</v>
      </c>
      <c r="V115">
        <v>18481000</v>
      </c>
      <c r="W115">
        <v>23.8</v>
      </c>
      <c r="X115">
        <v>482200000</v>
      </c>
      <c r="Y115">
        <v>64.349999999999994</v>
      </c>
      <c r="Z115">
        <v>16970000000</v>
      </c>
      <c r="AA115">
        <v>2.5</v>
      </c>
      <c r="AB115">
        <v>22750000000</v>
      </c>
      <c r="AC115">
        <v>0</v>
      </c>
      <c r="AD115">
        <v>0</v>
      </c>
      <c r="AE115">
        <v>22750000000</v>
      </c>
      <c r="AF115">
        <v>542400000000</v>
      </c>
      <c r="AG115">
        <v>2130000</v>
      </c>
      <c r="AJ115">
        <v>780000</v>
      </c>
      <c r="AK115">
        <v>5700000000</v>
      </c>
      <c r="AL115">
        <v>1080264388</v>
      </c>
      <c r="AM115">
        <v>59.7</v>
      </c>
      <c r="AN115">
        <v>63140</v>
      </c>
      <c r="AO115">
        <v>126000000000</v>
      </c>
      <c r="AP115">
        <v>48917000</v>
      </c>
      <c r="AQ115">
        <v>26154400</v>
      </c>
      <c r="AR115">
        <v>2.78</v>
      </c>
      <c r="AS115">
        <v>9.1999999999999993</v>
      </c>
    </row>
    <row r="116" spans="1:45" x14ac:dyDescent="0.3">
      <c r="A116" t="s">
        <v>159</v>
      </c>
      <c r="B116">
        <v>1919440</v>
      </c>
      <c r="C116">
        <v>20.71</v>
      </c>
      <c r="D116">
        <v>7338000000</v>
      </c>
      <c r="E116">
        <v>6.25</v>
      </c>
      <c r="F116">
        <v>141500000000</v>
      </c>
      <c r="G116">
        <v>92350000000</v>
      </c>
      <c r="H116">
        <v>110200000000</v>
      </c>
      <c r="I116">
        <v>69860000000</v>
      </c>
      <c r="J116">
        <v>827400000000</v>
      </c>
      <c r="K116">
        <v>3500</v>
      </c>
      <c r="L116">
        <v>4.9000000000000004</v>
      </c>
      <c r="M116">
        <v>0.1</v>
      </c>
      <c r="N116">
        <v>2400</v>
      </c>
      <c r="O116">
        <v>110000</v>
      </c>
      <c r="P116">
        <v>342700</v>
      </c>
      <c r="Q116">
        <v>45070000000</v>
      </c>
      <c r="R116">
        <v>10.5</v>
      </c>
      <c r="S116">
        <v>35.6</v>
      </c>
      <c r="T116">
        <v>6.1</v>
      </c>
      <c r="U116">
        <v>62036</v>
      </c>
      <c r="V116">
        <v>8000000</v>
      </c>
      <c r="W116">
        <v>16.600000000000001</v>
      </c>
      <c r="X116">
        <v>111500000</v>
      </c>
      <c r="Y116">
        <v>69.569999999999993</v>
      </c>
      <c r="Z116">
        <v>1300000000</v>
      </c>
      <c r="AA116">
        <v>3</v>
      </c>
      <c r="AB116">
        <v>55300000000</v>
      </c>
      <c r="AC116">
        <v>39700000000</v>
      </c>
      <c r="AD116">
        <v>0</v>
      </c>
      <c r="AE116">
        <v>77600000000</v>
      </c>
      <c r="AF116">
        <v>2549000000000</v>
      </c>
      <c r="AG116">
        <v>1183000</v>
      </c>
      <c r="AH116">
        <v>518100</v>
      </c>
      <c r="AI116">
        <v>370500</v>
      </c>
      <c r="AJ116">
        <v>971000</v>
      </c>
      <c r="AK116">
        <v>4900000000</v>
      </c>
      <c r="AL116">
        <v>241973879</v>
      </c>
      <c r="AM116">
        <v>56.2</v>
      </c>
      <c r="AN116">
        <v>6458</v>
      </c>
      <c r="AO116">
        <v>35820000000</v>
      </c>
      <c r="AP116">
        <v>7750000</v>
      </c>
      <c r="AQ116">
        <v>11700000</v>
      </c>
      <c r="AR116">
        <v>2.44</v>
      </c>
      <c r="AS116">
        <v>9.1999999999999993</v>
      </c>
    </row>
    <row r="117" spans="1:45" x14ac:dyDescent="0.3">
      <c r="A117" t="s">
        <v>160</v>
      </c>
      <c r="B117">
        <v>1648000</v>
      </c>
      <c r="C117">
        <v>16.829999999999998</v>
      </c>
      <c r="D117">
        <v>2100000000</v>
      </c>
      <c r="E117">
        <v>5.55</v>
      </c>
      <c r="F117">
        <v>13400000000</v>
      </c>
      <c r="G117">
        <v>119900000000</v>
      </c>
      <c r="H117">
        <v>129000000000</v>
      </c>
      <c r="I117">
        <v>38790000000</v>
      </c>
      <c r="J117">
        <v>516700000000</v>
      </c>
      <c r="K117">
        <v>7700</v>
      </c>
      <c r="L117">
        <v>6.3</v>
      </c>
      <c r="M117">
        <v>0.1</v>
      </c>
      <c r="N117">
        <v>800</v>
      </c>
      <c r="O117">
        <v>31000</v>
      </c>
      <c r="P117">
        <v>167157</v>
      </c>
      <c r="Q117">
        <v>31300000000</v>
      </c>
      <c r="R117">
        <v>3.5</v>
      </c>
      <c r="S117">
        <v>41.58</v>
      </c>
      <c r="T117">
        <v>15.5</v>
      </c>
      <c r="U117">
        <v>5269</v>
      </c>
      <c r="V117">
        <v>4300000</v>
      </c>
      <c r="W117">
        <v>31.3</v>
      </c>
      <c r="X117">
        <v>23000000</v>
      </c>
      <c r="Y117">
        <v>69.959999999999994</v>
      </c>
      <c r="Z117">
        <v>4300000000</v>
      </c>
      <c r="AA117">
        <v>3.3</v>
      </c>
      <c r="AB117">
        <v>72400000000</v>
      </c>
      <c r="AC117">
        <v>3400000000</v>
      </c>
      <c r="AD117">
        <v>4920000000</v>
      </c>
      <c r="AE117">
        <v>79000000000</v>
      </c>
      <c r="AF117">
        <v>26700000000000</v>
      </c>
      <c r="AG117">
        <v>1400000</v>
      </c>
      <c r="AH117">
        <v>2500000</v>
      </c>
      <c r="AJ117">
        <v>3962000</v>
      </c>
      <c r="AK117">
        <v>130800000000</v>
      </c>
      <c r="AL117">
        <v>68017860</v>
      </c>
      <c r="AM117">
        <v>27</v>
      </c>
      <c r="AN117">
        <v>7203</v>
      </c>
      <c r="AO117">
        <v>29870000000</v>
      </c>
      <c r="AP117">
        <v>14571100</v>
      </c>
      <c r="AQ117">
        <v>3376500</v>
      </c>
      <c r="AR117">
        <v>1.82</v>
      </c>
      <c r="AS117">
        <v>11.2</v>
      </c>
    </row>
    <row r="118" spans="1:45" x14ac:dyDescent="0.3">
      <c r="A118" t="s">
        <v>161</v>
      </c>
      <c r="B118">
        <v>437072</v>
      </c>
      <c r="C118">
        <v>32.5</v>
      </c>
      <c r="D118">
        <v>-560000000</v>
      </c>
      <c r="E118">
        <v>5.49</v>
      </c>
      <c r="F118">
        <v>125000000000</v>
      </c>
      <c r="G118">
        <v>33700000000</v>
      </c>
      <c r="H118">
        <v>32600000000</v>
      </c>
      <c r="I118">
        <v>10100000000</v>
      </c>
      <c r="J118">
        <v>89800000000</v>
      </c>
      <c r="K118">
        <v>3500</v>
      </c>
      <c r="L118">
        <v>52.3</v>
      </c>
      <c r="M118">
        <v>0.1</v>
      </c>
      <c r="O118">
        <v>500</v>
      </c>
      <c r="P118">
        <v>45550</v>
      </c>
      <c r="Q118">
        <v>9900000000</v>
      </c>
      <c r="S118">
        <v>50.25</v>
      </c>
      <c r="T118">
        <v>25.4</v>
      </c>
      <c r="V118">
        <v>25000</v>
      </c>
      <c r="X118">
        <v>6700000</v>
      </c>
      <c r="Y118">
        <v>68.7</v>
      </c>
      <c r="Z118">
        <v>1300000000</v>
      </c>
      <c r="AB118">
        <v>2350000000</v>
      </c>
      <c r="AC118">
        <v>0</v>
      </c>
      <c r="AD118">
        <v>0</v>
      </c>
      <c r="AE118">
        <v>2350000000</v>
      </c>
      <c r="AF118">
        <v>3149000000000</v>
      </c>
      <c r="AG118">
        <v>383000</v>
      </c>
      <c r="AH118">
        <v>1490000</v>
      </c>
      <c r="AJ118">
        <v>2250000</v>
      </c>
      <c r="AK118">
        <v>112500000000</v>
      </c>
      <c r="AL118">
        <v>26074906</v>
      </c>
      <c r="AN118">
        <v>1963</v>
      </c>
      <c r="AP118">
        <v>675000</v>
      </c>
      <c r="AQ118">
        <v>20000</v>
      </c>
      <c r="AR118">
        <v>4.28</v>
      </c>
      <c r="AS118">
        <v>25</v>
      </c>
    </row>
    <row r="119" spans="1:45" x14ac:dyDescent="0.3">
      <c r="A119" t="s">
        <v>162</v>
      </c>
      <c r="B119">
        <v>70280</v>
      </c>
      <c r="C119">
        <v>14.47</v>
      </c>
      <c r="D119">
        <v>-2881000000</v>
      </c>
      <c r="E119">
        <v>7.85</v>
      </c>
      <c r="F119">
        <v>11000000000</v>
      </c>
      <c r="G119">
        <v>21780000000</v>
      </c>
      <c r="H119">
        <v>22880000000</v>
      </c>
      <c r="I119">
        <v>103800000000</v>
      </c>
      <c r="J119">
        <v>126400000000</v>
      </c>
      <c r="K119">
        <v>31900</v>
      </c>
      <c r="L119">
        <v>5.0999999999999996</v>
      </c>
      <c r="M119">
        <v>0.1</v>
      </c>
      <c r="N119">
        <v>100</v>
      </c>
      <c r="O119">
        <v>2800</v>
      </c>
      <c r="P119">
        <v>95736</v>
      </c>
      <c r="Q119">
        <v>60650000000</v>
      </c>
      <c r="R119">
        <v>7</v>
      </c>
      <c r="S119">
        <v>5.39</v>
      </c>
      <c r="T119">
        <v>2.2000000000000002</v>
      </c>
      <c r="U119">
        <v>162228</v>
      </c>
      <c r="V119">
        <v>1260000</v>
      </c>
      <c r="W119">
        <v>23.8</v>
      </c>
      <c r="X119">
        <v>1920000</v>
      </c>
      <c r="Y119">
        <v>77.56</v>
      </c>
      <c r="Z119">
        <v>700000000</v>
      </c>
      <c r="AA119">
        <v>0.9</v>
      </c>
      <c r="AB119">
        <v>4199000000</v>
      </c>
      <c r="AC119">
        <v>0</v>
      </c>
      <c r="AD119">
        <v>3384000000</v>
      </c>
      <c r="AE119">
        <v>815000000</v>
      </c>
      <c r="AF119">
        <v>9911000000</v>
      </c>
      <c r="AG119">
        <v>174400</v>
      </c>
      <c r="AH119">
        <v>27450</v>
      </c>
      <c r="AI119">
        <v>178600</v>
      </c>
      <c r="AJ119">
        <v>0</v>
      </c>
      <c r="AK119">
        <v>0</v>
      </c>
      <c r="AL119">
        <v>4015676</v>
      </c>
      <c r="AM119">
        <v>31.2</v>
      </c>
      <c r="AN119">
        <v>3312</v>
      </c>
      <c r="AO119">
        <v>4152000000</v>
      </c>
      <c r="AP119">
        <v>1955000</v>
      </c>
      <c r="AQ119">
        <v>3400000</v>
      </c>
      <c r="AR119">
        <v>1.87</v>
      </c>
      <c r="AS119">
        <v>4.3</v>
      </c>
    </row>
    <row r="120" spans="1:45" x14ac:dyDescent="0.3">
      <c r="A120" t="s">
        <v>163</v>
      </c>
      <c r="B120">
        <v>20770</v>
      </c>
      <c r="C120">
        <v>18.21</v>
      </c>
      <c r="D120">
        <v>211900000</v>
      </c>
      <c r="E120">
        <v>6.18</v>
      </c>
      <c r="F120">
        <v>74460000000</v>
      </c>
      <c r="G120">
        <v>38300000000</v>
      </c>
      <c r="H120">
        <v>42670000000</v>
      </c>
      <c r="I120">
        <v>34410000000</v>
      </c>
      <c r="J120">
        <v>129000000000</v>
      </c>
      <c r="K120">
        <v>20800</v>
      </c>
      <c r="L120">
        <v>3.9</v>
      </c>
      <c r="M120">
        <v>0.1</v>
      </c>
      <c r="N120">
        <v>100</v>
      </c>
      <c r="O120">
        <v>3000</v>
      </c>
      <c r="P120">
        <v>16903</v>
      </c>
      <c r="Q120">
        <v>36840000000</v>
      </c>
      <c r="R120">
        <v>4.5</v>
      </c>
      <c r="S120">
        <v>7.03</v>
      </c>
      <c r="T120">
        <v>0</v>
      </c>
      <c r="U120">
        <v>437516</v>
      </c>
      <c r="V120">
        <v>2000000</v>
      </c>
      <c r="W120">
        <v>17.600000000000001</v>
      </c>
      <c r="X120">
        <v>2680000</v>
      </c>
      <c r="Y120">
        <v>79.319999999999993</v>
      </c>
      <c r="Z120">
        <v>9110000000</v>
      </c>
      <c r="AA120">
        <v>8.6999999999999993</v>
      </c>
      <c r="AB120">
        <v>10000000</v>
      </c>
      <c r="AC120">
        <v>0</v>
      </c>
      <c r="AD120">
        <v>0</v>
      </c>
      <c r="AE120">
        <v>10000000</v>
      </c>
      <c r="AF120">
        <v>20810000000</v>
      </c>
      <c r="AG120">
        <v>260000</v>
      </c>
      <c r="AJ120">
        <v>80</v>
      </c>
      <c r="AK120">
        <v>1920000</v>
      </c>
      <c r="AL120">
        <v>6276883</v>
      </c>
      <c r="AM120">
        <v>104.5</v>
      </c>
      <c r="AN120">
        <v>640</v>
      </c>
      <c r="AO120">
        <v>28480000000</v>
      </c>
      <c r="AP120">
        <v>3006000</v>
      </c>
      <c r="AQ120">
        <v>6334000</v>
      </c>
      <c r="AR120">
        <v>2.44</v>
      </c>
      <c r="AS120">
        <v>10.7</v>
      </c>
    </row>
    <row r="121" spans="1:45" x14ac:dyDescent="0.3">
      <c r="A121" t="s">
        <v>164</v>
      </c>
      <c r="B121">
        <v>301230</v>
      </c>
      <c r="C121">
        <v>8.89</v>
      </c>
      <c r="D121">
        <v>-21100000000</v>
      </c>
      <c r="E121">
        <v>10.3</v>
      </c>
      <c r="F121">
        <v>913900000000</v>
      </c>
      <c r="G121">
        <v>293900000000</v>
      </c>
      <c r="H121">
        <v>261600000000</v>
      </c>
      <c r="I121">
        <v>336400000000</v>
      </c>
      <c r="J121">
        <v>1609000000000</v>
      </c>
      <c r="K121">
        <v>27700</v>
      </c>
      <c r="L121">
        <v>1.3</v>
      </c>
      <c r="M121">
        <v>0.5</v>
      </c>
      <c r="N121">
        <v>1000</v>
      </c>
      <c r="O121">
        <v>140000</v>
      </c>
      <c r="P121">
        <v>479688</v>
      </c>
      <c r="Q121">
        <v>329300000000</v>
      </c>
      <c r="R121">
        <v>0.7</v>
      </c>
      <c r="S121">
        <v>5.94</v>
      </c>
      <c r="T121">
        <v>2.2999999999999998</v>
      </c>
      <c r="U121">
        <v>1437511</v>
      </c>
      <c r="V121">
        <v>18500000</v>
      </c>
      <c r="W121">
        <v>19.3</v>
      </c>
      <c r="X121">
        <v>24270000</v>
      </c>
      <c r="Y121">
        <v>79.680000000000007</v>
      </c>
      <c r="Z121">
        <v>28182800000</v>
      </c>
      <c r="AA121">
        <v>1.8</v>
      </c>
      <c r="AB121">
        <v>71180000000</v>
      </c>
      <c r="AC121">
        <v>61000000</v>
      </c>
      <c r="AD121">
        <v>54780000000</v>
      </c>
      <c r="AE121">
        <v>15490000000</v>
      </c>
      <c r="AF121">
        <v>209700000000</v>
      </c>
      <c r="AG121">
        <v>1866000</v>
      </c>
      <c r="AH121">
        <v>456600</v>
      </c>
      <c r="AI121">
        <v>2158000</v>
      </c>
      <c r="AJ121">
        <v>79460</v>
      </c>
      <c r="AK121">
        <v>586600000</v>
      </c>
      <c r="AL121">
        <v>58103033</v>
      </c>
      <c r="AM121">
        <v>105.6</v>
      </c>
      <c r="AN121">
        <v>19507</v>
      </c>
      <c r="AO121">
        <v>61500000000</v>
      </c>
      <c r="AP121">
        <v>26596000</v>
      </c>
      <c r="AQ121">
        <v>55918000</v>
      </c>
      <c r="AR121">
        <v>1.28</v>
      </c>
      <c r="AS121">
        <v>8.6</v>
      </c>
    </row>
    <row r="122" spans="1:45" x14ac:dyDescent="0.3">
      <c r="A122" t="s">
        <v>165</v>
      </c>
      <c r="B122">
        <v>10991</v>
      </c>
      <c r="C122">
        <v>16.559999999999999</v>
      </c>
      <c r="D122">
        <v>-830700000</v>
      </c>
      <c r="E122">
        <v>5.37</v>
      </c>
      <c r="F122">
        <v>5964000000</v>
      </c>
      <c r="G122">
        <v>5849000000</v>
      </c>
      <c r="H122">
        <v>6289000000</v>
      </c>
      <c r="I122">
        <v>1679000000</v>
      </c>
      <c r="J122">
        <v>11130000000</v>
      </c>
      <c r="K122">
        <v>4100</v>
      </c>
      <c r="L122">
        <v>1.9</v>
      </c>
      <c r="M122">
        <v>1.2</v>
      </c>
      <c r="N122">
        <v>900</v>
      </c>
      <c r="O122">
        <v>22000</v>
      </c>
      <c r="P122">
        <v>18700</v>
      </c>
      <c r="Q122">
        <v>3624000000</v>
      </c>
      <c r="R122">
        <v>-2</v>
      </c>
      <c r="S122">
        <v>12.36</v>
      </c>
      <c r="T122">
        <v>12.4</v>
      </c>
      <c r="U122">
        <v>1480</v>
      </c>
      <c r="V122">
        <v>600000</v>
      </c>
      <c r="W122">
        <v>32</v>
      </c>
      <c r="X122">
        <v>1140000</v>
      </c>
      <c r="Y122">
        <v>76.290000000000006</v>
      </c>
      <c r="Z122">
        <v>31200000</v>
      </c>
      <c r="AA122">
        <v>0.4</v>
      </c>
      <c r="AG122">
        <v>66000</v>
      </c>
      <c r="AJ122">
        <v>0</v>
      </c>
      <c r="AL122">
        <v>2731832</v>
      </c>
      <c r="AM122">
        <v>146.1</v>
      </c>
      <c r="AN122">
        <v>272</v>
      </c>
      <c r="AO122">
        <v>1400000000</v>
      </c>
      <c r="AP122">
        <v>444400</v>
      </c>
      <c r="AQ122">
        <v>1400000</v>
      </c>
      <c r="AR122">
        <v>1.95</v>
      </c>
      <c r="AS122">
        <v>15</v>
      </c>
    </row>
    <row r="123" spans="1:45" x14ac:dyDescent="0.3">
      <c r="A123" t="s">
        <v>166</v>
      </c>
      <c r="B123">
        <v>373</v>
      </c>
    </row>
    <row r="124" spans="1:45" x14ac:dyDescent="0.3">
      <c r="A124" t="s">
        <v>167</v>
      </c>
      <c r="B124">
        <v>377835</v>
      </c>
      <c r="C124">
        <v>9.4700000000000006</v>
      </c>
      <c r="D124">
        <v>170200000000</v>
      </c>
      <c r="E124">
        <v>8.9499999999999993</v>
      </c>
      <c r="G124">
        <v>971000000000</v>
      </c>
      <c r="H124">
        <v>1044000000000</v>
      </c>
      <c r="I124">
        <v>538800000000</v>
      </c>
      <c r="J124">
        <v>3745000000000</v>
      </c>
      <c r="K124">
        <v>29400</v>
      </c>
      <c r="L124">
        <v>2.9</v>
      </c>
      <c r="M124">
        <v>0.1</v>
      </c>
      <c r="N124">
        <v>500</v>
      </c>
      <c r="O124">
        <v>12000</v>
      </c>
      <c r="P124">
        <v>1171647</v>
      </c>
      <c r="Q124">
        <v>401800000000</v>
      </c>
      <c r="R124">
        <v>6.6</v>
      </c>
      <c r="S124">
        <v>3.26</v>
      </c>
      <c r="T124">
        <v>-0.1</v>
      </c>
      <c r="U124">
        <v>12962065</v>
      </c>
      <c r="V124">
        <v>57200000</v>
      </c>
      <c r="W124">
        <v>24</v>
      </c>
      <c r="X124">
        <v>66970000</v>
      </c>
      <c r="Y124">
        <v>81.150000000000006</v>
      </c>
      <c r="Z124">
        <v>45841000000</v>
      </c>
      <c r="AA124">
        <v>1</v>
      </c>
      <c r="AB124">
        <v>80420000000</v>
      </c>
      <c r="AC124">
        <v>0</v>
      </c>
      <c r="AD124">
        <v>77730000000</v>
      </c>
      <c r="AE124">
        <v>2519000000</v>
      </c>
      <c r="AF124">
        <v>20020000000</v>
      </c>
      <c r="AG124">
        <v>5290000</v>
      </c>
      <c r="AH124">
        <v>93360</v>
      </c>
      <c r="AI124">
        <v>5449000</v>
      </c>
      <c r="AJ124">
        <v>17330</v>
      </c>
      <c r="AK124">
        <v>29290000</v>
      </c>
      <c r="AL124">
        <v>127417244</v>
      </c>
      <c r="AM124">
        <v>164.3</v>
      </c>
      <c r="AN124">
        <v>23705</v>
      </c>
      <c r="AO124">
        <v>664600000000</v>
      </c>
      <c r="AP124">
        <v>71149000</v>
      </c>
      <c r="AQ124">
        <v>86658600</v>
      </c>
      <c r="AR124">
        <v>1.39</v>
      </c>
      <c r="AS124">
        <v>4.7</v>
      </c>
    </row>
    <row r="125" spans="1:45" x14ac:dyDescent="0.3">
      <c r="A125" t="s">
        <v>168</v>
      </c>
      <c r="B125">
        <v>5</v>
      </c>
    </row>
    <row r="126" spans="1:45" x14ac:dyDescent="0.3">
      <c r="A126" t="s">
        <v>169</v>
      </c>
      <c r="B126">
        <v>116</v>
      </c>
      <c r="C126">
        <v>9.66</v>
      </c>
      <c r="E126">
        <v>9.19</v>
      </c>
      <c r="G126">
        <v>630100000</v>
      </c>
      <c r="J126">
        <v>3600000000</v>
      </c>
      <c r="K126">
        <v>40000</v>
      </c>
      <c r="P126">
        <v>577</v>
      </c>
      <c r="S126">
        <v>5.24</v>
      </c>
      <c r="T126">
        <v>5.3</v>
      </c>
      <c r="X126">
        <v>52790</v>
      </c>
      <c r="Y126">
        <v>79.239999999999995</v>
      </c>
      <c r="AL126">
        <v>90812</v>
      </c>
      <c r="AP126">
        <v>73900</v>
      </c>
      <c r="AQ126">
        <v>61400</v>
      </c>
      <c r="AR126">
        <v>1.57</v>
      </c>
      <c r="AS126">
        <v>0.9</v>
      </c>
    </row>
    <row r="127" spans="1:45" x14ac:dyDescent="0.3">
      <c r="A127" t="s">
        <v>170</v>
      </c>
      <c r="B127">
        <v>3</v>
      </c>
      <c r="AL127">
        <v>361</v>
      </c>
    </row>
    <row r="128" spans="1:45" x14ac:dyDescent="0.3">
      <c r="A128" t="s">
        <v>171</v>
      </c>
      <c r="B128">
        <v>92300</v>
      </c>
      <c r="C128">
        <v>21.76</v>
      </c>
      <c r="D128">
        <v>203200000</v>
      </c>
      <c r="E128">
        <v>2.63</v>
      </c>
      <c r="F128">
        <v>7320000000</v>
      </c>
      <c r="G128">
        <v>7094000000</v>
      </c>
      <c r="H128">
        <v>7307000000</v>
      </c>
      <c r="I128">
        <v>3200000000</v>
      </c>
      <c r="J128">
        <v>25500000000</v>
      </c>
      <c r="K128">
        <v>4500</v>
      </c>
      <c r="L128">
        <v>5.0999999999999996</v>
      </c>
      <c r="M128">
        <v>0.1</v>
      </c>
      <c r="N128">
        <v>500</v>
      </c>
      <c r="O128">
        <v>600</v>
      </c>
      <c r="P128">
        <v>7301</v>
      </c>
      <c r="Q128">
        <v>7600000000</v>
      </c>
      <c r="R128">
        <v>5</v>
      </c>
      <c r="S128">
        <v>17.350000000000001</v>
      </c>
      <c r="T128">
        <v>3.2</v>
      </c>
      <c r="U128">
        <v>3160</v>
      </c>
      <c r="V128">
        <v>457000</v>
      </c>
      <c r="W128">
        <v>11.6</v>
      </c>
      <c r="X128">
        <v>1410000</v>
      </c>
      <c r="Y128">
        <v>78.239999999999995</v>
      </c>
      <c r="Z128">
        <v>1460000000</v>
      </c>
      <c r="AA128">
        <v>14.6</v>
      </c>
      <c r="AB128">
        <v>290000000</v>
      </c>
      <c r="AC128">
        <v>0</v>
      </c>
      <c r="AD128">
        <v>0</v>
      </c>
      <c r="AE128">
        <v>290000000</v>
      </c>
      <c r="AF128">
        <v>3256000000</v>
      </c>
      <c r="AG128">
        <v>103000</v>
      </c>
      <c r="AH128">
        <v>0</v>
      </c>
      <c r="AI128">
        <v>100000</v>
      </c>
      <c r="AJ128">
        <v>40</v>
      </c>
      <c r="AK128">
        <v>445000</v>
      </c>
      <c r="AL128">
        <v>5759732</v>
      </c>
      <c r="AM128">
        <v>85.8</v>
      </c>
      <c r="AN128">
        <v>505</v>
      </c>
      <c r="AO128">
        <v>5457000000</v>
      </c>
      <c r="AP128">
        <v>622600</v>
      </c>
      <c r="AQ128">
        <v>1325300</v>
      </c>
      <c r="AR128">
        <v>2.71</v>
      </c>
      <c r="AS128">
        <v>15</v>
      </c>
    </row>
    <row r="129" spans="1:45" x14ac:dyDescent="0.3">
      <c r="A129" t="s">
        <v>172</v>
      </c>
      <c r="B129">
        <v>4</v>
      </c>
    </row>
    <row r="130" spans="1:45" x14ac:dyDescent="0.3">
      <c r="A130" t="s">
        <v>173</v>
      </c>
      <c r="B130">
        <v>2717300</v>
      </c>
      <c r="C130">
        <v>15.78</v>
      </c>
      <c r="D130">
        <v>-39020000</v>
      </c>
      <c r="E130">
        <v>9.4600000000000009</v>
      </c>
      <c r="F130">
        <v>26030000000</v>
      </c>
      <c r="G130">
        <v>62210000000</v>
      </c>
      <c r="H130">
        <v>66820000000</v>
      </c>
      <c r="I130">
        <v>18470000000</v>
      </c>
      <c r="J130">
        <v>118400000000</v>
      </c>
      <c r="K130">
        <v>7800</v>
      </c>
      <c r="L130">
        <v>9.1</v>
      </c>
      <c r="M130">
        <v>0.2</v>
      </c>
      <c r="N130">
        <v>200</v>
      </c>
      <c r="O130">
        <v>16500</v>
      </c>
      <c r="P130">
        <v>82980</v>
      </c>
      <c r="Q130">
        <v>13070000000</v>
      </c>
      <c r="R130">
        <v>10.6</v>
      </c>
      <c r="S130">
        <v>29.21</v>
      </c>
      <c r="T130">
        <v>6.9</v>
      </c>
      <c r="U130">
        <v>21984</v>
      </c>
      <c r="V130">
        <v>250000</v>
      </c>
      <c r="W130">
        <v>23.9</v>
      </c>
      <c r="X130">
        <v>7950000</v>
      </c>
      <c r="Y130">
        <v>66.55</v>
      </c>
      <c r="Z130">
        <v>221800000</v>
      </c>
      <c r="AA130">
        <v>0.9</v>
      </c>
      <c r="AB130">
        <v>14300000000</v>
      </c>
      <c r="AC130">
        <v>11010000000</v>
      </c>
      <c r="AD130">
        <v>8696000000</v>
      </c>
      <c r="AE130">
        <v>11600000000</v>
      </c>
      <c r="AF130">
        <v>1800000000000</v>
      </c>
      <c r="AG130">
        <v>189400</v>
      </c>
      <c r="AH130">
        <v>890000</v>
      </c>
      <c r="AI130">
        <v>47000</v>
      </c>
      <c r="AJ130">
        <v>1200000</v>
      </c>
      <c r="AK130">
        <v>26000000000</v>
      </c>
      <c r="AL130">
        <v>15185844</v>
      </c>
      <c r="AM130">
        <v>13.7</v>
      </c>
      <c r="AN130">
        <v>13601</v>
      </c>
      <c r="AO130">
        <v>14350000000</v>
      </c>
      <c r="AP130">
        <v>2081900</v>
      </c>
      <c r="AQ130">
        <v>1027000</v>
      </c>
      <c r="AR130">
        <v>1.89</v>
      </c>
      <c r="AS130">
        <v>8</v>
      </c>
    </row>
    <row r="131" spans="1:45" x14ac:dyDescent="0.3">
      <c r="A131" t="s">
        <v>174</v>
      </c>
      <c r="B131">
        <v>582650</v>
      </c>
      <c r="C131">
        <v>40.130000000000003</v>
      </c>
      <c r="D131">
        <v>-459200000</v>
      </c>
      <c r="E131">
        <v>14.65</v>
      </c>
      <c r="F131">
        <v>6792000000</v>
      </c>
      <c r="G131">
        <v>4337000000</v>
      </c>
      <c r="H131">
        <v>4475000000</v>
      </c>
      <c r="I131">
        <v>2589000000</v>
      </c>
      <c r="J131">
        <v>34680000000</v>
      </c>
      <c r="K131">
        <v>1100</v>
      </c>
      <c r="L131">
        <v>2.2000000000000002</v>
      </c>
      <c r="M131">
        <v>6.7</v>
      </c>
      <c r="N131">
        <v>150000</v>
      </c>
      <c r="O131">
        <v>1200000</v>
      </c>
      <c r="P131">
        <v>63942</v>
      </c>
      <c r="Q131">
        <v>4190000000</v>
      </c>
      <c r="R131">
        <v>2.6</v>
      </c>
      <c r="S131">
        <v>61.47</v>
      </c>
      <c r="T131">
        <v>9</v>
      </c>
      <c r="U131">
        <v>8325</v>
      </c>
      <c r="V131">
        <v>400000</v>
      </c>
      <c r="W131">
        <v>14.7</v>
      </c>
      <c r="X131">
        <v>11400000</v>
      </c>
      <c r="Y131">
        <v>47.99</v>
      </c>
      <c r="Z131">
        <v>177100000</v>
      </c>
      <c r="AA131">
        <v>1.3</v>
      </c>
      <c r="AG131">
        <v>57000</v>
      </c>
      <c r="AJ131">
        <v>0</v>
      </c>
      <c r="AL131">
        <v>33829590</v>
      </c>
      <c r="AM131">
        <v>74.3</v>
      </c>
      <c r="AN131">
        <v>2778</v>
      </c>
      <c r="AO131">
        <v>1500000000</v>
      </c>
      <c r="AP131">
        <v>328400</v>
      </c>
      <c r="AQ131">
        <v>1590800</v>
      </c>
      <c r="AR131">
        <v>4.96</v>
      </c>
      <c r="AS131">
        <v>40</v>
      </c>
    </row>
    <row r="132" spans="1:45" x14ac:dyDescent="0.3">
      <c r="A132" t="s">
        <v>175</v>
      </c>
      <c r="B132">
        <v>1</v>
      </c>
    </row>
    <row r="133" spans="1:45" x14ac:dyDescent="0.3">
      <c r="A133" t="s">
        <v>176</v>
      </c>
      <c r="B133">
        <v>811</v>
      </c>
      <c r="C133">
        <v>30.86</v>
      </c>
      <c r="E133">
        <v>8.3699999999999992</v>
      </c>
      <c r="F133">
        <v>10000000</v>
      </c>
      <c r="G133">
        <v>6510000</v>
      </c>
      <c r="H133">
        <v>7000000</v>
      </c>
      <c r="I133">
        <v>35000000</v>
      </c>
      <c r="J133">
        <v>79000000</v>
      </c>
      <c r="K133">
        <v>800</v>
      </c>
      <c r="L133">
        <v>1.5</v>
      </c>
      <c r="P133">
        <v>670</v>
      </c>
      <c r="Q133">
        <v>83000000</v>
      </c>
      <c r="R133">
        <v>0.7</v>
      </c>
      <c r="S133">
        <v>48.52</v>
      </c>
      <c r="T133">
        <v>2.5</v>
      </c>
      <c r="V133">
        <v>2000</v>
      </c>
      <c r="X133">
        <v>7870</v>
      </c>
      <c r="Y133">
        <v>61.71</v>
      </c>
      <c r="AG133">
        <v>190</v>
      </c>
      <c r="AJ133">
        <v>0</v>
      </c>
      <c r="AL133">
        <v>103092</v>
      </c>
      <c r="AP133">
        <v>4500</v>
      </c>
      <c r="AQ133">
        <v>500</v>
      </c>
      <c r="AR133">
        <v>4.2</v>
      </c>
      <c r="AS133">
        <v>2</v>
      </c>
    </row>
    <row r="134" spans="1:45" x14ac:dyDescent="0.3">
      <c r="A134" t="s">
        <v>177</v>
      </c>
      <c r="B134">
        <v>120540</v>
      </c>
      <c r="C134">
        <v>16.09</v>
      </c>
      <c r="E134">
        <v>7.05</v>
      </c>
      <c r="F134">
        <v>12000000000</v>
      </c>
      <c r="G134">
        <v>31260000000</v>
      </c>
      <c r="H134">
        <v>33620000000</v>
      </c>
      <c r="I134">
        <v>1200000000</v>
      </c>
      <c r="J134">
        <v>30880000000</v>
      </c>
      <c r="K134">
        <v>1400</v>
      </c>
      <c r="L134">
        <v>1</v>
      </c>
      <c r="P134">
        <v>31200</v>
      </c>
      <c r="Q134">
        <v>2100000000</v>
      </c>
      <c r="S134">
        <v>24.04</v>
      </c>
      <c r="X134">
        <v>9600000</v>
      </c>
      <c r="Y134">
        <v>71.37</v>
      </c>
      <c r="Z134">
        <v>5217400000</v>
      </c>
      <c r="AG134">
        <v>85000</v>
      </c>
      <c r="AI134">
        <v>11500</v>
      </c>
      <c r="AJ134">
        <v>0</v>
      </c>
      <c r="AL134">
        <v>22912177</v>
      </c>
      <c r="AN134">
        <v>5214</v>
      </c>
      <c r="AP134">
        <v>1100000</v>
      </c>
      <c r="AR134">
        <v>2.15</v>
      </c>
    </row>
    <row r="135" spans="1:45" x14ac:dyDescent="0.3">
      <c r="A135" t="s">
        <v>178</v>
      </c>
      <c r="B135">
        <v>98480</v>
      </c>
      <c r="C135">
        <v>10.08</v>
      </c>
      <c r="D135">
        <v>26780000000</v>
      </c>
      <c r="E135">
        <v>6.26</v>
      </c>
      <c r="F135">
        <v>160000000000</v>
      </c>
      <c r="G135">
        <v>293600000000</v>
      </c>
      <c r="H135">
        <v>322500000000</v>
      </c>
      <c r="I135">
        <v>250600000000</v>
      </c>
      <c r="J135">
        <v>925100000000</v>
      </c>
      <c r="K135">
        <v>19200</v>
      </c>
      <c r="L135">
        <v>4.5999999999999996</v>
      </c>
      <c r="M135">
        <v>0.1</v>
      </c>
      <c r="N135">
        <v>200</v>
      </c>
      <c r="O135">
        <v>8300</v>
      </c>
      <c r="P135">
        <v>86990</v>
      </c>
      <c r="Q135">
        <v>214200000000</v>
      </c>
      <c r="R135">
        <v>10.1</v>
      </c>
      <c r="S135">
        <v>7.05</v>
      </c>
      <c r="T135">
        <v>3.6</v>
      </c>
      <c r="U135">
        <v>694206</v>
      </c>
      <c r="V135">
        <v>29220000</v>
      </c>
      <c r="W135">
        <v>28.7</v>
      </c>
      <c r="X135">
        <v>22900000</v>
      </c>
      <c r="Y135">
        <v>75.819999999999993</v>
      </c>
      <c r="Z135">
        <v>16180000000</v>
      </c>
      <c r="AA135">
        <v>2.8</v>
      </c>
      <c r="AB135">
        <v>20920000000</v>
      </c>
      <c r="AC135">
        <v>0</v>
      </c>
      <c r="AD135">
        <v>21110000000</v>
      </c>
      <c r="AE135">
        <v>0</v>
      </c>
      <c r="AG135">
        <v>2070000</v>
      </c>
      <c r="AH135">
        <v>630100</v>
      </c>
      <c r="AI135">
        <v>2263000</v>
      </c>
      <c r="AJ135">
        <v>0</v>
      </c>
      <c r="AL135">
        <v>48422644</v>
      </c>
      <c r="AM135">
        <v>21.3</v>
      </c>
      <c r="AN135">
        <v>3125</v>
      </c>
      <c r="AO135">
        <v>199100000000</v>
      </c>
      <c r="AP135">
        <v>22877000</v>
      </c>
      <c r="AQ135">
        <v>33591800</v>
      </c>
      <c r="AR135">
        <v>1.26</v>
      </c>
      <c r="AS135">
        <v>3.6</v>
      </c>
    </row>
    <row r="136" spans="1:45" x14ac:dyDescent="0.3">
      <c r="A136" t="s">
        <v>179</v>
      </c>
      <c r="B136">
        <v>17820</v>
      </c>
      <c r="C136">
        <v>21.88</v>
      </c>
      <c r="D136">
        <v>12040000000</v>
      </c>
      <c r="E136">
        <v>2.42</v>
      </c>
      <c r="F136">
        <v>15020000000</v>
      </c>
      <c r="G136">
        <v>30160000000</v>
      </c>
      <c r="H136">
        <v>32430000000</v>
      </c>
      <c r="I136">
        <v>27420000000</v>
      </c>
      <c r="J136">
        <v>48000000000</v>
      </c>
      <c r="K136">
        <v>21300</v>
      </c>
      <c r="L136">
        <v>6.8</v>
      </c>
      <c r="M136">
        <v>0.12</v>
      </c>
      <c r="P136">
        <v>4450</v>
      </c>
      <c r="Q136">
        <v>11120000000</v>
      </c>
      <c r="R136">
        <v>-5</v>
      </c>
      <c r="S136">
        <v>9.9499999999999993</v>
      </c>
      <c r="T136">
        <v>2.2999999999999998</v>
      </c>
      <c r="U136">
        <v>3437</v>
      </c>
      <c r="V136">
        <v>567000</v>
      </c>
      <c r="W136">
        <v>8</v>
      </c>
      <c r="X136">
        <v>1420000</v>
      </c>
      <c r="Y136">
        <v>77.03</v>
      </c>
      <c r="Z136">
        <v>2584500000</v>
      </c>
      <c r="AA136">
        <v>5.3</v>
      </c>
      <c r="AB136">
        <v>8700000000</v>
      </c>
      <c r="AC136">
        <v>0</v>
      </c>
      <c r="AD136">
        <v>0</v>
      </c>
      <c r="AE136">
        <v>8700000000</v>
      </c>
      <c r="AF136">
        <v>1548000000000</v>
      </c>
      <c r="AG136">
        <v>293000</v>
      </c>
      <c r="AH136">
        <v>1970000</v>
      </c>
      <c r="AJ136">
        <v>2319000</v>
      </c>
      <c r="AK136">
        <v>96500000000</v>
      </c>
      <c r="AL136">
        <v>2335648</v>
      </c>
      <c r="AM136">
        <v>29.6</v>
      </c>
      <c r="AO136">
        <v>7333000000</v>
      </c>
      <c r="AP136">
        <v>486900</v>
      </c>
      <c r="AQ136">
        <v>1420000</v>
      </c>
      <c r="AR136">
        <v>2.97</v>
      </c>
      <c r="AS136">
        <v>2.2000000000000002</v>
      </c>
    </row>
    <row r="137" spans="1:45" x14ac:dyDescent="0.3">
      <c r="A137" t="s">
        <v>180</v>
      </c>
      <c r="B137">
        <v>198500</v>
      </c>
      <c r="C137">
        <v>22.48</v>
      </c>
      <c r="D137">
        <v>-87920000</v>
      </c>
      <c r="E137">
        <v>7.13</v>
      </c>
      <c r="F137">
        <v>1970000000</v>
      </c>
      <c r="G137">
        <v>10210000000</v>
      </c>
      <c r="H137">
        <v>11720000000</v>
      </c>
      <c r="I137">
        <v>646700000</v>
      </c>
      <c r="J137">
        <v>8495000000</v>
      </c>
      <c r="K137">
        <v>1700</v>
      </c>
      <c r="L137">
        <v>6</v>
      </c>
      <c r="M137">
        <v>0.1</v>
      </c>
      <c r="N137">
        <v>200</v>
      </c>
      <c r="O137">
        <v>3900</v>
      </c>
      <c r="P137">
        <v>18500</v>
      </c>
      <c r="Q137">
        <v>775100000</v>
      </c>
      <c r="R137">
        <v>6</v>
      </c>
      <c r="S137">
        <v>35.64</v>
      </c>
      <c r="T137">
        <v>3.2</v>
      </c>
      <c r="U137">
        <v>12299</v>
      </c>
      <c r="V137">
        <v>152000</v>
      </c>
      <c r="W137">
        <v>17</v>
      </c>
      <c r="X137">
        <v>2700000</v>
      </c>
      <c r="Y137">
        <v>68.16</v>
      </c>
      <c r="Z137">
        <v>19200000</v>
      </c>
      <c r="AA137">
        <v>1.4</v>
      </c>
      <c r="AB137">
        <v>2016000000</v>
      </c>
      <c r="AC137">
        <v>0</v>
      </c>
      <c r="AD137">
        <v>2000000000</v>
      </c>
      <c r="AE137">
        <v>16000000</v>
      </c>
      <c r="AG137">
        <v>20000</v>
      </c>
      <c r="AJ137">
        <v>2000</v>
      </c>
      <c r="AL137">
        <v>5146281</v>
      </c>
      <c r="AN137">
        <v>470</v>
      </c>
      <c r="AO137">
        <v>498700000</v>
      </c>
      <c r="AP137">
        <v>394800</v>
      </c>
      <c r="AQ137">
        <v>53100</v>
      </c>
      <c r="AR137">
        <v>2.7</v>
      </c>
      <c r="AS137">
        <v>18</v>
      </c>
    </row>
    <row r="138" spans="1:45" x14ac:dyDescent="0.3">
      <c r="A138" t="s">
        <v>181</v>
      </c>
      <c r="B138">
        <v>236800</v>
      </c>
      <c r="C138">
        <v>35.99</v>
      </c>
      <c r="D138">
        <v>-80760000</v>
      </c>
      <c r="E138">
        <v>11.83</v>
      </c>
      <c r="F138">
        <v>2490000000</v>
      </c>
      <c r="G138">
        <v>3036000000</v>
      </c>
      <c r="H138">
        <v>3560000000</v>
      </c>
      <c r="I138">
        <v>365500000</v>
      </c>
      <c r="J138">
        <v>11280000000</v>
      </c>
      <c r="K138">
        <v>1900</v>
      </c>
      <c r="L138">
        <v>6</v>
      </c>
      <c r="M138">
        <v>0.1</v>
      </c>
      <c r="N138">
        <v>200</v>
      </c>
      <c r="O138">
        <v>1700</v>
      </c>
      <c r="P138">
        <v>21716</v>
      </c>
      <c r="Q138">
        <v>579500000</v>
      </c>
      <c r="R138">
        <v>9.6999999999999993</v>
      </c>
      <c r="S138">
        <v>85.22</v>
      </c>
      <c r="T138">
        <v>12.3</v>
      </c>
      <c r="U138">
        <v>937</v>
      </c>
      <c r="V138">
        <v>15000</v>
      </c>
      <c r="X138">
        <v>2600000</v>
      </c>
      <c r="Y138">
        <v>55.08</v>
      </c>
      <c r="Z138">
        <v>10700000</v>
      </c>
      <c r="AA138">
        <v>0.5</v>
      </c>
      <c r="AG138">
        <v>2750</v>
      </c>
      <c r="AJ138">
        <v>0</v>
      </c>
      <c r="AL138">
        <v>6217141</v>
      </c>
      <c r="AO138">
        <v>193100000</v>
      </c>
      <c r="AP138">
        <v>61900</v>
      </c>
      <c r="AQ138">
        <v>55200</v>
      </c>
      <c r="AR138">
        <v>4.7699999999999996</v>
      </c>
      <c r="AS138">
        <v>5.7</v>
      </c>
    </row>
    <row r="139" spans="1:45" x14ac:dyDescent="0.3">
      <c r="A139" t="s">
        <v>182</v>
      </c>
      <c r="B139">
        <v>64589</v>
      </c>
      <c r="C139">
        <v>9.0399999999999991</v>
      </c>
      <c r="D139">
        <v>-1251000000</v>
      </c>
      <c r="E139">
        <v>13.7</v>
      </c>
      <c r="F139">
        <v>7368000000</v>
      </c>
      <c r="G139">
        <v>5829000000</v>
      </c>
      <c r="H139">
        <v>4547000000</v>
      </c>
      <c r="I139">
        <v>3569000000</v>
      </c>
      <c r="J139">
        <v>26530000000</v>
      </c>
      <c r="K139">
        <v>11500</v>
      </c>
      <c r="L139">
        <v>7.6</v>
      </c>
      <c r="M139">
        <v>0.6</v>
      </c>
      <c r="N139">
        <v>500</v>
      </c>
      <c r="O139">
        <v>7600</v>
      </c>
      <c r="P139">
        <v>60472</v>
      </c>
      <c r="Q139">
        <v>5970000000</v>
      </c>
      <c r="R139">
        <v>8.5</v>
      </c>
      <c r="S139">
        <v>9.5500000000000007</v>
      </c>
      <c r="T139">
        <v>6</v>
      </c>
      <c r="U139">
        <v>51758</v>
      </c>
      <c r="V139">
        <v>936000</v>
      </c>
      <c r="W139">
        <v>26.1</v>
      </c>
      <c r="X139">
        <v>1170000</v>
      </c>
      <c r="Y139">
        <v>71.05</v>
      </c>
      <c r="Z139">
        <v>87000000</v>
      </c>
      <c r="AA139">
        <v>1.2</v>
      </c>
      <c r="AB139">
        <v>1700000000</v>
      </c>
      <c r="AC139">
        <v>0</v>
      </c>
      <c r="AD139">
        <v>1700000000</v>
      </c>
      <c r="AE139">
        <v>0</v>
      </c>
      <c r="AG139">
        <v>44000</v>
      </c>
      <c r="AJ139">
        <v>0</v>
      </c>
      <c r="AL139">
        <v>2290237</v>
      </c>
      <c r="AM139">
        <v>11.8</v>
      </c>
      <c r="AN139">
        <v>2303</v>
      </c>
      <c r="AO139">
        <v>1650000000</v>
      </c>
      <c r="AP139">
        <v>653900</v>
      </c>
      <c r="AQ139">
        <v>1219600</v>
      </c>
      <c r="AR139">
        <v>1.26</v>
      </c>
      <c r="AS139">
        <v>8.8000000000000007</v>
      </c>
    </row>
    <row r="140" spans="1:45" x14ac:dyDescent="0.3">
      <c r="A140" t="s">
        <v>183</v>
      </c>
      <c r="B140">
        <v>10400</v>
      </c>
      <c r="C140">
        <v>18.88</v>
      </c>
      <c r="D140">
        <v>-2389000000</v>
      </c>
      <c r="E140">
        <v>6.24</v>
      </c>
      <c r="F140">
        <v>15840000000</v>
      </c>
      <c r="G140">
        <v>8591000000</v>
      </c>
      <c r="H140">
        <v>8066000000</v>
      </c>
      <c r="I140">
        <v>1783000000</v>
      </c>
      <c r="J140">
        <v>18830000000</v>
      </c>
      <c r="K140">
        <v>5000</v>
      </c>
      <c r="L140">
        <v>4</v>
      </c>
      <c r="M140">
        <v>0.1</v>
      </c>
      <c r="N140">
        <v>200</v>
      </c>
      <c r="O140">
        <v>2800</v>
      </c>
      <c r="P140">
        <v>7300</v>
      </c>
      <c r="Q140">
        <v>8162000000</v>
      </c>
      <c r="S140">
        <v>24.52</v>
      </c>
      <c r="T140">
        <v>2</v>
      </c>
      <c r="U140">
        <v>6998</v>
      </c>
      <c r="V140">
        <v>400000</v>
      </c>
      <c r="W140">
        <v>26</v>
      </c>
      <c r="X140">
        <v>2600000</v>
      </c>
      <c r="Y140">
        <v>72.63</v>
      </c>
      <c r="Z140">
        <v>540600000</v>
      </c>
      <c r="AA140">
        <v>3.1</v>
      </c>
      <c r="AG140">
        <v>107000</v>
      </c>
      <c r="AJ140">
        <v>0</v>
      </c>
      <c r="AL140">
        <v>3826018</v>
      </c>
      <c r="AM140">
        <v>177.9</v>
      </c>
      <c r="AN140">
        <v>401</v>
      </c>
      <c r="AO140">
        <v>16300000000</v>
      </c>
      <c r="AP140">
        <v>678800</v>
      </c>
      <c r="AQ140">
        <v>775100</v>
      </c>
      <c r="AR140">
        <v>1.92</v>
      </c>
      <c r="AS140">
        <v>18</v>
      </c>
    </row>
    <row r="141" spans="1:45" x14ac:dyDescent="0.3">
      <c r="A141" t="s">
        <v>184</v>
      </c>
      <c r="B141">
        <v>30355</v>
      </c>
      <c r="C141">
        <v>26.53</v>
      </c>
      <c r="D141">
        <v>-108300000</v>
      </c>
      <c r="E141">
        <v>25.03</v>
      </c>
      <c r="F141">
        <v>735000000</v>
      </c>
      <c r="G141">
        <v>308000000</v>
      </c>
      <c r="H141">
        <v>314000000</v>
      </c>
      <c r="I141">
        <v>484500000</v>
      </c>
      <c r="J141">
        <v>5892000000</v>
      </c>
      <c r="K141">
        <v>3200</v>
      </c>
      <c r="L141">
        <v>3.3</v>
      </c>
      <c r="M141">
        <v>28.9</v>
      </c>
      <c r="N141">
        <v>29000</v>
      </c>
      <c r="O141">
        <v>320000</v>
      </c>
      <c r="P141">
        <v>5940</v>
      </c>
      <c r="Q141">
        <v>730900000</v>
      </c>
      <c r="R141">
        <v>15.5</v>
      </c>
      <c r="S141">
        <v>84.23</v>
      </c>
      <c r="T141">
        <v>5.3</v>
      </c>
      <c r="U141">
        <v>119</v>
      </c>
      <c r="V141">
        <v>21000</v>
      </c>
      <c r="W141">
        <v>39.6</v>
      </c>
      <c r="X141">
        <v>838000</v>
      </c>
      <c r="Y141">
        <v>36.68</v>
      </c>
      <c r="Z141">
        <v>32300000</v>
      </c>
      <c r="AA141">
        <v>2.2999999999999998</v>
      </c>
      <c r="AG141">
        <v>1500</v>
      </c>
      <c r="AJ141">
        <v>0</v>
      </c>
      <c r="AL141">
        <v>1867035</v>
      </c>
      <c r="AO141">
        <v>402200000</v>
      </c>
      <c r="AP141">
        <v>28600</v>
      </c>
      <c r="AQ141">
        <v>92000</v>
      </c>
      <c r="AR141">
        <v>3.35</v>
      </c>
      <c r="AS141">
        <v>45</v>
      </c>
    </row>
    <row r="142" spans="1:45" x14ac:dyDescent="0.3">
      <c r="A142" t="s">
        <v>185</v>
      </c>
      <c r="B142">
        <v>111370</v>
      </c>
      <c r="C142">
        <v>44.22</v>
      </c>
      <c r="E142">
        <v>17.87</v>
      </c>
      <c r="F142">
        <v>2100000000</v>
      </c>
      <c r="G142">
        <v>454600000</v>
      </c>
      <c r="H142">
        <v>488800000</v>
      </c>
      <c r="I142">
        <v>1079000000</v>
      </c>
      <c r="J142">
        <v>2903000000</v>
      </c>
      <c r="K142">
        <v>900</v>
      </c>
      <c r="L142">
        <v>21.8</v>
      </c>
      <c r="M142">
        <v>5.9</v>
      </c>
      <c r="N142">
        <v>7200</v>
      </c>
      <c r="O142">
        <v>100000</v>
      </c>
      <c r="P142">
        <v>10600</v>
      </c>
      <c r="Q142">
        <v>5051000000</v>
      </c>
      <c r="S142">
        <v>128.87</v>
      </c>
      <c r="T142">
        <v>15</v>
      </c>
      <c r="U142">
        <v>14</v>
      </c>
      <c r="V142">
        <v>1000</v>
      </c>
      <c r="Y142">
        <v>47.69</v>
      </c>
      <c r="Z142">
        <v>1500000</v>
      </c>
      <c r="AA142">
        <v>0.2</v>
      </c>
      <c r="AG142">
        <v>3100</v>
      </c>
      <c r="AJ142">
        <v>0</v>
      </c>
      <c r="AL142">
        <v>3482211</v>
      </c>
      <c r="AN142">
        <v>490</v>
      </c>
      <c r="AP142">
        <v>7000</v>
      </c>
      <c r="AQ142">
        <v>2000</v>
      </c>
      <c r="AR142">
        <v>6.09</v>
      </c>
      <c r="AS142">
        <v>85</v>
      </c>
    </row>
    <row r="143" spans="1:45" x14ac:dyDescent="0.3">
      <c r="A143" t="s">
        <v>186</v>
      </c>
      <c r="B143">
        <v>1759540</v>
      </c>
      <c r="C143">
        <v>26.82</v>
      </c>
      <c r="D143">
        <v>9895000000</v>
      </c>
      <c r="E143">
        <v>3.48</v>
      </c>
      <c r="F143">
        <v>4069000000</v>
      </c>
      <c r="G143">
        <v>19430000000</v>
      </c>
      <c r="H143">
        <v>20890000000</v>
      </c>
      <c r="I143">
        <v>18650000000</v>
      </c>
      <c r="J143">
        <v>37480000000</v>
      </c>
      <c r="K143">
        <v>6700</v>
      </c>
      <c r="L143">
        <v>4.9000000000000004</v>
      </c>
      <c r="M143">
        <v>0.3</v>
      </c>
      <c r="O143">
        <v>10000</v>
      </c>
      <c r="P143">
        <v>83200</v>
      </c>
      <c r="Q143">
        <v>7224000000</v>
      </c>
      <c r="S143">
        <v>24.6</v>
      </c>
      <c r="T143">
        <v>2.9</v>
      </c>
      <c r="U143">
        <v>67</v>
      </c>
      <c r="V143">
        <v>160000</v>
      </c>
      <c r="W143">
        <v>9.9</v>
      </c>
      <c r="X143">
        <v>1590000</v>
      </c>
      <c r="Y143">
        <v>76.5</v>
      </c>
      <c r="Z143">
        <v>1300000000</v>
      </c>
      <c r="AA143">
        <v>3.9</v>
      </c>
      <c r="AB143">
        <v>5410000000</v>
      </c>
      <c r="AC143">
        <v>770000000</v>
      </c>
      <c r="AD143">
        <v>0</v>
      </c>
      <c r="AE143">
        <v>6180000000</v>
      </c>
      <c r="AF143">
        <v>1321000000000</v>
      </c>
      <c r="AG143">
        <v>216000</v>
      </c>
      <c r="AJ143">
        <v>1518000</v>
      </c>
      <c r="AK143">
        <v>38000000000</v>
      </c>
      <c r="AL143">
        <v>5765563</v>
      </c>
      <c r="AM143">
        <v>8.8000000000000007</v>
      </c>
      <c r="AO143">
        <v>24180000000</v>
      </c>
      <c r="AP143">
        <v>750000</v>
      </c>
      <c r="AQ143">
        <v>100000</v>
      </c>
      <c r="AR143">
        <v>3.34</v>
      </c>
      <c r="AS143">
        <v>30</v>
      </c>
    </row>
    <row r="144" spans="1:45" x14ac:dyDescent="0.3">
      <c r="A144" t="s">
        <v>187</v>
      </c>
      <c r="B144">
        <v>160</v>
      </c>
      <c r="C144">
        <v>10.41</v>
      </c>
      <c r="E144">
        <v>7.06</v>
      </c>
      <c r="F144">
        <v>0</v>
      </c>
      <c r="I144">
        <v>2470000000</v>
      </c>
      <c r="J144">
        <v>825000000</v>
      </c>
      <c r="K144">
        <v>25000</v>
      </c>
      <c r="L144">
        <v>11</v>
      </c>
      <c r="P144">
        <v>250</v>
      </c>
      <c r="Q144">
        <v>917300000</v>
      </c>
      <c r="S144">
        <v>4.7</v>
      </c>
      <c r="T144">
        <v>1</v>
      </c>
      <c r="U144">
        <v>3727</v>
      </c>
      <c r="V144">
        <v>20000</v>
      </c>
      <c r="X144">
        <v>29000</v>
      </c>
      <c r="Y144">
        <v>79.55</v>
      </c>
      <c r="AL144">
        <v>33717</v>
      </c>
      <c r="AP144">
        <v>19900</v>
      </c>
      <c r="AQ144">
        <v>11400</v>
      </c>
      <c r="AR144">
        <v>1.51</v>
      </c>
      <c r="AS144">
        <v>1.3</v>
      </c>
    </row>
    <row r="145" spans="1:45" x14ac:dyDescent="0.3">
      <c r="A145" t="s">
        <v>188</v>
      </c>
      <c r="B145">
        <v>65200</v>
      </c>
      <c r="C145">
        <v>8.6199999999999992</v>
      </c>
      <c r="D145">
        <v>-1600000000</v>
      </c>
      <c r="E145">
        <v>10.92</v>
      </c>
      <c r="F145">
        <v>10010000000</v>
      </c>
      <c r="G145">
        <v>10170000000</v>
      </c>
      <c r="H145">
        <v>17930000000</v>
      </c>
      <c r="I145">
        <v>8880000000</v>
      </c>
      <c r="J145">
        <v>45230000000</v>
      </c>
      <c r="K145">
        <v>12500</v>
      </c>
      <c r="L145">
        <v>6.6</v>
      </c>
      <c r="M145">
        <v>0.1</v>
      </c>
      <c r="N145">
        <v>200</v>
      </c>
      <c r="O145">
        <v>1300</v>
      </c>
      <c r="P145">
        <v>77148</v>
      </c>
      <c r="Q145">
        <v>11020000000</v>
      </c>
      <c r="R145">
        <v>12</v>
      </c>
      <c r="S145">
        <v>6.89</v>
      </c>
      <c r="T145">
        <v>1.1000000000000001</v>
      </c>
      <c r="U145">
        <v>67769</v>
      </c>
      <c r="V145">
        <v>695700</v>
      </c>
      <c r="W145">
        <v>21.9</v>
      </c>
      <c r="X145">
        <v>1630000</v>
      </c>
      <c r="Y145">
        <v>73.97</v>
      </c>
      <c r="Z145">
        <v>230800000</v>
      </c>
      <c r="AA145">
        <v>1.9</v>
      </c>
      <c r="AB145">
        <v>2760000000</v>
      </c>
      <c r="AC145">
        <v>0</v>
      </c>
      <c r="AD145">
        <v>2760000000</v>
      </c>
      <c r="AE145">
        <v>0</v>
      </c>
      <c r="AG145">
        <v>72000</v>
      </c>
      <c r="AJ145">
        <v>4594</v>
      </c>
      <c r="AL145">
        <v>3596617</v>
      </c>
      <c r="AM145">
        <v>25.2</v>
      </c>
      <c r="AN145">
        <v>1998</v>
      </c>
      <c r="AO145">
        <v>4610000000</v>
      </c>
      <c r="AP145">
        <v>824200</v>
      </c>
      <c r="AQ145">
        <v>2169900</v>
      </c>
      <c r="AR145">
        <v>1.19</v>
      </c>
      <c r="AS145">
        <v>8</v>
      </c>
    </row>
    <row r="146" spans="1:45" x14ac:dyDescent="0.3">
      <c r="A146" t="s">
        <v>189</v>
      </c>
      <c r="B146">
        <v>2586</v>
      </c>
      <c r="C146">
        <v>12.06</v>
      </c>
      <c r="E146">
        <v>8.41</v>
      </c>
      <c r="G146">
        <v>5735000000</v>
      </c>
      <c r="H146">
        <v>2511000000</v>
      </c>
      <c r="I146">
        <v>13400000000</v>
      </c>
      <c r="J146">
        <v>27270000000</v>
      </c>
      <c r="K146">
        <v>58900</v>
      </c>
      <c r="L146">
        <v>2.2999999999999998</v>
      </c>
      <c r="M146">
        <v>0.2</v>
      </c>
      <c r="N146">
        <v>100</v>
      </c>
      <c r="O146">
        <v>500</v>
      </c>
      <c r="P146">
        <v>5210</v>
      </c>
      <c r="Q146">
        <v>16300000000</v>
      </c>
      <c r="R146">
        <v>2.9</v>
      </c>
      <c r="S146">
        <v>4.8099999999999996</v>
      </c>
      <c r="T146">
        <v>2.4</v>
      </c>
      <c r="U146">
        <v>28214</v>
      </c>
      <c r="V146">
        <v>165000</v>
      </c>
      <c r="W146">
        <v>19.8</v>
      </c>
      <c r="X146">
        <v>293700</v>
      </c>
      <c r="Y146">
        <v>78.739999999999995</v>
      </c>
      <c r="Z146">
        <v>231600000</v>
      </c>
      <c r="AA146">
        <v>0.9</v>
      </c>
      <c r="AB146">
        <v>865000000</v>
      </c>
      <c r="AC146">
        <v>0</v>
      </c>
      <c r="AD146">
        <v>867000000</v>
      </c>
      <c r="AE146">
        <v>0</v>
      </c>
      <c r="AG146">
        <v>50650</v>
      </c>
      <c r="AH146">
        <v>634</v>
      </c>
      <c r="AI146">
        <v>50700</v>
      </c>
      <c r="AJ146">
        <v>0</v>
      </c>
      <c r="AL146">
        <v>468571</v>
      </c>
      <c r="AN146">
        <v>274</v>
      </c>
      <c r="AP146">
        <v>355400</v>
      </c>
      <c r="AQ146">
        <v>473000</v>
      </c>
      <c r="AR146">
        <v>1.79</v>
      </c>
      <c r="AS146">
        <v>4.5</v>
      </c>
    </row>
    <row r="147" spans="1:45" x14ac:dyDescent="0.3">
      <c r="A147" t="s">
        <v>190</v>
      </c>
      <c r="B147">
        <v>25</v>
      </c>
      <c r="C147">
        <v>8.0399999999999991</v>
      </c>
      <c r="E147">
        <v>4.2300000000000004</v>
      </c>
      <c r="F147">
        <v>2700000000</v>
      </c>
      <c r="G147">
        <v>1772000000</v>
      </c>
      <c r="H147">
        <v>1719000000</v>
      </c>
      <c r="I147">
        <v>2580000000</v>
      </c>
      <c r="J147">
        <v>9100000000</v>
      </c>
      <c r="K147">
        <v>19400</v>
      </c>
      <c r="L147">
        <v>15.6</v>
      </c>
      <c r="P147">
        <v>341</v>
      </c>
      <c r="Q147">
        <v>2760000000</v>
      </c>
      <c r="S147">
        <v>4.3899999999999997</v>
      </c>
      <c r="T147">
        <v>2</v>
      </c>
      <c r="U147">
        <v>89</v>
      </c>
      <c r="V147">
        <v>120000</v>
      </c>
      <c r="X147">
        <v>231500</v>
      </c>
      <c r="Y147">
        <v>82.03</v>
      </c>
      <c r="AG147">
        <v>11190</v>
      </c>
      <c r="AJ147">
        <v>0</v>
      </c>
      <c r="AL147">
        <v>449198</v>
      </c>
      <c r="AP147">
        <v>174600</v>
      </c>
      <c r="AQ147">
        <v>364000</v>
      </c>
      <c r="AR147">
        <v>0.93</v>
      </c>
      <c r="AS147">
        <v>4.7</v>
      </c>
    </row>
    <row r="148" spans="1:45" x14ac:dyDescent="0.3">
      <c r="A148" t="s">
        <v>191</v>
      </c>
      <c r="B148">
        <v>25333</v>
      </c>
      <c r="C148">
        <v>12</v>
      </c>
      <c r="D148">
        <v>-311000000</v>
      </c>
      <c r="E148">
        <v>8.73</v>
      </c>
      <c r="F148">
        <v>1863000000</v>
      </c>
      <c r="G148">
        <v>7216000000</v>
      </c>
      <c r="H148">
        <v>6273000000</v>
      </c>
      <c r="I148">
        <v>1629000000</v>
      </c>
      <c r="J148">
        <v>14400000000</v>
      </c>
      <c r="K148">
        <v>7100</v>
      </c>
      <c r="L148">
        <v>1.3</v>
      </c>
      <c r="M148">
        <v>0.1</v>
      </c>
      <c r="N148">
        <v>100</v>
      </c>
      <c r="O148">
        <v>200</v>
      </c>
      <c r="P148">
        <v>8684</v>
      </c>
      <c r="Q148">
        <v>2677000000</v>
      </c>
      <c r="R148">
        <v>0</v>
      </c>
      <c r="S148">
        <v>10.09</v>
      </c>
      <c r="T148">
        <v>0.4</v>
      </c>
      <c r="U148">
        <v>3738</v>
      </c>
      <c r="V148">
        <v>100000</v>
      </c>
      <c r="W148">
        <v>17.5</v>
      </c>
      <c r="X148">
        <v>855000</v>
      </c>
      <c r="Y148">
        <v>73.73</v>
      </c>
      <c r="Z148">
        <v>200000000</v>
      </c>
      <c r="AA148">
        <v>6</v>
      </c>
      <c r="AG148">
        <v>22000</v>
      </c>
      <c r="AJ148">
        <v>0</v>
      </c>
      <c r="AL148">
        <v>2045262</v>
      </c>
      <c r="AM148">
        <v>20</v>
      </c>
      <c r="AN148">
        <v>699</v>
      </c>
      <c r="AO148">
        <v>928000000</v>
      </c>
      <c r="AP148">
        <v>560000</v>
      </c>
      <c r="AQ148">
        <v>365300</v>
      </c>
      <c r="AR148">
        <v>1.57</v>
      </c>
      <c r="AS148">
        <v>37.700000000000003</v>
      </c>
    </row>
    <row r="149" spans="1:45" x14ac:dyDescent="0.3">
      <c r="A149" t="s">
        <v>192</v>
      </c>
      <c r="B149">
        <v>587040</v>
      </c>
      <c r="C149">
        <v>41.66</v>
      </c>
      <c r="D149">
        <v>-281900000</v>
      </c>
      <c r="E149">
        <v>11.35</v>
      </c>
      <c r="F149">
        <v>4600000000</v>
      </c>
      <c r="G149">
        <v>781400000</v>
      </c>
      <c r="H149">
        <v>840200000</v>
      </c>
      <c r="I149">
        <v>868200000</v>
      </c>
      <c r="J149">
        <v>14560000000</v>
      </c>
      <c r="K149">
        <v>800</v>
      </c>
      <c r="L149">
        <v>5.5</v>
      </c>
      <c r="M149">
        <v>1.7</v>
      </c>
      <c r="N149">
        <v>7500</v>
      </c>
      <c r="O149">
        <v>140000</v>
      </c>
      <c r="P149">
        <v>49827</v>
      </c>
      <c r="Q149">
        <v>1147000000</v>
      </c>
      <c r="R149">
        <v>3</v>
      </c>
      <c r="S149">
        <v>76.83</v>
      </c>
      <c r="T149">
        <v>7.5</v>
      </c>
      <c r="U149">
        <v>773</v>
      </c>
      <c r="V149">
        <v>70500</v>
      </c>
      <c r="W149">
        <v>14.7</v>
      </c>
      <c r="X149">
        <v>7300000</v>
      </c>
      <c r="Y149">
        <v>56.95</v>
      </c>
      <c r="Z149">
        <v>44600000</v>
      </c>
      <c r="AA149">
        <v>1.2</v>
      </c>
      <c r="AF149">
        <v>0</v>
      </c>
      <c r="AG149">
        <v>13000</v>
      </c>
      <c r="AJ149">
        <v>0</v>
      </c>
      <c r="AK149">
        <v>0</v>
      </c>
      <c r="AL149">
        <v>18040341</v>
      </c>
      <c r="AN149">
        <v>732</v>
      </c>
      <c r="AO149">
        <v>500300000</v>
      </c>
      <c r="AP149">
        <v>59600</v>
      </c>
      <c r="AQ149">
        <v>279500</v>
      </c>
      <c r="AR149">
        <v>5.66</v>
      </c>
    </row>
    <row r="150" spans="1:45" x14ac:dyDescent="0.3">
      <c r="A150" t="s">
        <v>193</v>
      </c>
      <c r="B150">
        <v>118480</v>
      </c>
      <c r="C150">
        <v>43.95</v>
      </c>
      <c r="D150">
        <v>-55500000</v>
      </c>
      <c r="E150">
        <v>23.39</v>
      </c>
      <c r="F150">
        <v>3129000000</v>
      </c>
      <c r="G150">
        <v>1012000000</v>
      </c>
      <c r="H150">
        <v>1088000000</v>
      </c>
      <c r="I150">
        <v>503400000</v>
      </c>
      <c r="J150">
        <v>7410000000</v>
      </c>
      <c r="K150">
        <v>600</v>
      </c>
      <c r="L150">
        <v>4</v>
      </c>
      <c r="M150">
        <v>14.2</v>
      </c>
      <c r="N150">
        <v>84000</v>
      </c>
      <c r="O150">
        <v>900000</v>
      </c>
      <c r="P150">
        <v>28400</v>
      </c>
      <c r="Q150">
        <v>521100000</v>
      </c>
      <c r="R150">
        <v>1.4</v>
      </c>
      <c r="S150">
        <v>103.32</v>
      </c>
      <c r="T150">
        <v>12</v>
      </c>
      <c r="U150">
        <v>18</v>
      </c>
      <c r="V150">
        <v>36000</v>
      </c>
      <c r="W150">
        <v>10.7</v>
      </c>
      <c r="X150">
        <v>4500000</v>
      </c>
      <c r="Y150">
        <v>36.97</v>
      </c>
      <c r="Z150">
        <v>11100000</v>
      </c>
      <c r="AA150">
        <v>0.7</v>
      </c>
      <c r="AG150">
        <v>5400</v>
      </c>
      <c r="AJ150">
        <v>0</v>
      </c>
      <c r="AL150">
        <v>12158924</v>
      </c>
      <c r="AM150">
        <v>228.3</v>
      </c>
      <c r="AN150">
        <v>797</v>
      </c>
      <c r="AO150">
        <v>160500000</v>
      </c>
      <c r="AP150">
        <v>85000</v>
      </c>
      <c r="AQ150">
        <v>135100</v>
      </c>
      <c r="AR150">
        <v>5.98</v>
      </c>
    </row>
    <row r="151" spans="1:45" x14ac:dyDescent="0.3">
      <c r="A151" t="s">
        <v>194</v>
      </c>
      <c r="B151">
        <v>329750</v>
      </c>
      <c r="C151">
        <v>23.07</v>
      </c>
      <c r="D151">
        <v>11810000000</v>
      </c>
      <c r="E151">
        <v>5.0599999999999996</v>
      </c>
      <c r="F151">
        <v>53360000000</v>
      </c>
      <c r="G151">
        <v>68400000000</v>
      </c>
      <c r="H151">
        <v>75330000000</v>
      </c>
      <c r="I151">
        <v>123500000000</v>
      </c>
      <c r="J151">
        <v>229300000000</v>
      </c>
      <c r="K151">
        <v>9700</v>
      </c>
      <c r="L151">
        <v>7.1</v>
      </c>
      <c r="M151">
        <v>0.4</v>
      </c>
      <c r="N151">
        <v>2000</v>
      </c>
      <c r="O151">
        <v>52000</v>
      </c>
      <c r="P151">
        <v>65877</v>
      </c>
      <c r="Q151">
        <v>99300000000</v>
      </c>
      <c r="R151">
        <v>10.199999999999999</v>
      </c>
      <c r="S151">
        <v>17.7</v>
      </c>
      <c r="T151">
        <v>1.3</v>
      </c>
      <c r="U151">
        <v>107971</v>
      </c>
      <c r="V151">
        <v>8692100</v>
      </c>
      <c r="W151">
        <v>21.7</v>
      </c>
      <c r="X151">
        <v>10490000</v>
      </c>
      <c r="Y151">
        <v>72.239999999999995</v>
      </c>
      <c r="Z151">
        <v>1690000000</v>
      </c>
      <c r="AA151">
        <v>2.0299999999999998</v>
      </c>
      <c r="AB151">
        <v>31250000000</v>
      </c>
      <c r="AC151">
        <v>22410000000</v>
      </c>
      <c r="AD151">
        <v>0</v>
      </c>
      <c r="AE151">
        <v>53660000000</v>
      </c>
      <c r="AF151">
        <v>2230000000000</v>
      </c>
      <c r="AG151">
        <v>460000</v>
      </c>
      <c r="AH151">
        <v>230200</v>
      </c>
      <c r="AJ151">
        <v>785000</v>
      </c>
      <c r="AK151">
        <v>3200000000</v>
      </c>
      <c r="AL151">
        <v>23953136</v>
      </c>
      <c r="AM151">
        <v>45.4</v>
      </c>
      <c r="AN151">
        <v>2418</v>
      </c>
      <c r="AO151">
        <v>55270000000</v>
      </c>
      <c r="AP151">
        <v>4571600</v>
      </c>
      <c r="AQ151">
        <v>11124100</v>
      </c>
      <c r="AR151">
        <v>3.07</v>
      </c>
      <c r="AS151">
        <v>3</v>
      </c>
    </row>
    <row r="152" spans="1:45" x14ac:dyDescent="0.3">
      <c r="A152" t="s">
        <v>195</v>
      </c>
      <c r="B152">
        <v>300</v>
      </c>
      <c r="C152">
        <v>35.43</v>
      </c>
      <c r="E152">
        <v>7.24</v>
      </c>
      <c r="F152">
        <v>281000000</v>
      </c>
      <c r="G152">
        <v>115700000</v>
      </c>
      <c r="H152">
        <v>124400000</v>
      </c>
      <c r="I152">
        <v>90000000</v>
      </c>
      <c r="J152">
        <v>1250000000</v>
      </c>
      <c r="K152">
        <v>3900</v>
      </c>
      <c r="L152">
        <v>2.2999999999999998</v>
      </c>
      <c r="M152">
        <v>0.1</v>
      </c>
      <c r="O152">
        <v>100</v>
      </c>
      <c r="Q152">
        <v>392000000</v>
      </c>
      <c r="R152">
        <v>4.4000000000000004</v>
      </c>
      <c r="S152">
        <v>56.52</v>
      </c>
      <c r="T152">
        <v>1</v>
      </c>
      <c r="U152">
        <v>532</v>
      </c>
      <c r="V152">
        <v>15000</v>
      </c>
      <c r="X152">
        <v>88000</v>
      </c>
      <c r="Y152">
        <v>64.06</v>
      </c>
      <c r="Z152">
        <v>41100000</v>
      </c>
      <c r="AA152">
        <v>5.5</v>
      </c>
      <c r="AG152">
        <v>3200</v>
      </c>
      <c r="AJ152">
        <v>0</v>
      </c>
      <c r="AL152">
        <v>349106</v>
      </c>
      <c r="AP152">
        <v>28700</v>
      </c>
      <c r="AQ152">
        <v>41900</v>
      </c>
      <c r="AR152">
        <v>5.0199999999999996</v>
      </c>
    </row>
    <row r="153" spans="1:45" x14ac:dyDescent="0.3">
      <c r="A153" t="s">
        <v>196</v>
      </c>
      <c r="B153">
        <v>1240000</v>
      </c>
      <c r="C153">
        <v>46.77</v>
      </c>
      <c r="E153">
        <v>19.05</v>
      </c>
      <c r="F153">
        <v>3300000000</v>
      </c>
      <c r="G153">
        <v>651000000</v>
      </c>
      <c r="H153">
        <v>700000000</v>
      </c>
      <c r="I153">
        <v>915000000</v>
      </c>
      <c r="J153">
        <v>11000000000</v>
      </c>
      <c r="K153">
        <v>900</v>
      </c>
      <c r="L153">
        <v>4</v>
      </c>
      <c r="M153">
        <v>1.9</v>
      </c>
      <c r="N153">
        <v>12000</v>
      </c>
      <c r="O153">
        <v>140000</v>
      </c>
      <c r="P153">
        <v>15100</v>
      </c>
      <c r="Q153">
        <v>927000000</v>
      </c>
      <c r="S153">
        <v>116.79</v>
      </c>
      <c r="T153">
        <v>4.5</v>
      </c>
      <c r="U153">
        <v>187</v>
      </c>
      <c r="V153">
        <v>25000</v>
      </c>
      <c r="X153">
        <v>3930000</v>
      </c>
      <c r="Y153">
        <v>45.09</v>
      </c>
      <c r="Z153">
        <v>22400000</v>
      </c>
      <c r="AA153">
        <v>0.4</v>
      </c>
      <c r="AG153">
        <v>4000</v>
      </c>
      <c r="AJ153">
        <v>0</v>
      </c>
      <c r="AL153">
        <v>12291529</v>
      </c>
      <c r="AN153">
        <v>729</v>
      </c>
      <c r="AP153">
        <v>56600</v>
      </c>
      <c r="AQ153">
        <v>250000</v>
      </c>
      <c r="AR153">
        <v>6.5</v>
      </c>
      <c r="AS153">
        <v>5.3</v>
      </c>
    </row>
    <row r="154" spans="1:45" x14ac:dyDescent="0.3">
      <c r="A154" t="s">
        <v>197</v>
      </c>
      <c r="B154">
        <v>316</v>
      </c>
      <c r="C154">
        <v>10.17</v>
      </c>
      <c r="D154">
        <v>-241000000</v>
      </c>
      <c r="E154">
        <v>8</v>
      </c>
      <c r="F154">
        <v>130000000</v>
      </c>
      <c r="G154">
        <v>2000000000</v>
      </c>
      <c r="H154">
        <v>2150000000</v>
      </c>
      <c r="I154">
        <v>2625000000</v>
      </c>
      <c r="J154">
        <v>7223000000</v>
      </c>
      <c r="K154">
        <v>18200</v>
      </c>
      <c r="L154">
        <v>1</v>
      </c>
      <c r="M154">
        <v>0.2</v>
      </c>
      <c r="N154">
        <v>100</v>
      </c>
      <c r="O154">
        <v>500</v>
      </c>
      <c r="P154">
        <v>2222</v>
      </c>
      <c r="Q154">
        <v>3407000000</v>
      </c>
      <c r="S154">
        <v>3.89</v>
      </c>
      <c r="T154">
        <v>2.9</v>
      </c>
      <c r="U154">
        <v>7156</v>
      </c>
      <c r="V154">
        <v>120000</v>
      </c>
      <c r="W154">
        <v>26.4</v>
      </c>
      <c r="X154">
        <v>160000</v>
      </c>
      <c r="Y154">
        <v>78.86</v>
      </c>
      <c r="Z154">
        <v>31100000</v>
      </c>
      <c r="AA154">
        <v>0.7</v>
      </c>
      <c r="AG154">
        <v>20000</v>
      </c>
      <c r="AJ154">
        <v>0</v>
      </c>
      <c r="AL154">
        <v>398534</v>
      </c>
      <c r="AO154">
        <v>2865000000</v>
      </c>
      <c r="AP154">
        <v>208300</v>
      </c>
      <c r="AQ154">
        <v>290000</v>
      </c>
      <c r="AR154">
        <v>1.5</v>
      </c>
      <c r="AS154">
        <v>7</v>
      </c>
    </row>
    <row r="155" spans="1:45" x14ac:dyDescent="0.3">
      <c r="A155" t="s">
        <v>198</v>
      </c>
      <c r="B155">
        <v>572</v>
      </c>
      <c r="C155">
        <v>11.18</v>
      </c>
      <c r="E155">
        <v>11.26</v>
      </c>
      <c r="J155">
        <v>2113000000</v>
      </c>
      <c r="K155">
        <v>28500</v>
      </c>
      <c r="P155">
        <v>800</v>
      </c>
      <c r="R155">
        <v>3.2</v>
      </c>
      <c r="S155">
        <v>5.93</v>
      </c>
      <c r="T155">
        <v>3.6</v>
      </c>
      <c r="X155">
        <v>39690</v>
      </c>
      <c r="Y155">
        <v>78.34</v>
      </c>
      <c r="AL155">
        <v>75049</v>
      </c>
      <c r="AN155">
        <v>61</v>
      </c>
      <c r="AP155">
        <v>51000</v>
      </c>
      <c r="AR155">
        <v>1.65</v>
      </c>
      <c r="AS155">
        <v>0.6</v>
      </c>
    </row>
    <row r="156" spans="1:45" x14ac:dyDescent="0.3">
      <c r="A156" t="s">
        <v>199</v>
      </c>
      <c r="B156">
        <v>181</v>
      </c>
      <c r="C156">
        <v>33.520000000000003</v>
      </c>
      <c r="E156">
        <v>4.88</v>
      </c>
      <c r="F156">
        <v>86500000</v>
      </c>
      <c r="I156">
        <v>9000000</v>
      </c>
      <c r="J156">
        <v>115000000</v>
      </c>
      <c r="K156">
        <v>1600</v>
      </c>
      <c r="L156">
        <v>1</v>
      </c>
      <c r="P156">
        <v>65</v>
      </c>
      <c r="Q156">
        <v>54000000</v>
      </c>
      <c r="S156">
        <v>29.45</v>
      </c>
      <c r="T156">
        <v>2</v>
      </c>
      <c r="U156">
        <v>6</v>
      </c>
      <c r="V156">
        <v>1400</v>
      </c>
      <c r="X156">
        <v>28700</v>
      </c>
      <c r="Y156">
        <v>70.010000000000005</v>
      </c>
      <c r="AL156">
        <v>59071</v>
      </c>
      <c r="AP156">
        <v>4500</v>
      </c>
      <c r="AQ156">
        <v>600</v>
      </c>
      <c r="AR156">
        <v>3.93</v>
      </c>
      <c r="AS156">
        <v>30.9</v>
      </c>
    </row>
    <row r="157" spans="1:45" x14ac:dyDescent="0.3">
      <c r="A157" t="s">
        <v>200</v>
      </c>
      <c r="B157">
        <v>1100</v>
      </c>
      <c r="C157">
        <v>14.14</v>
      </c>
      <c r="E157">
        <v>6.44</v>
      </c>
      <c r="F157">
        <v>180000000</v>
      </c>
      <c r="G157">
        <v>1095000000</v>
      </c>
      <c r="H157">
        <v>1178000000</v>
      </c>
      <c r="I157">
        <v>250000000</v>
      </c>
      <c r="J157">
        <v>6117000000</v>
      </c>
      <c r="K157">
        <v>14400</v>
      </c>
      <c r="P157">
        <v>2105</v>
      </c>
      <c r="Q157">
        <v>2000000000</v>
      </c>
      <c r="S157">
        <v>7.09</v>
      </c>
      <c r="T157">
        <v>3.9</v>
      </c>
      <c r="V157">
        <v>40000</v>
      </c>
      <c r="X157">
        <v>165900</v>
      </c>
      <c r="Y157">
        <v>79.040000000000006</v>
      </c>
      <c r="AG157">
        <v>13500</v>
      </c>
      <c r="AJ157">
        <v>0</v>
      </c>
      <c r="AL157">
        <v>432900</v>
      </c>
      <c r="AP157">
        <v>172000</v>
      </c>
      <c r="AQ157">
        <v>319900</v>
      </c>
      <c r="AR157">
        <v>1.79</v>
      </c>
      <c r="AS157">
        <v>27.2</v>
      </c>
    </row>
    <row r="158" spans="1:45" x14ac:dyDescent="0.3">
      <c r="A158" t="s">
        <v>201</v>
      </c>
      <c r="B158">
        <v>1030700</v>
      </c>
      <c r="C158">
        <v>41.43</v>
      </c>
      <c r="E158">
        <v>12.44</v>
      </c>
      <c r="F158">
        <v>2500000000</v>
      </c>
      <c r="G158">
        <v>176900000</v>
      </c>
      <c r="H158">
        <v>190200000</v>
      </c>
      <c r="I158">
        <v>541000000</v>
      </c>
      <c r="J158">
        <v>5534000000</v>
      </c>
      <c r="K158">
        <v>1800</v>
      </c>
      <c r="L158">
        <v>3</v>
      </c>
      <c r="M158">
        <v>0.6</v>
      </c>
      <c r="O158">
        <v>9500</v>
      </c>
      <c r="P158">
        <v>7660</v>
      </c>
      <c r="Q158">
        <v>860000000</v>
      </c>
      <c r="R158">
        <v>2</v>
      </c>
      <c r="S158">
        <v>70.89</v>
      </c>
      <c r="T158">
        <v>7</v>
      </c>
      <c r="U158">
        <v>25</v>
      </c>
      <c r="V158">
        <v>10000</v>
      </c>
      <c r="X158">
        <v>786000</v>
      </c>
      <c r="Y158">
        <v>52.73</v>
      </c>
      <c r="Z158">
        <v>20800000</v>
      </c>
      <c r="AA158">
        <v>1.7</v>
      </c>
      <c r="AG158">
        <v>24000</v>
      </c>
      <c r="AJ158">
        <v>0</v>
      </c>
      <c r="AL158">
        <v>3086859</v>
      </c>
      <c r="AP158">
        <v>31500</v>
      </c>
      <c r="AQ158">
        <v>300000</v>
      </c>
      <c r="AR158">
        <v>5.94</v>
      </c>
      <c r="AS158">
        <v>20</v>
      </c>
    </row>
    <row r="159" spans="1:45" x14ac:dyDescent="0.3">
      <c r="A159" t="s">
        <v>202</v>
      </c>
      <c r="B159">
        <v>2040</v>
      </c>
      <c r="C159">
        <v>15.62</v>
      </c>
      <c r="D159">
        <v>284100000</v>
      </c>
      <c r="E159">
        <v>6.83</v>
      </c>
      <c r="F159">
        <v>1780000000</v>
      </c>
      <c r="G159">
        <v>1707000000</v>
      </c>
      <c r="H159">
        <v>1836000000</v>
      </c>
      <c r="I159">
        <v>2012000000</v>
      </c>
      <c r="J159">
        <v>15680000000</v>
      </c>
      <c r="K159">
        <v>12800</v>
      </c>
      <c r="L159">
        <v>4.7</v>
      </c>
      <c r="M159">
        <v>0.1</v>
      </c>
      <c r="N159">
        <v>100</v>
      </c>
      <c r="O159">
        <v>700</v>
      </c>
      <c r="P159">
        <v>2000</v>
      </c>
      <c r="Q159">
        <v>2245000000</v>
      </c>
      <c r="R159">
        <v>8</v>
      </c>
      <c r="S159">
        <v>15.03</v>
      </c>
      <c r="T159">
        <v>4.5</v>
      </c>
      <c r="U159">
        <v>3985</v>
      </c>
      <c r="V159">
        <v>150000</v>
      </c>
      <c r="W159">
        <v>22.5</v>
      </c>
      <c r="X159">
        <v>560000</v>
      </c>
      <c r="Y159">
        <v>72.38</v>
      </c>
      <c r="Z159">
        <v>12500000</v>
      </c>
      <c r="AA159">
        <v>0.2</v>
      </c>
      <c r="AG159">
        <v>21000</v>
      </c>
      <c r="AJ159">
        <v>0</v>
      </c>
      <c r="AL159">
        <v>1230602</v>
      </c>
      <c r="AM159">
        <v>29.2</v>
      </c>
      <c r="AO159">
        <v>1676000000</v>
      </c>
      <c r="AP159">
        <v>348200</v>
      </c>
      <c r="AQ159">
        <v>462400</v>
      </c>
      <c r="AR159">
        <v>1.96</v>
      </c>
      <c r="AS159">
        <v>10.8</v>
      </c>
    </row>
    <row r="160" spans="1:45" x14ac:dyDescent="0.3">
      <c r="A160" t="s">
        <v>203</v>
      </c>
      <c r="B160">
        <v>374</v>
      </c>
      <c r="C160">
        <v>41.58</v>
      </c>
      <c r="E160">
        <v>7.9</v>
      </c>
      <c r="I160">
        <v>3440000</v>
      </c>
      <c r="J160">
        <v>466800000</v>
      </c>
      <c r="K160">
        <v>2600</v>
      </c>
      <c r="P160">
        <v>93</v>
      </c>
      <c r="Q160">
        <v>141300000</v>
      </c>
      <c r="S160">
        <v>62.4</v>
      </c>
      <c r="X160">
        <v>48800</v>
      </c>
      <c r="Y160">
        <v>61.39</v>
      </c>
      <c r="AL160">
        <v>193633</v>
      </c>
      <c r="AP160">
        <v>10000</v>
      </c>
      <c r="AQ160">
        <v>21700</v>
      </c>
      <c r="AR160">
        <v>5.89</v>
      </c>
      <c r="AS160">
        <v>38</v>
      </c>
    </row>
    <row r="161" spans="1:45" x14ac:dyDescent="0.3">
      <c r="A161" t="s">
        <v>204</v>
      </c>
      <c r="B161">
        <v>1972550</v>
      </c>
      <c r="C161">
        <v>21.01</v>
      </c>
      <c r="D161">
        <v>-4113000000</v>
      </c>
      <c r="E161">
        <v>4.7300000000000004</v>
      </c>
      <c r="F161">
        <v>149900000000</v>
      </c>
      <c r="G161">
        <v>189700000000</v>
      </c>
      <c r="H161">
        <v>203600000000</v>
      </c>
      <c r="I161">
        <v>182400000000</v>
      </c>
      <c r="J161">
        <v>1006000000000</v>
      </c>
      <c r="K161">
        <v>9600</v>
      </c>
      <c r="L161">
        <v>4.0999999999999996</v>
      </c>
      <c r="M161">
        <v>0.3</v>
      </c>
      <c r="N161">
        <v>5000</v>
      </c>
      <c r="O161">
        <v>160000</v>
      </c>
      <c r="P161">
        <v>329532</v>
      </c>
      <c r="Q161">
        <v>190800000000</v>
      </c>
      <c r="R161">
        <v>3.8</v>
      </c>
      <c r="S161">
        <v>20.91</v>
      </c>
      <c r="T161">
        <v>5.4</v>
      </c>
      <c r="U161">
        <v>1333406</v>
      </c>
      <c r="V161">
        <v>10033000</v>
      </c>
      <c r="W161">
        <v>19.399999999999999</v>
      </c>
      <c r="X161">
        <v>34730000</v>
      </c>
      <c r="Y161">
        <v>75.19</v>
      </c>
      <c r="Z161">
        <v>6043000000</v>
      </c>
      <c r="AA161">
        <v>0.9</v>
      </c>
      <c r="AB161">
        <v>55100000000</v>
      </c>
      <c r="AC161">
        <v>0</v>
      </c>
      <c r="AD161">
        <v>7850000000</v>
      </c>
      <c r="AE161">
        <v>47300000000</v>
      </c>
      <c r="AF161">
        <v>420000000000</v>
      </c>
      <c r="AG161">
        <v>1752000</v>
      </c>
      <c r="AH161">
        <v>1863000</v>
      </c>
      <c r="AI161">
        <v>205000</v>
      </c>
      <c r="AJ161">
        <v>3460000</v>
      </c>
      <c r="AK161">
        <v>18000000000</v>
      </c>
      <c r="AL161">
        <v>106202903</v>
      </c>
      <c r="AM161">
        <v>23.5</v>
      </c>
      <c r="AN161">
        <v>19510</v>
      </c>
      <c r="AO161">
        <v>60670000000</v>
      </c>
      <c r="AP161">
        <v>15958700</v>
      </c>
      <c r="AQ161">
        <v>28125000</v>
      </c>
      <c r="AR161">
        <v>2.4500000000000002</v>
      </c>
      <c r="AS161">
        <v>3.2</v>
      </c>
    </row>
    <row r="162" spans="1:45" x14ac:dyDescent="0.3">
      <c r="A162" t="s">
        <v>205</v>
      </c>
      <c r="B162">
        <v>702</v>
      </c>
      <c r="C162">
        <v>25.11</v>
      </c>
      <c r="E162">
        <v>4.87</v>
      </c>
      <c r="F162">
        <v>53100000</v>
      </c>
      <c r="G162">
        <v>178600000</v>
      </c>
      <c r="H162">
        <v>192000000</v>
      </c>
      <c r="I162">
        <v>22000000</v>
      </c>
      <c r="J162">
        <v>277000000</v>
      </c>
      <c r="K162">
        <v>2000</v>
      </c>
      <c r="L162">
        <v>1</v>
      </c>
      <c r="P162">
        <v>240</v>
      </c>
      <c r="Q162">
        <v>149000000</v>
      </c>
      <c r="S162">
        <v>30.21</v>
      </c>
      <c r="T162">
        <v>1</v>
      </c>
      <c r="V162">
        <v>6000</v>
      </c>
      <c r="Y162">
        <v>69.75</v>
      </c>
      <c r="AL162">
        <v>108105</v>
      </c>
      <c r="AP162">
        <v>10100</v>
      </c>
      <c r="AQ162">
        <v>1800</v>
      </c>
      <c r="AR162">
        <v>3.25</v>
      </c>
      <c r="AS162">
        <v>16</v>
      </c>
    </row>
    <row r="163" spans="1:45" x14ac:dyDescent="0.3">
      <c r="A163" t="s">
        <v>206</v>
      </c>
      <c r="B163">
        <v>6</v>
      </c>
    </row>
    <row r="164" spans="1:45" x14ac:dyDescent="0.3">
      <c r="A164" t="s">
        <v>207</v>
      </c>
      <c r="B164">
        <v>33843</v>
      </c>
      <c r="C164">
        <v>15.27</v>
      </c>
      <c r="D164">
        <v>-148400000</v>
      </c>
      <c r="E164">
        <v>12.79</v>
      </c>
      <c r="F164">
        <v>1400000000</v>
      </c>
      <c r="G164">
        <v>4605000000</v>
      </c>
      <c r="H164">
        <v>3876000000</v>
      </c>
      <c r="I164">
        <v>1030000000</v>
      </c>
      <c r="J164">
        <v>8581000000</v>
      </c>
      <c r="K164">
        <v>1900</v>
      </c>
      <c r="L164">
        <v>6.8</v>
      </c>
      <c r="M164">
        <v>0.2</v>
      </c>
      <c r="N164">
        <v>300</v>
      </c>
      <c r="O164">
        <v>5500</v>
      </c>
      <c r="P164">
        <v>12719</v>
      </c>
      <c r="Q164">
        <v>1830000000</v>
      </c>
      <c r="R164">
        <v>17</v>
      </c>
      <c r="S164">
        <v>40.42</v>
      </c>
      <c r="T164">
        <v>11.5</v>
      </c>
      <c r="U164">
        <v>11984</v>
      </c>
      <c r="V164">
        <v>150000</v>
      </c>
      <c r="W164">
        <v>17.100000000000001</v>
      </c>
      <c r="X164">
        <v>1360000</v>
      </c>
      <c r="Y164">
        <v>65.180000000000007</v>
      </c>
      <c r="Z164">
        <v>8700000</v>
      </c>
      <c r="AA164">
        <v>0.4</v>
      </c>
      <c r="AB164">
        <v>2050000000</v>
      </c>
      <c r="AC164">
        <v>0</v>
      </c>
      <c r="AD164">
        <v>2050000000</v>
      </c>
      <c r="AE164">
        <v>0</v>
      </c>
      <c r="AG164">
        <v>24000</v>
      </c>
      <c r="AJ164">
        <v>0</v>
      </c>
      <c r="AL164">
        <v>4455421</v>
      </c>
      <c r="AM164">
        <v>63.4</v>
      </c>
      <c r="AN164">
        <v>1138</v>
      </c>
      <c r="AO164">
        <v>390000000</v>
      </c>
      <c r="AP164">
        <v>706900</v>
      </c>
      <c r="AQ164">
        <v>338200</v>
      </c>
      <c r="AR164">
        <v>1.81</v>
      </c>
      <c r="AS164">
        <v>8</v>
      </c>
    </row>
    <row r="165" spans="1:45" x14ac:dyDescent="0.3">
      <c r="A165" t="s">
        <v>208</v>
      </c>
      <c r="B165">
        <v>2</v>
      </c>
      <c r="C165">
        <v>9.26</v>
      </c>
      <c r="E165">
        <v>12.71</v>
      </c>
      <c r="F165">
        <v>18000000000</v>
      </c>
      <c r="J165">
        <v>870000000</v>
      </c>
      <c r="K165">
        <v>27000</v>
      </c>
      <c r="L165">
        <v>0.9</v>
      </c>
      <c r="P165">
        <v>50</v>
      </c>
      <c r="S165">
        <v>5.43</v>
      </c>
      <c r="T165">
        <v>1.9</v>
      </c>
      <c r="U165">
        <v>533</v>
      </c>
      <c r="V165">
        <v>16000</v>
      </c>
      <c r="X165">
        <v>30540</v>
      </c>
      <c r="Y165">
        <v>79.569999999999993</v>
      </c>
      <c r="AL165">
        <v>32409</v>
      </c>
      <c r="AP165">
        <v>33700</v>
      </c>
      <c r="AQ165">
        <v>19300</v>
      </c>
      <c r="AR165">
        <v>1.76</v>
      </c>
      <c r="AS165">
        <v>22</v>
      </c>
    </row>
    <row r="166" spans="1:45" x14ac:dyDescent="0.3">
      <c r="A166" t="s">
        <v>209</v>
      </c>
      <c r="B166">
        <v>1564116</v>
      </c>
      <c r="C166">
        <v>21.52</v>
      </c>
      <c r="E166">
        <v>7.03</v>
      </c>
      <c r="F166">
        <v>1191000000</v>
      </c>
      <c r="G166">
        <v>2209000000</v>
      </c>
      <c r="H166">
        <v>2692000000</v>
      </c>
      <c r="I166">
        <v>853000000</v>
      </c>
      <c r="J166">
        <v>5332000000</v>
      </c>
      <c r="K166">
        <v>1900</v>
      </c>
      <c r="L166">
        <v>10.6</v>
      </c>
      <c r="M166">
        <v>0.1</v>
      </c>
      <c r="N166">
        <v>200</v>
      </c>
      <c r="O166">
        <v>500</v>
      </c>
      <c r="P166">
        <v>49256</v>
      </c>
      <c r="Q166">
        <v>1000000000</v>
      </c>
      <c r="R166">
        <v>4.0999999999999996</v>
      </c>
      <c r="S166">
        <v>53.79</v>
      </c>
      <c r="T166">
        <v>11</v>
      </c>
      <c r="U166">
        <v>1000</v>
      </c>
      <c r="V166">
        <v>220000</v>
      </c>
      <c r="X166">
        <v>1488000</v>
      </c>
      <c r="Y166">
        <v>64.52</v>
      </c>
      <c r="Z166">
        <v>23100000</v>
      </c>
      <c r="AA166">
        <v>2.2000000000000002</v>
      </c>
      <c r="AG166">
        <v>11000</v>
      </c>
      <c r="AH166">
        <v>497</v>
      </c>
      <c r="AI166">
        <v>11000</v>
      </c>
      <c r="AJ166">
        <v>542</v>
      </c>
      <c r="AL166">
        <v>2791272</v>
      </c>
      <c r="AP166">
        <v>142300</v>
      </c>
      <c r="AQ166">
        <v>404400</v>
      </c>
      <c r="AR166">
        <v>2.2599999999999998</v>
      </c>
      <c r="AS166">
        <v>6.7</v>
      </c>
    </row>
    <row r="167" spans="1:45" x14ac:dyDescent="0.3">
      <c r="A167" t="s">
        <v>210</v>
      </c>
      <c r="B167">
        <v>102</v>
      </c>
      <c r="C167">
        <v>17.559999999999999</v>
      </c>
      <c r="E167">
        <v>7.17</v>
      </c>
      <c r="F167">
        <v>8900000</v>
      </c>
      <c r="G167">
        <v>1674000</v>
      </c>
      <c r="H167">
        <v>1800000</v>
      </c>
      <c r="I167">
        <v>700000</v>
      </c>
      <c r="J167">
        <v>29000000</v>
      </c>
      <c r="K167">
        <v>3400</v>
      </c>
      <c r="L167">
        <v>-1</v>
      </c>
      <c r="P167">
        <v>227</v>
      </c>
      <c r="Q167">
        <v>17000000</v>
      </c>
      <c r="S167">
        <v>7.35</v>
      </c>
      <c r="T167">
        <v>2.6</v>
      </c>
      <c r="X167">
        <v>4521</v>
      </c>
      <c r="Y167">
        <v>78.709999999999994</v>
      </c>
      <c r="AG167">
        <v>400</v>
      </c>
      <c r="AJ167">
        <v>0</v>
      </c>
      <c r="AL167">
        <v>9341</v>
      </c>
      <c r="AQ167">
        <v>70</v>
      </c>
      <c r="AR167">
        <v>1.78</v>
      </c>
      <c r="AS167">
        <v>6</v>
      </c>
    </row>
    <row r="168" spans="1:45" x14ac:dyDescent="0.3">
      <c r="A168" t="s">
        <v>211</v>
      </c>
      <c r="B168">
        <v>446550</v>
      </c>
      <c r="C168">
        <v>22.29</v>
      </c>
      <c r="D168">
        <v>765400000</v>
      </c>
      <c r="E168">
        <v>5.64</v>
      </c>
      <c r="F168">
        <v>17070000000</v>
      </c>
      <c r="G168">
        <v>14240000000</v>
      </c>
      <c r="H168">
        <v>13910000000</v>
      </c>
      <c r="I168">
        <v>9754000000</v>
      </c>
      <c r="J168">
        <v>134600000000</v>
      </c>
      <c r="K168">
        <v>4200</v>
      </c>
      <c r="L168">
        <v>4.4000000000000004</v>
      </c>
      <c r="M168">
        <v>0.1</v>
      </c>
      <c r="O168">
        <v>15000</v>
      </c>
      <c r="P168">
        <v>57694</v>
      </c>
      <c r="Q168">
        <v>15630000000</v>
      </c>
      <c r="S168">
        <v>41.62</v>
      </c>
      <c r="T168">
        <v>2.1</v>
      </c>
      <c r="U168">
        <v>3627</v>
      </c>
      <c r="V168">
        <v>800000</v>
      </c>
      <c r="W168">
        <v>22.4</v>
      </c>
      <c r="X168">
        <v>11020000</v>
      </c>
      <c r="Y168">
        <v>70.66</v>
      </c>
      <c r="Z168">
        <v>2305600000</v>
      </c>
      <c r="AA168">
        <v>5</v>
      </c>
      <c r="AB168">
        <v>50000000</v>
      </c>
      <c r="AC168">
        <v>0</v>
      </c>
      <c r="AD168">
        <v>0</v>
      </c>
      <c r="AE168">
        <v>50000000</v>
      </c>
      <c r="AF168">
        <v>665400000</v>
      </c>
      <c r="AG168">
        <v>167000</v>
      </c>
      <c r="AJ168">
        <v>1000</v>
      </c>
      <c r="AK168">
        <v>300000000</v>
      </c>
      <c r="AL168">
        <v>32725847</v>
      </c>
      <c r="AM168">
        <v>70.2</v>
      </c>
      <c r="AN168">
        <v>1907</v>
      </c>
      <c r="AO168">
        <v>15140000000</v>
      </c>
      <c r="AP168">
        <v>1219200</v>
      </c>
      <c r="AQ168">
        <v>7332800</v>
      </c>
      <c r="AR168">
        <v>2.73</v>
      </c>
      <c r="AS168">
        <v>12.1</v>
      </c>
    </row>
    <row r="169" spans="1:45" x14ac:dyDescent="0.3">
      <c r="A169" t="s">
        <v>212</v>
      </c>
      <c r="B169">
        <v>801590</v>
      </c>
      <c r="C169">
        <v>35.79</v>
      </c>
      <c r="D169">
        <v>-101200000</v>
      </c>
      <c r="E169">
        <v>20.99</v>
      </c>
      <c r="F169">
        <v>966000000</v>
      </c>
      <c r="G169">
        <v>5046000000</v>
      </c>
      <c r="H169">
        <v>8859000000</v>
      </c>
      <c r="I169">
        <v>689400000</v>
      </c>
      <c r="J169">
        <v>23380000000</v>
      </c>
      <c r="K169">
        <v>1200</v>
      </c>
      <c r="L169">
        <v>8.1999999999999993</v>
      </c>
      <c r="M169">
        <v>12.2</v>
      </c>
      <c r="N169">
        <v>110000</v>
      </c>
      <c r="O169">
        <v>1300000</v>
      </c>
      <c r="P169">
        <v>30400</v>
      </c>
      <c r="Q169">
        <v>972900000</v>
      </c>
      <c r="R169">
        <v>3.4</v>
      </c>
      <c r="S169">
        <v>130.79</v>
      </c>
      <c r="T169">
        <v>12.8</v>
      </c>
      <c r="U169">
        <v>3249</v>
      </c>
      <c r="V169">
        <v>50000</v>
      </c>
      <c r="W169">
        <v>47</v>
      </c>
      <c r="X169">
        <v>9200000</v>
      </c>
      <c r="Y169">
        <v>40.32</v>
      </c>
      <c r="Z169">
        <v>117300000</v>
      </c>
      <c r="AA169">
        <v>2.2000000000000002</v>
      </c>
      <c r="AB169">
        <v>60000000</v>
      </c>
      <c r="AC169">
        <v>0</v>
      </c>
      <c r="AD169">
        <v>0</v>
      </c>
      <c r="AE169">
        <v>60000000</v>
      </c>
      <c r="AF169">
        <v>63710000000</v>
      </c>
      <c r="AG169">
        <v>8500</v>
      </c>
      <c r="AJ169">
        <v>0</v>
      </c>
      <c r="AK169">
        <v>0</v>
      </c>
      <c r="AL169">
        <v>19406703</v>
      </c>
      <c r="AN169">
        <v>3123</v>
      </c>
      <c r="AO169">
        <v>1206000000</v>
      </c>
      <c r="AP169">
        <v>83700</v>
      </c>
      <c r="AQ169">
        <v>428900</v>
      </c>
      <c r="AR169">
        <v>4.7</v>
      </c>
      <c r="AS169">
        <v>21</v>
      </c>
    </row>
    <row r="170" spans="1:45" x14ac:dyDescent="0.3">
      <c r="A170" t="s">
        <v>213</v>
      </c>
      <c r="B170">
        <v>825418</v>
      </c>
      <c r="C170">
        <v>25.16</v>
      </c>
      <c r="D170">
        <v>234300000</v>
      </c>
      <c r="E170">
        <v>18.36</v>
      </c>
      <c r="F170">
        <v>1136000000</v>
      </c>
      <c r="G170">
        <v>1920000000</v>
      </c>
      <c r="H170">
        <v>1167000000</v>
      </c>
      <c r="I170">
        <v>1356000000</v>
      </c>
      <c r="J170">
        <v>14760000000</v>
      </c>
      <c r="K170">
        <v>7300</v>
      </c>
      <c r="L170">
        <v>4.8</v>
      </c>
      <c r="M170">
        <v>21.3</v>
      </c>
      <c r="N170">
        <v>16000</v>
      </c>
      <c r="O170">
        <v>210000</v>
      </c>
      <c r="P170">
        <v>42237</v>
      </c>
      <c r="Q170">
        <v>1473000000</v>
      </c>
      <c r="S170">
        <v>48.98</v>
      </c>
      <c r="T170">
        <v>4.2</v>
      </c>
      <c r="U170">
        <v>3164</v>
      </c>
      <c r="V170">
        <v>65000</v>
      </c>
      <c r="W170">
        <v>19.600000000000001</v>
      </c>
      <c r="X170">
        <v>840000</v>
      </c>
      <c r="Y170">
        <v>43.93</v>
      </c>
      <c r="Z170">
        <v>168400000</v>
      </c>
      <c r="AA170">
        <v>3.1</v>
      </c>
      <c r="AF170">
        <v>31150000000</v>
      </c>
      <c r="AG170">
        <v>13000</v>
      </c>
      <c r="AJ170">
        <v>0</v>
      </c>
      <c r="AK170">
        <v>0</v>
      </c>
      <c r="AL170">
        <v>2030692</v>
      </c>
      <c r="AM170">
        <v>38.5</v>
      </c>
      <c r="AN170">
        <v>2382</v>
      </c>
      <c r="AO170">
        <v>360000000</v>
      </c>
      <c r="AP170">
        <v>127400</v>
      </c>
      <c r="AQ170">
        <v>223700</v>
      </c>
      <c r="AR170">
        <v>3.18</v>
      </c>
      <c r="AS170">
        <v>35</v>
      </c>
    </row>
    <row r="171" spans="1:45" x14ac:dyDescent="0.3">
      <c r="A171" t="s">
        <v>214</v>
      </c>
      <c r="B171">
        <v>21</v>
      </c>
      <c r="C171">
        <v>25.14</v>
      </c>
      <c r="E171">
        <v>6.82</v>
      </c>
      <c r="F171">
        <v>33300000</v>
      </c>
      <c r="G171">
        <v>27900000</v>
      </c>
      <c r="H171">
        <v>30000000</v>
      </c>
      <c r="I171">
        <v>640000</v>
      </c>
      <c r="J171">
        <v>60000000</v>
      </c>
      <c r="K171">
        <v>5000</v>
      </c>
      <c r="P171">
        <v>30</v>
      </c>
      <c r="Q171">
        <v>19800000</v>
      </c>
      <c r="S171">
        <v>9.9499999999999993</v>
      </c>
      <c r="T171">
        <v>-3.6</v>
      </c>
      <c r="V171">
        <v>300</v>
      </c>
      <c r="Y171">
        <v>62.73</v>
      </c>
      <c r="AG171">
        <v>1000</v>
      </c>
      <c r="AJ171">
        <v>0</v>
      </c>
      <c r="AL171">
        <v>13048</v>
      </c>
      <c r="AP171">
        <v>1900</v>
      </c>
      <c r="AQ171">
        <v>1500</v>
      </c>
      <c r="AR171">
        <v>3.19</v>
      </c>
      <c r="AS171">
        <v>90</v>
      </c>
    </row>
    <row r="172" spans="1:45" x14ac:dyDescent="0.3">
      <c r="A172" t="s">
        <v>215</v>
      </c>
      <c r="B172">
        <v>5</v>
      </c>
    </row>
    <row r="173" spans="1:45" x14ac:dyDescent="0.3">
      <c r="A173" t="s">
        <v>216</v>
      </c>
      <c r="B173">
        <v>140800</v>
      </c>
      <c r="C173">
        <v>31.45</v>
      </c>
      <c r="E173">
        <v>9.4700000000000006</v>
      </c>
      <c r="F173">
        <v>2700000000</v>
      </c>
      <c r="G173">
        <v>2005000000</v>
      </c>
      <c r="H173">
        <v>2054000000</v>
      </c>
      <c r="I173">
        <v>568000000</v>
      </c>
      <c r="J173">
        <v>39530000000</v>
      </c>
      <c r="K173">
        <v>1500</v>
      </c>
      <c r="L173">
        <v>3</v>
      </c>
      <c r="M173">
        <v>0.5</v>
      </c>
      <c r="N173">
        <v>3100</v>
      </c>
      <c r="O173">
        <v>61000</v>
      </c>
      <c r="P173">
        <v>13223</v>
      </c>
      <c r="Q173">
        <v>1419000000</v>
      </c>
      <c r="R173">
        <v>8.6999999999999993</v>
      </c>
      <c r="S173">
        <v>66.98</v>
      </c>
      <c r="T173">
        <v>2.9</v>
      </c>
      <c r="U173">
        <v>917</v>
      </c>
      <c r="V173">
        <v>80000</v>
      </c>
      <c r="X173">
        <v>10000000</v>
      </c>
      <c r="Y173">
        <v>59.8</v>
      </c>
      <c r="Z173">
        <v>99200000</v>
      </c>
      <c r="AA173">
        <v>1.5</v>
      </c>
      <c r="AG173">
        <v>16000</v>
      </c>
      <c r="AJ173">
        <v>0</v>
      </c>
      <c r="AL173">
        <v>27676547</v>
      </c>
      <c r="AN173">
        <v>59</v>
      </c>
      <c r="AP173">
        <v>371800</v>
      </c>
      <c r="AQ173">
        <v>50400</v>
      </c>
      <c r="AR173">
        <v>4.1900000000000004</v>
      </c>
      <c r="AS173">
        <v>47</v>
      </c>
    </row>
    <row r="174" spans="1:45" x14ac:dyDescent="0.3">
      <c r="A174" t="s">
        <v>217</v>
      </c>
      <c r="B174">
        <v>41526</v>
      </c>
      <c r="C174">
        <v>11.14</v>
      </c>
      <c r="D174">
        <v>19900000000</v>
      </c>
      <c r="E174">
        <v>8.68</v>
      </c>
      <c r="G174">
        <v>100700000000</v>
      </c>
      <c r="H174">
        <v>90610000000</v>
      </c>
      <c r="I174">
        <v>293100000000</v>
      </c>
      <c r="J174">
        <v>481100000000</v>
      </c>
      <c r="K174">
        <v>29500</v>
      </c>
      <c r="L174">
        <v>1.2</v>
      </c>
      <c r="M174">
        <v>0.2</v>
      </c>
      <c r="N174">
        <v>100</v>
      </c>
      <c r="O174">
        <v>19000</v>
      </c>
      <c r="P174">
        <v>116500</v>
      </c>
      <c r="Q174">
        <v>252700000000</v>
      </c>
      <c r="R174">
        <v>0.8</v>
      </c>
      <c r="S174">
        <v>5.04</v>
      </c>
      <c r="T174">
        <v>1.4</v>
      </c>
      <c r="U174">
        <v>4518226</v>
      </c>
      <c r="V174">
        <v>8500000</v>
      </c>
      <c r="W174">
        <v>19.899999999999999</v>
      </c>
      <c r="X174">
        <v>7530000</v>
      </c>
      <c r="Y174">
        <v>78.81</v>
      </c>
      <c r="Z174">
        <v>9408000000</v>
      </c>
      <c r="AA174">
        <v>1.6</v>
      </c>
      <c r="AB174">
        <v>49720000000</v>
      </c>
      <c r="AC174">
        <v>49280000000</v>
      </c>
      <c r="AD174">
        <v>20780000000</v>
      </c>
      <c r="AE174">
        <v>77750000000</v>
      </c>
      <c r="AF174">
        <v>1693000000000</v>
      </c>
      <c r="AG174">
        <v>895300</v>
      </c>
      <c r="AH174">
        <v>1418000</v>
      </c>
      <c r="AI174">
        <v>2284000</v>
      </c>
      <c r="AJ174">
        <v>46200</v>
      </c>
      <c r="AK174">
        <v>88060000</v>
      </c>
      <c r="AL174">
        <v>16407491</v>
      </c>
      <c r="AM174">
        <v>55.8</v>
      </c>
      <c r="AN174">
        <v>2808</v>
      </c>
      <c r="AO174">
        <v>21440000000</v>
      </c>
      <c r="AP174">
        <v>10004000</v>
      </c>
      <c r="AQ174">
        <v>12500000</v>
      </c>
      <c r="AR174">
        <v>1.66</v>
      </c>
      <c r="AS174">
        <v>6</v>
      </c>
    </row>
    <row r="175" spans="1:45" x14ac:dyDescent="0.3">
      <c r="A175" t="s">
        <v>218</v>
      </c>
      <c r="B175">
        <v>960</v>
      </c>
      <c r="C175">
        <v>15</v>
      </c>
      <c r="E175">
        <v>6.41</v>
      </c>
      <c r="F175">
        <v>1350000000</v>
      </c>
      <c r="G175">
        <v>934300000</v>
      </c>
      <c r="H175">
        <v>1005000000</v>
      </c>
      <c r="I175">
        <v>1579000000</v>
      </c>
      <c r="J175">
        <v>2450000000</v>
      </c>
      <c r="K175">
        <v>11400</v>
      </c>
      <c r="L175">
        <v>0.5</v>
      </c>
      <c r="P175">
        <v>600</v>
      </c>
      <c r="Q175">
        <v>2233000000</v>
      </c>
      <c r="S175">
        <v>10.029999999999999</v>
      </c>
      <c r="T175">
        <v>2.1</v>
      </c>
      <c r="U175">
        <v>119</v>
      </c>
      <c r="V175">
        <v>2000</v>
      </c>
      <c r="X175">
        <v>89000</v>
      </c>
      <c r="Y175">
        <v>75.83</v>
      </c>
      <c r="AG175">
        <v>72000</v>
      </c>
      <c r="AJ175">
        <v>0</v>
      </c>
      <c r="AL175">
        <v>219958</v>
      </c>
      <c r="AP175">
        <v>81000</v>
      </c>
      <c r="AQ175">
        <v>81000</v>
      </c>
      <c r="AR175">
        <v>2</v>
      </c>
      <c r="AS175">
        <v>15.6</v>
      </c>
    </row>
    <row r="176" spans="1:45" x14ac:dyDescent="0.3">
      <c r="A176" t="s">
        <v>219</v>
      </c>
      <c r="B176">
        <v>19060</v>
      </c>
      <c r="C176">
        <v>18.489999999999998</v>
      </c>
      <c r="E176">
        <v>5.65</v>
      </c>
      <c r="F176">
        <v>79000000</v>
      </c>
      <c r="G176">
        <v>1471000000</v>
      </c>
      <c r="H176">
        <v>1581000000</v>
      </c>
      <c r="I176">
        <v>448000000</v>
      </c>
      <c r="J176">
        <v>3158000000</v>
      </c>
      <c r="K176">
        <v>15000</v>
      </c>
      <c r="P176">
        <v>5432</v>
      </c>
      <c r="Q176">
        <v>1007000000</v>
      </c>
      <c r="R176">
        <v>-0.6</v>
      </c>
      <c r="S176">
        <v>7.72</v>
      </c>
      <c r="T176">
        <v>-0.6</v>
      </c>
      <c r="U176">
        <v>4449</v>
      </c>
      <c r="V176">
        <v>60000</v>
      </c>
      <c r="X176">
        <v>79400</v>
      </c>
      <c r="Y176">
        <v>74.040000000000006</v>
      </c>
      <c r="AG176">
        <v>8750</v>
      </c>
      <c r="AJ176">
        <v>0</v>
      </c>
      <c r="AL176">
        <v>216494</v>
      </c>
      <c r="AP176">
        <v>52000</v>
      </c>
      <c r="AQ176">
        <v>80000</v>
      </c>
      <c r="AR176">
        <v>2.31</v>
      </c>
      <c r="AS176">
        <v>19</v>
      </c>
    </row>
    <row r="177" spans="1:45" x14ac:dyDescent="0.3">
      <c r="A177" t="s">
        <v>220</v>
      </c>
      <c r="B177">
        <v>268680</v>
      </c>
      <c r="C177">
        <v>13.9</v>
      </c>
      <c r="D177">
        <v>-3647000000</v>
      </c>
      <c r="E177">
        <v>7.53</v>
      </c>
      <c r="F177">
        <v>47340000000</v>
      </c>
      <c r="G177">
        <v>35710000000</v>
      </c>
      <c r="H177">
        <v>38390000000</v>
      </c>
      <c r="I177">
        <v>19850000000</v>
      </c>
      <c r="J177">
        <v>92510000000</v>
      </c>
      <c r="K177">
        <v>23200</v>
      </c>
      <c r="L177">
        <v>4.8</v>
      </c>
      <c r="M177">
        <v>0.1</v>
      </c>
      <c r="N177">
        <v>200</v>
      </c>
      <c r="O177">
        <v>1400</v>
      </c>
      <c r="P177">
        <v>92382</v>
      </c>
      <c r="Q177">
        <v>19770000000</v>
      </c>
      <c r="R177">
        <v>5.9</v>
      </c>
      <c r="S177">
        <v>5.85</v>
      </c>
      <c r="T177">
        <v>2.4</v>
      </c>
      <c r="U177">
        <v>474395</v>
      </c>
      <c r="V177">
        <v>2110000</v>
      </c>
      <c r="W177">
        <v>22.4</v>
      </c>
      <c r="X177">
        <v>2050000</v>
      </c>
      <c r="Y177">
        <v>78.66</v>
      </c>
      <c r="Z177">
        <v>1147000000</v>
      </c>
      <c r="AA177">
        <v>1</v>
      </c>
      <c r="AB177">
        <v>6504000000</v>
      </c>
      <c r="AC177">
        <v>0</v>
      </c>
      <c r="AD177">
        <v>0</v>
      </c>
      <c r="AE177">
        <v>6504000000</v>
      </c>
      <c r="AF177">
        <v>58940000000</v>
      </c>
      <c r="AG177">
        <v>132700</v>
      </c>
      <c r="AH177">
        <v>30220</v>
      </c>
      <c r="AI177">
        <v>119700</v>
      </c>
      <c r="AJ177">
        <v>42160</v>
      </c>
      <c r="AK177">
        <v>89620000</v>
      </c>
      <c r="AL177">
        <v>4035461</v>
      </c>
      <c r="AM177">
        <v>22.1</v>
      </c>
      <c r="AN177">
        <v>3898</v>
      </c>
      <c r="AO177">
        <v>4805000000</v>
      </c>
      <c r="AP177">
        <v>1765000</v>
      </c>
      <c r="AQ177">
        <v>2599000</v>
      </c>
      <c r="AR177">
        <v>1.79</v>
      </c>
      <c r="AS177">
        <v>4.2</v>
      </c>
    </row>
    <row r="178" spans="1:45" x14ac:dyDescent="0.3">
      <c r="A178" t="s">
        <v>221</v>
      </c>
      <c r="B178">
        <v>129494</v>
      </c>
      <c r="C178">
        <v>24.88</v>
      </c>
      <c r="D178">
        <v>-843100000</v>
      </c>
      <c r="E178">
        <v>4.49</v>
      </c>
      <c r="F178">
        <v>4573000000</v>
      </c>
      <c r="G178">
        <v>2318000000</v>
      </c>
      <c r="H178">
        <v>2553000000</v>
      </c>
      <c r="I178">
        <v>750000000</v>
      </c>
      <c r="J178">
        <v>12340000000</v>
      </c>
      <c r="K178">
        <v>2300</v>
      </c>
      <c r="L178">
        <v>4</v>
      </c>
      <c r="M178">
        <v>0.2</v>
      </c>
      <c r="O178">
        <v>6400</v>
      </c>
      <c r="P178">
        <v>18712</v>
      </c>
      <c r="Q178">
        <v>2020000000</v>
      </c>
      <c r="R178">
        <v>4.4000000000000004</v>
      </c>
      <c r="S178">
        <v>29.11</v>
      </c>
      <c r="T178">
        <v>9.3000000000000007</v>
      </c>
      <c r="U178">
        <v>7094</v>
      </c>
      <c r="V178">
        <v>90000</v>
      </c>
      <c r="W178">
        <v>28</v>
      </c>
      <c r="X178">
        <v>1930000</v>
      </c>
      <c r="Y178">
        <v>70.33</v>
      </c>
      <c r="Z178">
        <v>32800000</v>
      </c>
      <c r="AA178">
        <v>0.7</v>
      </c>
      <c r="AG178">
        <v>25770</v>
      </c>
      <c r="AH178">
        <v>738</v>
      </c>
      <c r="AI178">
        <v>27950</v>
      </c>
      <c r="AJ178">
        <v>0</v>
      </c>
      <c r="AL178">
        <v>5465100</v>
      </c>
      <c r="AM178">
        <v>69.5</v>
      </c>
      <c r="AN178">
        <v>6</v>
      </c>
      <c r="AO178">
        <v>670000000</v>
      </c>
      <c r="AP178">
        <v>171600</v>
      </c>
      <c r="AQ178">
        <v>202800</v>
      </c>
      <c r="AR178">
        <v>2.81</v>
      </c>
      <c r="AS178">
        <v>7.8</v>
      </c>
    </row>
    <row r="179" spans="1:45" x14ac:dyDescent="0.3">
      <c r="A179" t="s">
        <v>222</v>
      </c>
      <c r="B179">
        <v>1267000</v>
      </c>
      <c r="C179">
        <v>48.3</v>
      </c>
      <c r="E179">
        <v>21.33</v>
      </c>
      <c r="F179">
        <v>1600000000</v>
      </c>
      <c r="G179">
        <v>327600000</v>
      </c>
      <c r="H179">
        <v>266200000</v>
      </c>
      <c r="I179">
        <v>280000000</v>
      </c>
      <c r="J179">
        <v>9716000000</v>
      </c>
      <c r="K179">
        <v>900</v>
      </c>
      <c r="L179">
        <v>3.5</v>
      </c>
      <c r="M179">
        <v>1.2</v>
      </c>
      <c r="N179">
        <v>4800</v>
      </c>
      <c r="O179">
        <v>70000</v>
      </c>
      <c r="P179">
        <v>10100</v>
      </c>
      <c r="Q179">
        <v>400000000</v>
      </c>
      <c r="S179">
        <v>121.69</v>
      </c>
      <c r="T179">
        <v>3</v>
      </c>
      <c r="U179">
        <v>134</v>
      </c>
      <c r="V179">
        <v>15000</v>
      </c>
      <c r="X179">
        <v>70000</v>
      </c>
      <c r="Y179">
        <v>42.13</v>
      </c>
      <c r="Z179">
        <v>33300000</v>
      </c>
      <c r="AA179">
        <v>1.1000000000000001</v>
      </c>
      <c r="AG179">
        <v>5000</v>
      </c>
      <c r="AJ179">
        <v>0</v>
      </c>
      <c r="AL179">
        <v>11665937</v>
      </c>
      <c r="AP179">
        <v>22400</v>
      </c>
      <c r="AQ179">
        <v>24000</v>
      </c>
      <c r="AR179">
        <v>6.75</v>
      </c>
    </row>
    <row r="180" spans="1:45" x14ac:dyDescent="0.3">
      <c r="A180" t="s">
        <v>223</v>
      </c>
      <c r="B180">
        <v>923768</v>
      </c>
      <c r="C180">
        <v>40.65</v>
      </c>
      <c r="D180">
        <v>5228000000</v>
      </c>
      <c r="E180">
        <v>17.18</v>
      </c>
      <c r="F180">
        <v>30550000000</v>
      </c>
      <c r="G180">
        <v>18430000000</v>
      </c>
      <c r="H180">
        <v>19850000000</v>
      </c>
      <c r="I180">
        <v>33990000000</v>
      </c>
      <c r="J180">
        <v>125700000000</v>
      </c>
      <c r="K180">
        <v>1000</v>
      </c>
      <c r="L180">
        <v>6.2</v>
      </c>
      <c r="M180">
        <v>5.4</v>
      </c>
      <c r="N180">
        <v>310000</v>
      </c>
      <c r="O180">
        <v>3600000</v>
      </c>
      <c r="P180">
        <v>194394</v>
      </c>
      <c r="Q180">
        <v>17140000000</v>
      </c>
      <c r="R180">
        <v>1.8</v>
      </c>
      <c r="S180">
        <v>98.8</v>
      </c>
      <c r="T180">
        <v>16.5</v>
      </c>
      <c r="U180">
        <v>1142</v>
      </c>
      <c r="V180">
        <v>750000</v>
      </c>
      <c r="W180">
        <v>18</v>
      </c>
      <c r="X180">
        <v>55670000</v>
      </c>
      <c r="Y180">
        <v>46.74</v>
      </c>
      <c r="Z180">
        <v>544600000</v>
      </c>
      <c r="AA180">
        <v>0.8</v>
      </c>
      <c r="AB180">
        <v>7850000000</v>
      </c>
      <c r="AC180">
        <v>7830000000</v>
      </c>
      <c r="AD180">
        <v>0</v>
      </c>
      <c r="AE180">
        <v>15680000000</v>
      </c>
      <c r="AF180">
        <v>4007000000000</v>
      </c>
      <c r="AG180">
        <v>275000</v>
      </c>
      <c r="AJ180">
        <v>2356000</v>
      </c>
      <c r="AK180">
        <v>34000000000</v>
      </c>
      <c r="AL180">
        <v>128771988</v>
      </c>
      <c r="AM180">
        <v>20</v>
      </c>
      <c r="AN180">
        <v>3557</v>
      </c>
      <c r="AO180">
        <v>14710000000</v>
      </c>
      <c r="AP180">
        <v>853100</v>
      </c>
      <c r="AQ180">
        <v>3149500</v>
      </c>
      <c r="AR180">
        <v>5.53</v>
      </c>
    </row>
    <row r="181" spans="1:45" x14ac:dyDescent="0.3">
      <c r="A181" t="s">
        <v>224</v>
      </c>
      <c r="B181">
        <v>260</v>
      </c>
      <c r="F181">
        <v>418000</v>
      </c>
      <c r="G181">
        <v>2790000</v>
      </c>
      <c r="H181">
        <v>3000000</v>
      </c>
      <c r="I181">
        <v>137200</v>
      </c>
      <c r="J181">
        <v>7600000</v>
      </c>
      <c r="K181">
        <v>3600</v>
      </c>
      <c r="L181">
        <v>-0.3</v>
      </c>
      <c r="P181">
        <v>234</v>
      </c>
      <c r="Q181">
        <v>2380000</v>
      </c>
      <c r="T181">
        <v>1</v>
      </c>
      <c r="AG181">
        <v>20</v>
      </c>
      <c r="AJ181">
        <v>0</v>
      </c>
      <c r="AL181">
        <v>2166</v>
      </c>
      <c r="AP181">
        <v>1100</v>
      </c>
      <c r="AQ181">
        <v>400</v>
      </c>
    </row>
    <row r="182" spans="1:45" x14ac:dyDescent="0.3">
      <c r="A182" t="s">
        <v>225</v>
      </c>
      <c r="B182">
        <v>35</v>
      </c>
      <c r="I182">
        <v>1500000</v>
      </c>
      <c r="P182">
        <v>80</v>
      </c>
      <c r="Q182">
        <v>17900000</v>
      </c>
      <c r="V182">
        <v>700</v>
      </c>
      <c r="X182">
        <v>1345</v>
      </c>
      <c r="AL182">
        <v>1828</v>
      </c>
      <c r="AP182">
        <v>2532</v>
      </c>
      <c r="AQ182">
        <v>0</v>
      </c>
      <c r="AS182">
        <v>0</v>
      </c>
    </row>
    <row r="183" spans="1:45" x14ac:dyDescent="0.3">
      <c r="A183" t="s">
        <v>226</v>
      </c>
      <c r="B183">
        <v>477</v>
      </c>
      <c r="C183">
        <v>19.510000000000002</v>
      </c>
      <c r="E183">
        <v>2.2999999999999998</v>
      </c>
      <c r="J183">
        <v>900000000</v>
      </c>
      <c r="K183">
        <v>12500</v>
      </c>
      <c r="P183">
        <v>362</v>
      </c>
      <c r="S183">
        <v>7.11</v>
      </c>
      <c r="T183">
        <v>1.2</v>
      </c>
      <c r="X183">
        <v>6006</v>
      </c>
      <c r="Y183">
        <v>75.88</v>
      </c>
      <c r="AL183">
        <v>80362</v>
      </c>
      <c r="AP183">
        <v>21000</v>
      </c>
      <c r="AQ183">
        <v>3000</v>
      </c>
      <c r="AR183">
        <v>1.27</v>
      </c>
    </row>
    <row r="184" spans="1:45" x14ac:dyDescent="0.3">
      <c r="A184" t="s">
        <v>227</v>
      </c>
      <c r="B184">
        <v>324220</v>
      </c>
      <c r="C184">
        <v>11.67</v>
      </c>
      <c r="D184">
        <v>30520000000</v>
      </c>
      <c r="E184">
        <v>9.4499999999999993</v>
      </c>
      <c r="F184">
        <v>0</v>
      </c>
      <c r="G184">
        <v>107400000000</v>
      </c>
      <c r="H184">
        <v>125900000000</v>
      </c>
      <c r="I184">
        <v>76640000000</v>
      </c>
      <c r="J184">
        <v>183000000000</v>
      </c>
      <c r="K184">
        <v>40000</v>
      </c>
      <c r="L184">
        <v>3.3</v>
      </c>
      <c r="M184">
        <v>0.1</v>
      </c>
      <c r="N184">
        <v>100</v>
      </c>
      <c r="O184">
        <v>2100</v>
      </c>
      <c r="P184">
        <v>91852</v>
      </c>
      <c r="Q184">
        <v>45960000000</v>
      </c>
      <c r="R184">
        <v>5.2</v>
      </c>
      <c r="S184">
        <v>3.7</v>
      </c>
      <c r="T184">
        <v>1</v>
      </c>
      <c r="U184">
        <v>593850</v>
      </c>
      <c r="V184">
        <v>2288000</v>
      </c>
      <c r="W184">
        <v>17.5</v>
      </c>
      <c r="X184">
        <v>2380000</v>
      </c>
      <c r="Y184">
        <v>79.400000000000006</v>
      </c>
      <c r="Z184">
        <v>4033500000</v>
      </c>
      <c r="AA184">
        <v>1.9</v>
      </c>
      <c r="AB184">
        <v>4100000000</v>
      </c>
      <c r="AC184">
        <v>50500000000</v>
      </c>
      <c r="AD184">
        <v>0</v>
      </c>
      <c r="AE184">
        <v>54600000000</v>
      </c>
      <c r="AF184">
        <v>1716000000000</v>
      </c>
      <c r="AG184">
        <v>171100</v>
      </c>
      <c r="AH184">
        <v>3466000</v>
      </c>
      <c r="AI184">
        <v>88870</v>
      </c>
      <c r="AJ184">
        <v>3310000</v>
      </c>
      <c r="AK184">
        <v>9859000000</v>
      </c>
      <c r="AL184">
        <v>4593041</v>
      </c>
      <c r="AM184">
        <v>33.1</v>
      </c>
      <c r="AN184">
        <v>4077</v>
      </c>
      <c r="AP184">
        <v>3343000</v>
      </c>
      <c r="AQ184">
        <v>4163400</v>
      </c>
      <c r="AR184">
        <v>1.78</v>
      </c>
      <c r="AS184">
        <v>4.3</v>
      </c>
    </row>
    <row r="185" spans="1:45" x14ac:dyDescent="0.3">
      <c r="A185" t="s">
        <v>228</v>
      </c>
      <c r="B185">
        <v>212460</v>
      </c>
      <c r="C185">
        <v>36.729999999999997</v>
      </c>
      <c r="D185">
        <v>2674000000</v>
      </c>
      <c r="E185">
        <v>3.86</v>
      </c>
      <c r="F185">
        <v>4814000000</v>
      </c>
      <c r="G185">
        <v>9792000000</v>
      </c>
      <c r="H185">
        <v>9896000000</v>
      </c>
      <c r="I185">
        <v>13140000000</v>
      </c>
      <c r="J185">
        <v>38090000000</v>
      </c>
      <c r="K185">
        <v>13100</v>
      </c>
      <c r="L185">
        <v>1.2</v>
      </c>
      <c r="M185">
        <v>0.1</v>
      </c>
      <c r="N185">
        <v>200</v>
      </c>
      <c r="O185">
        <v>1300</v>
      </c>
      <c r="P185">
        <v>34965</v>
      </c>
      <c r="Q185">
        <v>6373000000</v>
      </c>
      <c r="R185">
        <v>-1.2</v>
      </c>
      <c r="S185">
        <v>19.510000000000002</v>
      </c>
      <c r="T185">
        <v>0.2</v>
      </c>
      <c r="U185">
        <v>726</v>
      </c>
      <c r="V185">
        <v>180000</v>
      </c>
      <c r="W185">
        <v>13.5</v>
      </c>
      <c r="X185">
        <v>920000</v>
      </c>
      <c r="Y185">
        <v>73.13</v>
      </c>
      <c r="Z185">
        <v>252990000</v>
      </c>
      <c r="AA185">
        <v>11.4</v>
      </c>
      <c r="AB185">
        <v>6340000000</v>
      </c>
      <c r="AC185">
        <v>7430000000</v>
      </c>
      <c r="AD185">
        <v>0</v>
      </c>
      <c r="AE185">
        <v>13770000000</v>
      </c>
      <c r="AF185">
        <v>829700000000</v>
      </c>
      <c r="AG185">
        <v>54000</v>
      </c>
      <c r="AH185">
        <v>721000</v>
      </c>
      <c r="AJ185">
        <v>775000</v>
      </c>
      <c r="AK185">
        <v>5500000000</v>
      </c>
      <c r="AL185">
        <v>3001583</v>
      </c>
      <c r="AM185">
        <v>10.3</v>
      </c>
      <c r="AO185">
        <v>4144000000</v>
      </c>
      <c r="AP185">
        <v>233900</v>
      </c>
      <c r="AQ185">
        <v>464900</v>
      </c>
      <c r="AR185">
        <v>5.84</v>
      </c>
      <c r="AS185">
        <v>15</v>
      </c>
    </row>
    <row r="186" spans="1:45" x14ac:dyDescent="0.3">
      <c r="A186" t="s">
        <v>229</v>
      </c>
      <c r="B186">
        <v>803940</v>
      </c>
      <c r="C186">
        <v>30.42</v>
      </c>
      <c r="D186">
        <v>1400000000</v>
      </c>
      <c r="E186">
        <v>8.4499999999999993</v>
      </c>
      <c r="F186">
        <v>33970000000</v>
      </c>
      <c r="G186">
        <v>52660000000</v>
      </c>
      <c r="H186">
        <v>75270000000</v>
      </c>
      <c r="I186">
        <v>15070000000</v>
      </c>
      <c r="J186">
        <v>347300000000</v>
      </c>
      <c r="K186">
        <v>2200</v>
      </c>
      <c r="L186">
        <v>6.1</v>
      </c>
      <c r="M186">
        <v>0.1</v>
      </c>
      <c r="N186">
        <v>4900</v>
      </c>
      <c r="O186">
        <v>74000</v>
      </c>
      <c r="P186">
        <v>257683</v>
      </c>
      <c r="Q186">
        <v>14010000000</v>
      </c>
      <c r="R186">
        <v>13.1</v>
      </c>
      <c r="S186">
        <v>72.44</v>
      </c>
      <c r="T186">
        <v>4.8</v>
      </c>
      <c r="U186">
        <v>15124</v>
      </c>
      <c r="V186">
        <v>1500000</v>
      </c>
      <c r="W186">
        <v>16.399999999999999</v>
      </c>
      <c r="X186">
        <v>45430000</v>
      </c>
      <c r="Y186">
        <v>63</v>
      </c>
      <c r="Z186">
        <v>3848000000</v>
      </c>
      <c r="AA186">
        <v>4.9000000000000004</v>
      </c>
      <c r="AB186">
        <v>23400000000</v>
      </c>
      <c r="AC186">
        <v>0</v>
      </c>
      <c r="AD186">
        <v>0</v>
      </c>
      <c r="AE186">
        <v>23400000000</v>
      </c>
      <c r="AF186">
        <v>695600000000</v>
      </c>
      <c r="AG186">
        <v>365000</v>
      </c>
      <c r="AJ186">
        <v>61000</v>
      </c>
      <c r="AK186">
        <v>325500000</v>
      </c>
      <c r="AL186">
        <v>162419946</v>
      </c>
      <c r="AM186">
        <v>71.400000000000006</v>
      </c>
      <c r="AN186">
        <v>8163</v>
      </c>
      <c r="AO186">
        <v>12580000000</v>
      </c>
      <c r="AP186">
        <v>3982800</v>
      </c>
      <c r="AQ186">
        <v>2624800</v>
      </c>
      <c r="AR186">
        <v>4.1399999999999997</v>
      </c>
      <c r="AS186">
        <v>8.3000000000000007</v>
      </c>
    </row>
    <row r="187" spans="1:45" x14ac:dyDescent="0.3">
      <c r="A187" t="s">
        <v>230</v>
      </c>
      <c r="B187">
        <v>458</v>
      </c>
      <c r="C187">
        <v>18.37</v>
      </c>
      <c r="E187">
        <v>6.85</v>
      </c>
      <c r="F187">
        <v>0</v>
      </c>
      <c r="I187">
        <v>18000000</v>
      </c>
      <c r="J187">
        <v>174000000</v>
      </c>
      <c r="K187">
        <v>9000</v>
      </c>
      <c r="L187">
        <v>1</v>
      </c>
      <c r="P187">
        <v>61</v>
      </c>
      <c r="Q187">
        <v>99000000</v>
      </c>
      <c r="S187">
        <v>14.84</v>
      </c>
      <c r="T187">
        <v>3.4</v>
      </c>
      <c r="X187">
        <v>9845</v>
      </c>
      <c r="Y187">
        <v>70.14</v>
      </c>
      <c r="AL187">
        <v>20303</v>
      </c>
      <c r="AP187">
        <v>6700</v>
      </c>
      <c r="AQ187">
        <v>1000</v>
      </c>
      <c r="AR187">
        <v>2.46</v>
      </c>
      <c r="AS187">
        <v>2.2999999999999998</v>
      </c>
    </row>
    <row r="188" spans="1:45" x14ac:dyDescent="0.3">
      <c r="A188" t="s">
        <v>231</v>
      </c>
      <c r="B188">
        <v>12</v>
      </c>
    </row>
    <row r="189" spans="1:45" x14ac:dyDescent="0.3">
      <c r="A189" t="s">
        <v>232</v>
      </c>
      <c r="B189">
        <v>78200</v>
      </c>
      <c r="C189">
        <v>19.96</v>
      </c>
      <c r="D189">
        <v>-469600000</v>
      </c>
      <c r="E189">
        <v>6.54</v>
      </c>
      <c r="F189">
        <v>8780000000</v>
      </c>
      <c r="G189">
        <v>4473000000</v>
      </c>
      <c r="H189">
        <v>4873000000</v>
      </c>
      <c r="I189">
        <v>5699000000</v>
      </c>
      <c r="J189">
        <v>20570000000</v>
      </c>
      <c r="K189">
        <v>6900</v>
      </c>
      <c r="L189">
        <v>6</v>
      </c>
      <c r="M189">
        <v>0.9</v>
      </c>
      <c r="O189">
        <v>16000</v>
      </c>
      <c r="P189">
        <v>11643</v>
      </c>
      <c r="Q189">
        <v>7164000000</v>
      </c>
      <c r="R189">
        <v>5.4</v>
      </c>
      <c r="S189">
        <v>20.47</v>
      </c>
      <c r="T189">
        <v>2</v>
      </c>
      <c r="U189">
        <v>7129</v>
      </c>
      <c r="V189">
        <v>120000</v>
      </c>
      <c r="W189">
        <v>25</v>
      </c>
      <c r="X189">
        <v>1320000</v>
      </c>
      <c r="Y189">
        <v>71.94</v>
      </c>
      <c r="Z189">
        <v>147000000</v>
      </c>
      <c r="AA189">
        <v>1.1000000000000001</v>
      </c>
      <c r="AG189">
        <v>40520</v>
      </c>
      <c r="AJ189">
        <v>0</v>
      </c>
      <c r="AL189">
        <v>3039150</v>
      </c>
      <c r="AM189">
        <v>69.2</v>
      </c>
      <c r="AN189">
        <v>355</v>
      </c>
      <c r="AO189">
        <v>1076000000</v>
      </c>
      <c r="AP189">
        <v>386900</v>
      </c>
      <c r="AQ189">
        <v>834000</v>
      </c>
      <c r="AR189">
        <v>2.4500000000000002</v>
      </c>
      <c r="AS189">
        <v>12.6</v>
      </c>
    </row>
    <row r="190" spans="1:45" x14ac:dyDescent="0.3">
      <c r="A190" t="s">
        <v>233</v>
      </c>
      <c r="B190">
        <v>462840</v>
      </c>
      <c r="C190">
        <v>29.95</v>
      </c>
      <c r="D190">
        <v>29150000</v>
      </c>
      <c r="E190">
        <v>7.37</v>
      </c>
      <c r="F190">
        <v>2463000000</v>
      </c>
      <c r="G190">
        <v>1561000000</v>
      </c>
      <c r="H190">
        <v>1679000000</v>
      </c>
      <c r="I190">
        <v>2437000000</v>
      </c>
      <c r="J190">
        <v>11990000000</v>
      </c>
      <c r="K190">
        <v>2200</v>
      </c>
      <c r="L190">
        <v>0.9</v>
      </c>
      <c r="M190">
        <v>0.6</v>
      </c>
      <c r="N190">
        <v>600</v>
      </c>
      <c r="O190">
        <v>16000</v>
      </c>
      <c r="P190">
        <v>19600</v>
      </c>
      <c r="Q190">
        <v>1353000000</v>
      </c>
      <c r="S190">
        <v>51.45</v>
      </c>
      <c r="T190">
        <v>4.2</v>
      </c>
      <c r="U190">
        <v>389</v>
      </c>
      <c r="V190">
        <v>75000</v>
      </c>
      <c r="W190">
        <v>13.6</v>
      </c>
      <c r="X190">
        <v>3320000</v>
      </c>
      <c r="Y190">
        <v>64.930000000000007</v>
      </c>
      <c r="Z190">
        <v>16900000</v>
      </c>
      <c r="AA190">
        <v>1.4</v>
      </c>
      <c r="AB190">
        <v>110000000</v>
      </c>
      <c r="AC190">
        <v>0</v>
      </c>
      <c r="AD190">
        <v>0</v>
      </c>
      <c r="AE190">
        <v>110000000</v>
      </c>
      <c r="AF190">
        <v>385500000000</v>
      </c>
      <c r="AG190">
        <v>15000</v>
      </c>
      <c r="AJ190">
        <v>46200</v>
      </c>
      <c r="AK190">
        <v>170000000</v>
      </c>
      <c r="AL190">
        <v>5545268</v>
      </c>
      <c r="AM190">
        <v>59.3</v>
      </c>
      <c r="AO190">
        <v>635800000</v>
      </c>
      <c r="AP190">
        <v>62000</v>
      </c>
      <c r="AQ190">
        <v>15000</v>
      </c>
      <c r="AR190">
        <v>3.96</v>
      </c>
    </row>
    <row r="191" spans="1:45" x14ac:dyDescent="0.3">
      <c r="A191" t="s">
        <v>234</v>
      </c>
      <c r="B191">
        <v>406750</v>
      </c>
      <c r="C191">
        <v>29.43</v>
      </c>
      <c r="D191">
        <v>-36110000</v>
      </c>
      <c r="E191">
        <v>4.53</v>
      </c>
      <c r="F191">
        <v>3239000000</v>
      </c>
      <c r="G191">
        <v>2469000000</v>
      </c>
      <c r="H191">
        <v>48360000000</v>
      </c>
      <c r="I191">
        <v>2936000000</v>
      </c>
      <c r="J191">
        <v>29930000000</v>
      </c>
      <c r="K191">
        <v>4800</v>
      </c>
      <c r="L191">
        <v>2.8</v>
      </c>
      <c r="M191">
        <v>0.5</v>
      </c>
      <c r="N191">
        <v>600</v>
      </c>
      <c r="O191">
        <v>15000</v>
      </c>
      <c r="P191">
        <v>29500</v>
      </c>
      <c r="Q191">
        <v>3330000000</v>
      </c>
      <c r="R191">
        <v>0</v>
      </c>
      <c r="S191">
        <v>25.63</v>
      </c>
      <c r="T191">
        <v>5.0999999999999996</v>
      </c>
      <c r="U191">
        <v>9243</v>
      </c>
      <c r="V191">
        <v>120000</v>
      </c>
      <c r="W191">
        <v>18.100000000000001</v>
      </c>
      <c r="X191">
        <v>2660000</v>
      </c>
      <c r="Y191">
        <v>74.89</v>
      </c>
      <c r="Z191">
        <v>53100000</v>
      </c>
      <c r="AA191">
        <v>0.9</v>
      </c>
      <c r="AG191">
        <v>25000</v>
      </c>
      <c r="AJ191">
        <v>0</v>
      </c>
      <c r="AL191">
        <v>6347884</v>
      </c>
      <c r="AM191">
        <v>39.200000000000003</v>
      </c>
      <c r="AN191">
        <v>441</v>
      </c>
      <c r="AO191">
        <v>1164000000</v>
      </c>
      <c r="AP191">
        <v>273200</v>
      </c>
      <c r="AQ191">
        <v>1770300</v>
      </c>
      <c r="AR191">
        <v>3.93</v>
      </c>
      <c r="AS191">
        <v>15.1</v>
      </c>
    </row>
    <row r="192" spans="1:45" x14ac:dyDescent="0.3">
      <c r="A192" t="s">
        <v>235</v>
      </c>
      <c r="B192">
        <v>1285220</v>
      </c>
      <c r="C192">
        <v>20.87</v>
      </c>
      <c r="D192">
        <v>-30000000</v>
      </c>
      <c r="E192">
        <v>6.26</v>
      </c>
      <c r="F192">
        <v>29790000000</v>
      </c>
      <c r="G192">
        <v>20220000000</v>
      </c>
      <c r="H192">
        <v>22880000000</v>
      </c>
      <c r="I192">
        <v>12300000000</v>
      </c>
      <c r="J192">
        <v>155300000000</v>
      </c>
      <c r="K192">
        <v>5600</v>
      </c>
      <c r="L192">
        <v>4.5</v>
      </c>
      <c r="M192">
        <v>0.5</v>
      </c>
      <c r="N192">
        <v>4200</v>
      </c>
      <c r="O192">
        <v>82000</v>
      </c>
      <c r="P192">
        <v>78230</v>
      </c>
      <c r="Q192">
        <v>9600000000</v>
      </c>
      <c r="R192">
        <v>5.2</v>
      </c>
      <c r="S192">
        <v>31.94</v>
      </c>
      <c r="T192">
        <v>3.8</v>
      </c>
      <c r="U192">
        <v>65868</v>
      </c>
      <c r="V192">
        <v>2850000</v>
      </c>
      <c r="W192">
        <v>17.8</v>
      </c>
      <c r="X192">
        <v>11000000</v>
      </c>
      <c r="Y192">
        <v>69.53</v>
      </c>
      <c r="Z192">
        <v>829300000</v>
      </c>
      <c r="AA192">
        <v>1.4</v>
      </c>
      <c r="AB192">
        <v>910000000</v>
      </c>
      <c r="AC192">
        <v>0</v>
      </c>
      <c r="AD192">
        <v>0</v>
      </c>
      <c r="AE192">
        <v>910000000</v>
      </c>
      <c r="AF192">
        <v>245100000000</v>
      </c>
      <c r="AG192">
        <v>161000</v>
      </c>
      <c r="AH192">
        <v>49000</v>
      </c>
      <c r="AJ192">
        <v>95500</v>
      </c>
      <c r="AK192">
        <v>408800000</v>
      </c>
      <c r="AL192">
        <v>27925628</v>
      </c>
      <c r="AM192">
        <v>44.1</v>
      </c>
      <c r="AN192">
        <v>3462</v>
      </c>
      <c r="AO192">
        <v>12700000000</v>
      </c>
      <c r="AP192">
        <v>1839200</v>
      </c>
      <c r="AQ192">
        <v>2908800</v>
      </c>
      <c r="AR192">
        <v>2.56</v>
      </c>
      <c r="AS192">
        <v>9.6</v>
      </c>
    </row>
    <row r="193" spans="1:45" x14ac:dyDescent="0.3">
      <c r="A193" t="s">
        <v>236</v>
      </c>
      <c r="B193">
        <v>300000</v>
      </c>
      <c r="C193">
        <v>25.31</v>
      </c>
      <c r="D193">
        <v>3600000000</v>
      </c>
      <c r="E193">
        <v>5.47</v>
      </c>
      <c r="F193">
        <v>55600000000</v>
      </c>
      <c r="G193">
        <v>46050000000</v>
      </c>
      <c r="H193">
        <v>52860000000</v>
      </c>
      <c r="I193">
        <v>38630000000</v>
      </c>
      <c r="J193">
        <v>430600000000</v>
      </c>
      <c r="K193">
        <v>5000</v>
      </c>
      <c r="L193">
        <v>5.9</v>
      </c>
      <c r="M193">
        <v>0.1</v>
      </c>
      <c r="N193">
        <v>500</v>
      </c>
      <c r="O193">
        <v>9000</v>
      </c>
      <c r="P193">
        <v>202124</v>
      </c>
      <c r="Q193">
        <v>37500000000</v>
      </c>
      <c r="R193">
        <v>5</v>
      </c>
      <c r="S193">
        <v>23.51</v>
      </c>
      <c r="T193">
        <v>5.5</v>
      </c>
      <c r="U193">
        <v>38440</v>
      </c>
      <c r="V193">
        <v>3500000</v>
      </c>
      <c r="W193">
        <v>17</v>
      </c>
      <c r="X193">
        <v>35860000</v>
      </c>
      <c r="Y193">
        <v>69.91</v>
      </c>
      <c r="Z193">
        <v>805500000</v>
      </c>
      <c r="AA193">
        <v>1</v>
      </c>
      <c r="AB193">
        <v>25000000</v>
      </c>
      <c r="AC193">
        <v>0</v>
      </c>
      <c r="AD193">
        <v>0</v>
      </c>
      <c r="AE193">
        <v>2500000</v>
      </c>
      <c r="AF193">
        <v>107600000000</v>
      </c>
      <c r="AG193">
        <v>338000</v>
      </c>
      <c r="AH193">
        <v>0</v>
      </c>
      <c r="AI193">
        <v>312000</v>
      </c>
      <c r="AJ193">
        <v>26000</v>
      </c>
      <c r="AK193">
        <v>152000000</v>
      </c>
      <c r="AL193">
        <v>87857473</v>
      </c>
      <c r="AM193">
        <v>74.2</v>
      </c>
      <c r="AN193">
        <v>897</v>
      </c>
      <c r="AO193">
        <v>16050000000</v>
      </c>
      <c r="AP193">
        <v>3310900</v>
      </c>
      <c r="AQ193">
        <v>15201000</v>
      </c>
      <c r="AR193">
        <v>3.16</v>
      </c>
      <c r="AS193">
        <v>11.7</v>
      </c>
    </row>
    <row r="194" spans="1:45" x14ac:dyDescent="0.3">
      <c r="A194" t="s">
        <v>237</v>
      </c>
      <c r="B194">
        <v>47</v>
      </c>
      <c r="P194">
        <v>6</v>
      </c>
      <c r="X194">
        <v>15</v>
      </c>
      <c r="AL194">
        <v>46</v>
      </c>
      <c r="AP194">
        <v>1</v>
      </c>
    </row>
    <row r="195" spans="1:45" x14ac:dyDescent="0.3">
      <c r="A195" t="s">
        <v>238</v>
      </c>
      <c r="B195">
        <v>312685</v>
      </c>
      <c r="C195">
        <v>10.78</v>
      </c>
      <c r="D195">
        <v>-3831000000</v>
      </c>
      <c r="E195">
        <v>10.01</v>
      </c>
      <c r="F195">
        <v>99150000000</v>
      </c>
      <c r="G195">
        <v>117400000000</v>
      </c>
      <c r="H195">
        <v>133800000000</v>
      </c>
      <c r="I195">
        <v>75980000000</v>
      </c>
      <c r="J195">
        <v>463000000000</v>
      </c>
      <c r="K195">
        <v>12000</v>
      </c>
      <c r="L195">
        <v>5.6</v>
      </c>
      <c r="M195">
        <v>0.1</v>
      </c>
      <c r="N195">
        <v>100</v>
      </c>
      <c r="O195">
        <v>14000</v>
      </c>
      <c r="P195">
        <v>364697</v>
      </c>
      <c r="Q195">
        <v>81610000000</v>
      </c>
      <c r="R195">
        <v>10</v>
      </c>
      <c r="S195">
        <v>8.51</v>
      </c>
      <c r="T195">
        <v>3.4</v>
      </c>
      <c r="U195">
        <v>804915</v>
      </c>
      <c r="V195">
        <v>8970000</v>
      </c>
      <c r="W195">
        <v>18.399999999999999</v>
      </c>
      <c r="X195">
        <v>17020000</v>
      </c>
      <c r="Y195">
        <v>74.41</v>
      </c>
      <c r="Z195">
        <v>3500000000</v>
      </c>
      <c r="AA195">
        <v>1.71</v>
      </c>
      <c r="AB195">
        <v>13850000000</v>
      </c>
      <c r="AC195">
        <v>41000000</v>
      </c>
      <c r="AD195">
        <v>8782000000</v>
      </c>
      <c r="AE195">
        <v>5471000000</v>
      </c>
      <c r="AF195">
        <v>154400000000</v>
      </c>
      <c r="AG195">
        <v>424100</v>
      </c>
      <c r="AH195">
        <v>53000</v>
      </c>
      <c r="AI195">
        <v>413700</v>
      </c>
      <c r="AJ195">
        <v>17180</v>
      </c>
      <c r="AK195">
        <v>116400000</v>
      </c>
      <c r="AL195">
        <v>38635144</v>
      </c>
      <c r="AM195">
        <v>49.9</v>
      </c>
      <c r="AN195">
        <v>23852</v>
      </c>
      <c r="AO195">
        <v>41880000000</v>
      </c>
      <c r="AP195">
        <v>12300000</v>
      </c>
      <c r="AQ195">
        <v>17401000</v>
      </c>
      <c r="AR195">
        <v>1.39</v>
      </c>
      <c r="AS195">
        <v>19.5</v>
      </c>
    </row>
    <row r="196" spans="1:45" x14ac:dyDescent="0.3">
      <c r="A196" t="s">
        <v>239</v>
      </c>
      <c r="B196">
        <v>92391</v>
      </c>
      <c r="C196">
        <v>10.82</v>
      </c>
      <c r="D196">
        <v>-8120000000</v>
      </c>
      <c r="E196">
        <v>10.43</v>
      </c>
      <c r="F196">
        <v>274700000000</v>
      </c>
      <c r="G196">
        <v>42150000000</v>
      </c>
      <c r="H196">
        <v>43280000000</v>
      </c>
      <c r="I196">
        <v>37680000000</v>
      </c>
      <c r="J196">
        <v>188700000000</v>
      </c>
      <c r="K196">
        <v>17900</v>
      </c>
      <c r="L196">
        <v>1.1000000000000001</v>
      </c>
      <c r="M196">
        <v>0.4</v>
      </c>
      <c r="N196">
        <v>1000</v>
      </c>
      <c r="O196">
        <v>22000</v>
      </c>
      <c r="P196">
        <v>17135</v>
      </c>
      <c r="Q196">
        <v>52100000000</v>
      </c>
      <c r="R196">
        <v>1.1000000000000001</v>
      </c>
      <c r="S196">
        <v>5.05</v>
      </c>
      <c r="T196">
        <v>2.1</v>
      </c>
      <c r="U196">
        <v>346078</v>
      </c>
      <c r="V196">
        <v>3600000</v>
      </c>
      <c r="W196">
        <v>22.3</v>
      </c>
      <c r="X196">
        <v>5480000</v>
      </c>
      <c r="Y196">
        <v>77.53</v>
      </c>
      <c r="Z196">
        <v>3497800000</v>
      </c>
      <c r="AA196">
        <v>2.2999999999999998</v>
      </c>
      <c r="AB196">
        <v>2542000000</v>
      </c>
      <c r="AC196">
        <v>0</v>
      </c>
      <c r="AD196">
        <v>2553000000</v>
      </c>
      <c r="AE196">
        <v>0</v>
      </c>
      <c r="AG196">
        <v>339800</v>
      </c>
      <c r="AH196">
        <v>28830</v>
      </c>
      <c r="AI196">
        <v>357300</v>
      </c>
      <c r="AJ196">
        <v>0</v>
      </c>
      <c r="AL196">
        <v>10566212</v>
      </c>
      <c r="AM196">
        <v>61.5</v>
      </c>
      <c r="AN196">
        <v>2850</v>
      </c>
      <c r="AO196">
        <v>12300000000</v>
      </c>
      <c r="AP196">
        <v>4278800</v>
      </c>
      <c r="AQ196">
        <v>9341400</v>
      </c>
      <c r="AR196">
        <v>1.47</v>
      </c>
      <c r="AS196">
        <v>6.5</v>
      </c>
    </row>
    <row r="197" spans="1:45" x14ac:dyDescent="0.3">
      <c r="A197" t="s">
        <v>240</v>
      </c>
      <c r="B197">
        <v>9104</v>
      </c>
      <c r="C197">
        <v>13.93</v>
      </c>
      <c r="E197">
        <v>7.86</v>
      </c>
      <c r="G197">
        <v>20540000000</v>
      </c>
      <c r="H197">
        <v>22090000000</v>
      </c>
      <c r="I197">
        <v>46900000000</v>
      </c>
      <c r="J197">
        <v>68950000000</v>
      </c>
      <c r="K197">
        <v>17700</v>
      </c>
      <c r="L197">
        <v>2.7</v>
      </c>
      <c r="O197">
        <v>7397</v>
      </c>
      <c r="P197">
        <v>25328</v>
      </c>
      <c r="Q197">
        <v>29100000000</v>
      </c>
      <c r="S197">
        <v>8.24</v>
      </c>
      <c r="T197">
        <v>6.5</v>
      </c>
      <c r="V197">
        <v>600000</v>
      </c>
      <c r="X197">
        <v>1300000</v>
      </c>
      <c r="Y197">
        <v>77.62</v>
      </c>
      <c r="AB197">
        <v>630000000</v>
      </c>
      <c r="AC197">
        <v>0</v>
      </c>
      <c r="AD197">
        <v>630000000</v>
      </c>
      <c r="AE197">
        <v>0</v>
      </c>
      <c r="AG197">
        <v>190000</v>
      </c>
      <c r="AJ197">
        <v>0</v>
      </c>
      <c r="AL197">
        <v>3916632</v>
      </c>
      <c r="AN197">
        <v>96</v>
      </c>
      <c r="AP197">
        <v>1329500</v>
      </c>
      <c r="AQ197">
        <v>1211111</v>
      </c>
      <c r="AR197">
        <v>1.91</v>
      </c>
      <c r="AS197">
        <v>12</v>
      </c>
    </row>
    <row r="198" spans="1:45" x14ac:dyDescent="0.3">
      <c r="A198" t="s">
        <v>241</v>
      </c>
      <c r="B198">
        <v>11437</v>
      </c>
      <c r="C198">
        <v>15.54</v>
      </c>
      <c r="D198">
        <v>5187000000</v>
      </c>
      <c r="E198">
        <v>4.6100000000000003</v>
      </c>
      <c r="F198">
        <v>18620000000</v>
      </c>
      <c r="G198">
        <v>9046000000</v>
      </c>
      <c r="H198">
        <v>9727000000</v>
      </c>
      <c r="I198">
        <v>15000000000</v>
      </c>
      <c r="J198">
        <v>19490000000</v>
      </c>
      <c r="K198">
        <v>23200</v>
      </c>
      <c r="L198">
        <v>8.6999999999999993</v>
      </c>
      <c r="M198">
        <v>0.09</v>
      </c>
      <c r="P198">
        <v>1230</v>
      </c>
      <c r="Q198">
        <v>6150000000</v>
      </c>
      <c r="R198">
        <v>10</v>
      </c>
      <c r="S198">
        <v>18.61</v>
      </c>
      <c r="T198">
        <v>3</v>
      </c>
      <c r="U198">
        <v>221</v>
      </c>
      <c r="V198">
        <v>126000</v>
      </c>
      <c r="W198">
        <v>22.9</v>
      </c>
      <c r="X198">
        <v>140000</v>
      </c>
      <c r="Y198">
        <v>73.67</v>
      </c>
      <c r="Z198">
        <v>723000000</v>
      </c>
      <c r="AA198">
        <v>10</v>
      </c>
      <c r="AB198">
        <v>15860000000</v>
      </c>
      <c r="AC198">
        <v>18200000000</v>
      </c>
      <c r="AD198">
        <v>0</v>
      </c>
      <c r="AE198">
        <v>32400000000</v>
      </c>
      <c r="AF198">
        <v>14410000000000</v>
      </c>
      <c r="AG198">
        <v>30000</v>
      </c>
      <c r="AJ198">
        <v>790000</v>
      </c>
      <c r="AK198">
        <v>16000000000</v>
      </c>
      <c r="AL198">
        <v>863051</v>
      </c>
      <c r="AO198">
        <v>3351000000</v>
      </c>
      <c r="AP198">
        <v>184500</v>
      </c>
      <c r="AQ198">
        <v>376500</v>
      </c>
      <c r="AR198">
        <v>2.87</v>
      </c>
      <c r="AS198">
        <v>2.7</v>
      </c>
    </row>
    <row r="199" spans="1:45" x14ac:dyDescent="0.3">
      <c r="A199" t="s">
        <v>242</v>
      </c>
      <c r="B199">
        <v>2517</v>
      </c>
      <c r="C199">
        <v>19.260000000000002</v>
      </c>
      <c r="E199">
        <v>5.48</v>
      </c>
      <c r="G199">
        <v>1084000000</v>
      </c>
      <c r="H199">
        <v>1166000000</v>
      </c>
      <c r="I199">
        <v>214000000</v>
      </c>
      <c r="J199">
        <v>4570000000</v>
      </c>
      <c r="K199">
        <v>6000</v>
      </c>
      <c r="L199">
        <v>2.5</v>
      </c>
      <c r="P199">
        <v>1214</v>
      </c>
      <c r="Q199">
        <v>2500000000</v>
      </c>
      <c r="S199">
        <v>7.78</v>
      </c>
      <c r="V199">
        <v>150000</v>
      </c>
      <c r="X199">
        <v>309900</v>
      </c>
      <c r="Y199">
        <v>73.95</v>
      </c>
      <c r="AG199">
        <v>18000</v>
      </c>
      <c r="AJ199">
        <v>0</v>
      </c>
      <c r="AL199">
        <v>776948</v>
      </c>
      <c r="AP199">
        <v>300000</v>
      </c>
      <c r="AQ199">
        <v>489800</v>
      </c>
      <c r="AR199">
        <v>2.4700000000000002</v>
      </c>
      <c r="AS199">
        <v>36</v>
      </c>
    </row>
    <row r="200" spans="1:45" x14ac:dyDescent="0.3">
      <c r="A200" t="s">
        <v>243</v>
      </c>
      <c r="B200">
        <v>237500</v>
      </c>
      <c r="C200">
        <v>10.7</v>
      </c>
      <c r="D200">
        <v>-3631000000</v>
      </c>
      <c r="E200">
        <v>11.74</v>
      </c>
      <c r="F200">
        <v>24590000000</v>
      </c>
      <c r="G200">
        <v>57500000000</v>
      </c>
      <c r="H200">
        <v>56530000000</v>
      </c>
      <c r="I200">
        <v>23540000000</v>
      </c>
      <c r="J200">
        <v>171500000000</v>
      </c>
      <c r="K200">
        <v>7700</v>
      </c>
      <c r="L200">
        <v>8.1</v>
      </c>
      <c r="M200">
        <v>0.1</v>
      </c>
      <c r="N200">
        <v>350</v>
      </c>
      <c r="O200">
        <v>6500</v>
      </c>
      <c r="P200">
        <v>198755</v>
      </c>
      <c r="Q200">
        <v>28430000000</v>
      </c>
      <c r="R200">
        <v>4</v>
      </c>
      <c r="S200">
        <v>26.43</v>
      </c>
      <c r="T200">
        <v>9.6</v>
      </c>
      <c r="U200">
        <v>50807</v>
      </c>
      <c r="V200">
        <v>4000000</v>
      </c>
      <c r="W200">
        <v>23.3</v>
      </c>
      <c r="X200">
        <v>9660000</v>
      </c>
      <c r="Y200">
        <v>71.349999999999994</v>
      </c>
      <c r="Z200">
        <v>985000000</v>
      </c>
      <c r="AA200">
        <v>2.4700000000000002</v>
      </c>
      <c r="AB200">
        <v>18500000000</v>
      </c>
      <c r="AC200">
        <v>0</v>
      </c>
      <c r="AD200">
        <v>5400000000</v>
      </c>
      <c r="AE200">
        <v>12600000000</v>
      </c>
      <c r="AF200">
        <v>111100000000</v>
      </c>
      <c r="AG200">
        <v>253800</v>
      </c>
      <c r="AJ200">
        <v>128000</v>
      </c>
      <c r="AK200">
        <v>1055000000</v>
      </c>
      <c r="AL200">
        <v>22329977</v>
      </c>
      <c r="AM200">
        <v>23.6</v>
      </c>
      <c r="AN200">
        <v>11385</v>
      </c>
      <c r="AO200">
        <v>16210000000</v>
      </c>
      <c r="AP200">
        <v>4300000</v>
      </c>
      <c r="AQ200">
        <v>6900000</v>
      </c>
      <c r="AR200">
        <v>1.36</v>
      </c>
      <c r="AS200">
        <v>6.3</v>
      </c>
    </row>
    <row r="201" spans="1:45" x14ac:dyDescent="0.3">
      <c r="A201" t="s">
        <v>244</v>
      </c>
      <c r="B201">
        <v>17075200</v>
      </c>
      <c r="C201">
        <v>9.8000000000000007</v>
      </c>
      <c r="D201">
        <v>46040000000</v>
      </c>
      <c r="E201">
        <v>14.52</v>
      </c>
      <c r="F201">
        <v>169600000000</v>
      </c>
      <c r="G201">
        <v>894300000000</v>
      </c>
      <c r="H201">
        <v>915000000000</v>
      </c>
      <c r="I201">
        <v>162500000000</v>
      </c>
      <c r="J201">
        <v>1408000000000</v>
      </c>
      <c r="K201">
        <v>9800</v>
      </c>
      <c r="L201">
        <v>6.7</v>
      </c>
      <c r="M201">
        <v>1.1000000000000001</v>
      </c>
      <c r="N201">
        <v>9000</v>
      </c>
      <c r="O201">
        <v>860000</v>
      </c>
      <c r="P201">
        <v>537289</v>
      </c>
      <c r="Q201">
        <v>92910000000</v>
      </c>
      <c r="R201">
        <v>6.4</v>
      </c>
      <c r="S201">
        <v>15.39</v>
      </c>
      <c r="T201">
        <v>11.5</v>
      </c>
      <c r="U201">
        <v>560874</v>
      </c>
      <c r="V201">
        <v>6000000</v>
      </c>
      <c r="W201">
        <v>19.100000000000001</v>
      </c>
      <c r="X201">
        <v>71830000</v>
      </c>
      <c r="Y201">
        <v>67.099999999999994</v>
      </c>
      <c r="AB201">
        <v>405800000000</v>
      </c>
      <c r="AC201">
        <v>171000000000</v>
      </c>
      <c r="AD201">
        <v>32700000000</v>
      </c>
      <c r="AE201">
        <v>578600000000</v>
      </c>
      <c r="AF201">
        <v>47000000000000</v>
      </c>
      <c r="AG201">
        <v>2310000</v>
      </c>
      <c r="AH201">
        <v>6110000</v>
      </c>
      <c r="AJ201">
        <v>8420000</v>
      </c>
      <c r="AK201">
        <v>69000000000</v>
      </c>
      <c r="AL201">
        <v>143420309</v>
      </c>
      <c r="AM201">
        <v>28.2</v>
      </c>
      <c r="AN201">
        <v>87157</v>
      </c>
      <c r="AO201">
        <v>124500000000</v>
      </c>
      <c r="AP201">
        <v>35500000</v>
      </c>
      <c r="AQ201">
        <v>17608800</v>
      </c>
      <c r="AR201">
        <v>1.27</v>
      </c>
      <c r="AS201">
        <v>8.3000000000000007</v>
      </c>
    </row>
    <row r="202" spans="1:45" x14ac:dyDescent="0.3">
      <c r="A202" t="s">
        <v>245</v>
      </c>
      <c r="B202">
        <v>26338</v>
      </c>
      <c r="C202">
        <v>40.6</v>
      </c>
      <c r="D202">
        <v>-212500000</v>
      </c>
      <c r="E202">
        <v>16.32</v>
      </c>
      <c r="F202">
        <v>1300000000</v>
      </c>
      <c r="G202">
        <v>195000000</v>
      </c>
      <c r="H202">
        <v>166700000</v>
      </c>
      <c r="I202">
        <v>69780000</v>
      </c>
      <c r="J202">
        <v>10430000000</v>
      </c>
      <c r="K202">
        <v>1300</v>
      </c>
      <c r="L202">
        <v>0.9</v>
      </c>
      <c r="M202">
        <v>5.0999999999999996</v>
      </c>
      <c r="N202">
        <v>22000</v>
      </c>
      <c r="O202">
        <v>250000</v>
      </c>
      <c r="P202">
        <v>12000</v>
      </c>
      <c r="Q202">
        <v>260000000</v>
      </c>
      <c r="R202">
        <v>7</v>
      </c>
      <c r="S202">
        <v>91.23</v>
      </c>
      <c r="T202">
        <v>7</v>
      </c>
      <c r="U202">
        <v>1495</v>
      </c>
      <c r="V202">
        <v>25000</v>
      </c>
      <c r="W202">
        <v>20</v>
      </c>
      <c r="X202">
        <v>4600000</v>
      </c>
      <c r="Y202">
        <v>46.96</v>
      </c>
      <c r="Z202">
        <v>50100000</v>
      </c>
      <c r="AA202">
        <v>3.2</v>
      </c>
      <c r="AF202">
        <v>28320000000</v>
      </c>
      <c r="AG202">
        <v>5300</v>
      </c>
      <c r="AJ202">
        <v>0</v>
      </c>
      <c r="AK202">
        <v>0</v>
      </c>
      <c r="AL202">
        <v>8440820</v>
      </c>
      <c r="AO202">
        <v>210900000</v>
      </c>
      <c r="AP202">
        <v>23200</v>
      </c>
      <c r="AQ202">
        <v>134000</v>
      </c>
      <c r="AR202">
        <v>5.49</v>
      </c>
    </row>
    <row r="203" spans="1:45" x14ac:dyDescent="0.3">
      <c r="A203" t="s">
        <v>246</v>
      </c>
      <c r="B203">
        <v>410</v>
      </c>
      <c r="C203">
        <v>12.33</v>
      </c>
      <c r="E203">
        <v>6.43</v>
      </c>
      <c r="G203">
        <v>4650000</v>
      </c>
      <c r="H203">
        <v>5000000</v>
      </c>
      <c r="I203">
        <v>17000000</v>
      </c>
      <c r="J203">
        <v>18000000</v>
      </c>
      <c r="K203">
        <v>2500</v>
      </c>
      <c r="P203">
        <v>198</v>
      </c>
      <c r="Q203">
        <v>42000000</v>
      </c>
      <c r="S203">
        <v>19</v>
      </c>
      <c r="T203">
        <v>3.2</v>
      </c>
      <c r="V203">
        <v>500</v>
      </c>
      <c r="X203">
        <v>3500</v>
      </c>
      <c r="Y203">
        <v>77.760000000000005</v>
      </c>
      <c r="AG203">
        <v>200</v>
      </c>
      <c r="AJ203">
        <v>0</v>
      </c>
      <c r="AL203">
        <v>7460</v>
      </c>
      <c r="AP203">
        <v>2200</v>
      </c>
      <c r="AQ203">
        <v>0</v>
      </c>
      <c r="AR203">
        <v>1.54</v>
      </c>
      <c r="AS203">
        <v>14</v>
      </c>
    </row>
    <row r="204" spans="1:45" x14ac:dyDescent="0.3">
      <c r="A204" t="s">
        <v>247</v>
      </c>
      <c r="B204">
        <v>261</v>
      </c>
      <c r="C204">
        <v>18.12</v>
      </c>
      <c r="E204">
        <v>8.4700000000000006</v>
      </c>
      <c r="F204">
        <v>171000000</v>
      </c>
      <c r="G204">
        <v>98440000</v>
      </c>
      <c r="H204">
        <v>105800000</v>
      </c>
      <c r="I204">
        <v>70000000</v>
      </c>
      <c r="J204">
        <v>339000000</v>
      </c>
      <c r="K204">
        <v>8800</v>
      </c>
      <c r="L204">
        <v>-1.9</v>
      </c>
      <c r="P204">
        <v>320</v>
      </c>
      <c r="Q204">
        <v>195000000</v>
      </c>
      <c r="S204">
        <v>14.49</v>
      </c>
      <c r="T204">
        <v>1.7</v>
      </c>
      <c r="U204">
        <v>51</v>
      </c>
      <c r="V204">
        <v>10000</v>
      </c>
      <c r="X204">
        <v>18170</v>
      </c>
      <c r="Y204">
        <v>72.150000000000006</v>
      </c>
      <c r="AG204">
        <v>710</v>
      </c>
      <c r="AJ204">
        <v>0</v>
      </c>
      <c r="AL204">
        <v>38958</v>
      </c>
      <c r="AN204">
        <v>50</v>
      </c>
      <c r="AP204">
        <v>23500</v>
      </c>
      <c r="AQ204">
        <v>5000</v>
      </c>
      <c r="AR204">
        <v>2.33</v>
      </c>
      <c r="AS204">
        <v>4.5</v>
      </c>
    </row>
    <row r="205" spans="1:45" x14ac:dyDescent="0.3">
      <c r="A205" t="s">
        <v>248</v>
      </c>
      <c r="B205">
        <v>616</v>
      </c>
      <c r="C205">
        <v>20.05</v>
      </c>
      <c r="E205">
        <v>5.12</v>
      </c>
      <c r="F205">
        <v>214000000</v>
      </c>
      <c r="G205">
        <v>251300000</v>
      </c>
      <c r="H205">
        <v>270300000</v>
      </c>
      <c r="I205">
        <v>66000000</v>
      </c>
      <c r="J205">
        <v>866000000</v>
      </c>
      <c r="K205">
        <v>5400</v>
      </c>
      <c r="L205">
        <v>3.3</v>
      </c>
      <c r="P205">
        <v>1210</v>
      </c>
      <c r="Q205">
        <v>267000000</v>
      </c>
      <c r="R205">
        <v>-8.9</v>
      </c>
      <c r="S205">
        <v>13.53</v>
      </c>
      <c r="T205">
        <v>3</v>
      </c>
      <c r="U205">
        <v>41</v>
      </c>
      <c r="V205">
        <v>13000</v>
      </c>
      <c r="X205">
        <v>43800</v>
      </c>
      <c r="Y205">
        <v>73.61</v>
      </c>
      <c r="AG205">
        <v>2400</v>
      </c>
      <c r="AJ205">
        <v>0</v>
      </c>
      <c r="AL205">
        <v>166312</v>
      </c>
      <c r="AP205">
        <v>51100</v>
      </c>
      <c r="AQ205">
        <v>14300</v>
      </c>
      <c r="AR205">
        <v>2.21</v>
      </c>
      <c r="AS205">
        <v>20</v>
      </c>
    </row>
    <row r="206" spans="1:45" x14ac:dyDescent="0.3">
      <c r="A206" t="s">
        <v>249</v>
      </c>
      <c r="B206">
        <v>242</v>
      </c>
      <c r="C206">
        <v>13.83</v>
      </c>
      <c r="E206">
        <v>6.7</v>
      </c>
      <c r="G206">
        <v>40060000</v>
      </c>
      <c r="H206">
        <v>43080000</v>
      </c>
      <c r="I206">
        <v>10000000</v>
      </c>
      <c r="J206">
        <v>48300000</v>
      </c>
      <c r="K206">
        <v>7000</v>
      </c>
      <c r="P206">
        <v>114</v>
      </c>
      <c r="Q206">
        <v>106000000</v>
      </c>
      <c r="S206">
        <v>7.54</v>
      </c>
      <c r="T206">
        <v>2.1</v>
      </c>
      <c r="X206">
        <v>3261</v>
      </c>
      <c r="Y206">
        <v>78.459999999999994</v>
      </c>
      <c r="AG206">
        <v>600</v>
      </c>
      <c r="AJ206">
        <v>0</v>
      </c>
      <c r="AL206">
        <v>7012</v>
      </c>
      <c r="AP206">
        <v>4800</v>
      </c>
      <c r="AQ206">
        <v>0</v>
      </c>
      <c r="AR206">
        <v>2.0299999999999998</v>
      </c>
      <c r="AS206">
        <v>9.8000000000000007</v>
      </c>
    </row>
    <row r="207" spans="1:45" x14ac:dyDescent="0.3">
      <c r="A207" t="s">
        <v>250</v>
      </c>
      <c r="B207">
        <v>389</v>
      </c>
      <c r="C207">
        <v>16.34</v>
      </c>
      <c r="E207">
        <v>6</v>
      </c>
      <c r="F207">
        <v>167200000</v>
      </c>
      <c r="G207">
        <v>84820000</v>
      </c>
      <c r="H207">
        <v>91200000</v>
      </c>
      <c r="I207">
        <v>38000000</v>
      </c>
      <c r="J207">
        <v>342000000</v>
      </c>
      <c r="K207">
        <v>2900</v>
      </c>
      <c r="L207">
        <v>0.7</v>
      </c>
      <c r="P207">
        <v>829</v>
      </c>
      <c r="Q207">
        <v>174000000</v>
      </c>
      <c r="R207">
        <v>-0.9</v>
      </c>
      <c r="S207">
        <v>14.78</v>
      </c>
      <c r="T207">
        <v>-0.4</v>
      </c>
      <c r="U207">
        <v>4</v>
      </c>
      <c r="V207">
        <v>7000</v>
      </c>
      <c r="X207">
        <v>67000</v>
      </c>
      <c r="Y207">
        <v>73.62</v>
      </c>
      <c r="AG207">
        <v>1250</v>
      </c>
      <c r="AJ207">
        <v>0</v>
      </c>
      <c r="AL207">
        <v>117534</v>
      </c>
      <c r="AP207">
        <v>27300</v>
      </c>
      <c r="AQ207">
        <v>10000</v>
      </c>
      <c r="AR207">
        <v>1.85</v>
      </c>
      <c r="AS207">
        <v>15</v>
      </c>
    </row>
    <row r="208" spans="1:45" x14ac:dyDescent="0.3">
      <c r="A208" t="s">
        <v>251</v>
      </c>
      <c r="B208">
        <v>2944</v>
      </c>
      <c r="C208">
        <v>15.95</v>
      </c>
      <c r="E208">
        <v>6.54</v>
      </c>
      <c r="F208">
        <v>197000000</v>
      </c>
      <c r="G208">
        <v>113500000</v>
      </c>
      <c r="H208">
        <v>122000000</v>
      </c>
      <c r="I208">
        <v>14000000</v>
      </c>
      <c r="J208">
        <v>1000000000</v>
      </c>
      <c r="K208">
        <v>5600</v>
      </c>
      <c r="L208">
        <v>5</v>
      </c>
      <c r="N208">
        <v>3</v>
      </c>
      <c r="O208">
        <v>12</v>
      </c>
      <c r="P208">
        <v>790</v>
      </c>
      <c r="Q208">
        <v>113000000</v>
      </c>
      <c r="R208">
        <v>2.8</v>
      </c>
      <c r="S208">
        <v>27.71</v>
      </c>
      <c r="T208">
        <v>4</v>
      </c>
      <c r="U208">
        <v>8225</v>
      </c>
      <c r="V208">
        <v>4000</v>
      </c>
      <c r="X208">
        <v>90000</v>
      </c>
      <c r="Y208">
        <v>70.72</v>
      </c>
      <c r="AG208">
        <v>1000</v>
      </c>
      <c r="AJ208">
        <v>0</v>
      </c>
      <c r="AL208">
        <v>177287</v>
      </c>
      <c r="AP208">
        <v>11800</v>
      </c>
      <c r="AQ208">
        <v>2700</v>
      </c>
      <c r="AR208">
        <v>3.01</v>
      </c>
    </row>
    <row r="209" spans="1:45" x14ac:dyDescent="0.3">
      <c r="A209" t="s">
        <v>252</v>
      </c>
      <c r="B209">
        <v>61</v>
      </c>
      <c r="C209">
        <v>10.18</v>
      </c>
      <c r="E209">
        <v>8.07</v>
      </c>
      <c r="J209">
        <v>940000000</v>
      </c>
      <c r="K209">
        <v>34600</v>
      </c>
      <c r="L209">
        <v>7.5</v>
      </c>
      <c r="P209">
        <v>220</v>
      </c>
      <c r="R209">
        <v>6</v>
      </c>
      <c r="S209">
        <v>5.73</v>
      </c>
      <c r="T209">
        <v>3.3</v>
      </c>
      <c r="U209">
        <v>1763</v>
      </c>
      <c r="V209">
        <v>14300</v>
      </c>
      <c r="X209">
        <v>18500</v>
      </c>
      <c r="Y209">
        <v>81.62</v>
      </c>
      <c r="Z209">
        <v>700000</v>
      </c>
      <c r="AL209">
        <v>28880</v>
      </c>
      <c r="AP209">
        <v>20600</v>
      </c>
      <c r="AQ209">
        <v>16800</v>
      </c>
      <c r="AR209">
        <v>1.33</v>
      </c>
      <c r="AS209">
        <v>2.6</v>
      </c>
    </row>
    <row r="210" spans="1:45" x14ac:dyDescent="0.3">
      <c r="A210" t="s">
        <v>253</v>
      </c>
      <c r="B210">
        <v>1001</v>
      </c>
      <c r="C210">
        <v>40.799999999999997</v>
      </c>
      <c r="D210">
        <v>-31500000</v>
      </c>
      <c r="E210">
        <v>6.68</v>
      </c>
      <c r="F210">
        <v>318000000</v>
      </c>
      <c r="G210">
        <v>15810000</v>
      </c>
      <c r="H210">
        <v>17000000</v>
      </c>
      <c r="I210">
        <v>6700000</v>
      </c>
      <c r="J210">
        <v>214000000</v>
      </c>
      <c r="K210">
        <v>1200</v>
      </c>
      <c r="L210">
        <v>6</v>
      </c>
      <c r="P210">
        <v>320</v>
      </c>
      <c r="Q210">
        <v>41000000</v>
      </c>
      <c r="S210">
        <v>43.11</v>
      </c>
      <c r="T210">
        <v>14</v>
      </c>
      <c r="U210">
        <v>1069</v>
      </c>
      <c r="V210">
        <v>15000</v>
      </c>
      <c r="W210">
        <v>31.5</v>
      </c>
      <c r="Y210">
        <v>66.989999999999995</v>
      </c>
      <c r="Z210">
        <v>700000</v>
      </c>
      <c r="AA210">
        <v>0.8</v>
      </c>
      <c r="AG210">
        <v>700</v>
      </c>
      <c r="AJ210">
        <v>0</v>
      </c>
      <c r="AL210">
        <v>187410</v>
      </c>
      <c r="AO210">
        <v>29780000</v>
      </c>
      <c r="AP210">
        <v>7000</v>
      </c>
      <c r="AQ210">
        <v>4800</v>
      </c>
      <c r="AR210">
        <v>5.71</v>
      </c>
    </row>
    <row r="211" spans="1:45" x14ac:dyDescent="0.3">
      <c r="A211" t="s">
        <v>254</v>
      </c>
      <c r="B211">
        <v>1960582</v>
      </c>
      <c r="C211">
        <v>29.56</v>
      </c>
      <c r="D211">
        <v>51500000000</v>
      </c>
      <c r="E211">
        <v>2.62</v>
      </c>
      <c r="F211">
        <v>34350000000</v>
      </c>
      <c r="G211">
        <v>128500000000</v>
      </c>
      <c r="H211">
        <v>138200000000</v>
      </c>
      <c r="I211">
        <v>113000000000</v>
      </c>
      <c r="J211">
        <v>310200000000</v>
      </c>
      <c r="K211">
        <v>12000</v>
      </c>
      <c r="L211">
        <v>5</v>
      </c>
      <c r="M211">
        <v>0.01</v>
      </c>
      <c r="P211">
        <v>152044</v>
      </c>
      <c r="Q211">
        <v>36210000000</v>
      </c>
      <c r="R211">
        <v>2.8</v>
      </c>
      <c r="S211">
        <v>13.24</v>
      </c>
      <c r="T211">
        <v>0.8</v>
      </c>
      <c r="U211">
        <v>15931</v>
      </c>
      <c r="V211">
        <v>1500000</v>
      </c>
      <c r="W211">
        <v>17.2</v>
      </c>
      <c r="X211">
        <v>6620000</v>
      </c>
      <c r="Y211">
        <v>75.459999999999994</v>
      </c>
      <c r="Z211">
        <v>18000000000</v>
      </c>
      <c r="AA211">
        <v>10</v>
      </c>
      <c r="AB211">
        <v>56400000000</v>
      </c>
      <c r="AC211">
        <v>0</v>
      </c>
      <c r="AD211">
        <v>0</v>
      </c>
      <c r="AE211">
        <v>56400000000</v>
      </c>
      <c r="AF211">
        <v>6339000000000</v>
      </c>
      <c r="AG211">
        <v>1550000</v>
      </c>
      <c r="AH211">
        <v>7920000</v>
      </c>
      <c r="AI211">
        <v>0</v>
      </c>
      <c r="AJ211">
        <v>9021000</v>
      </c>
      <c r="AK211">
        <v>261700000000</v>
      </c>
      <c r="AL211">
        <v>26417599</v>
      </c>
      <c r="AM211">
        <v>75</v>
      </c>
      <c r="AN211">
        <v>1392</v>
      </c>
      <c r="AO211">
        <v>23620000000</v>
      </c>
      <c r="AP211">
        <v>3502600</v>
      </c>
      <c r="AQ211">
        <v>7238200</v>
      </c>
      <c r="AR211">
        <v>4.05</v>
      </c>
      <c r="AS211">
        <v>25</v>
      </c>
    </row>
    <row r="212" spans="1:45" x14ac:dyDescent="0.3">
      <c r="A212" t="s">
        <v>255</v>
      </c>
      <c r="B212">
        <v>196190</v>
      </c>
      <c r="C212">
        <v>35.21</v>
      </c>
      <c r="D212">
        <v>-518800000</v>
      </c>
      <c r="E212">
        <v>10.6</v>
      </c>
      <c r="F212">
        <v>3476000000</v>
      </c>
      <c r="G212">
        <v>1615000000</v>
      </c>
      <c r="H212">
        <v>1737000000</v>
      </c>
      <c r="I212">
        <v>1374000000</v>
      </c>
      <c r="J212">
        <v>18360000000</v>
      </c>
      <c r="K212">
        <v>1700</v>
      </c>
      <c r="L212">
        <v>3.2</v>
      </c>
      <c r="M212">
        <v>0.8</v>
      </c>
      <c r="N212">
        <v>3500</v>
      </c>
      <c r="O212">
        <v>44000</v>
      </c>
      <c r="P212">
        <v>14576</v>
      </c>
      <c r="Q212">
        <v>2128000000</v>
      </c>
      <c r="R212">
        <v>4.7</v>
      </c>
      <c r="S212">
        <v>55.51</v>
      </c>
      <c r="T212">
        <v>0.8</v>
      </c>
      <c r="U212">
        <v>672</v>
      </c>
      <c r="V212">
        <v>225000</v>
      </c>
      <c r="W212">
        <v>20.100000000000001</v>
      </c>
      <c r="X212">
        <v>4650000</v>
      </c>
      <c r="Y212">
        <v>56.75</v>
      </c>
      <c r="Z212">
        <v>107300000</v>
      </c>
      <c r="AA212">
        <v>1.5</v>
      </c>
      <c r="AB212">
        <v>50000000</v>
      </c>
      <c r="AC212">
        <v>0</v>
      </c>
      <c r="AD212">
        <v>0</v>
      </c>
      <c r="AE212">
        <v>50000000</v>
      </c>
      <c r="AG212">
        <v>31000</v>
      </c>
      <c r="AJ212">
        <v>0</v>
      </c>
      <c r="AL212">
        <v>11126832</v>
      </c>
      <c r="AM212">
        <v>55.2</v>
      </c>
      <c r="AN212">
        <v>906</v>
      </c>
      <c r="AO212">
        <v>820000000</v>
      </c>
      <c r="AP212">
        <v>228800</v>
      </c>
      <c r="AQ212">
        <v>575900</v>
      </c>
      <c r="AR212">
        <v>4.75</v>
      </c>
      <c r="AS212">
        <v>48</v>
      </c>
    </row>
    <row r="213" spans="1:45" x14ac:dyDescent="0.3">
      <c r="A213" t="s">
        <v>256</v>
      </c>
      <c r="B213">
        <v>102350</v>
      </c>
      <c r="C213">
        <v>12.12</v>
      </c>
      <c r="D213">
        <v>-3008000000</v>
      </c>
      <c r="E213">
        <v>10.49</v>
      </c>
      <c r="F213">
        <v>12970000000</v>
      </c>
      <c r="G213">
        <v>32330000000</v>
      </c>
      <c r="H213">
        <v>31640000000</v>
      </c>
      <c r="I213">
        <v>3245000000</v>
      </c>
      <c r="J213">
        <v>26270000000</v>
      </c>
      <c r="K213">
        <v>2400</v>
      </c>
      <c r="L213">
        <v>6.5</v>
      </c>
      <c r="M213">
        <v>0.2</v>
      </c>
      <c r="N213">
        <v>100</v>
      </c>
      <c r="O213">
        <v>10000</v>
      </c>
      <c r="P213">
        <v>45290</v>
      </c>
      <c r="Q213">
        <v>9538000000</v>
      </c>
      <c r="R213">
        <v>1.7</v>
      </c>
      <c r="S213">
        <v>12.89</v>
      </c>
      <c r="T213">
        <v>8.8000000000000007</v>
      </c>
      <c r="U213">
        <v>20207</v>
      </c>
      <c r="V213">
        <v>847000</v>
      </c>
      <c r="W213">
        <v>14.4</v>
      </c>
      <c r="X213">
        <v>3200000</v>
      </c>
      <c r="Y213">
        <v>74.73</v>
      </c>
      <c r="Z213">
        <v>654000000</v>
      </c>
      <c r="AB213">
        <v>602000000</v>
      </c>
      <c r="AC213">
        <v>0</v>
      </c>
      <c r="AD213">
        <v>0</v>
      </c>
      <c r="AE213">
        <v>602000000</v>
      </c>
      <c r="AF213">
        <v>24070000000</v>
      </c>
      <c r="AG213">
        <v>64000</v>
      </c>
      <c r="AJ213">
        <v>15000</v>
      </c>
      <c r="AK213">
        <v>38750000</v>
      </c>
      <c r="AL213">
        <v>10829175</v>
      </c>
      <c r="AM213">
        <v>80</v>
      </c>
      <c r="AN213">
        <v>4380</v>
      </c>
      <c r="AO213">
        <v>3550000000</v>
      </c>
      <c r="AP213">
        <v>2611700</v>
      </c>
      <c r="AQ213">
        <v>3634600</v>
      </c>
      <c r="AR213">
        <v>1.67</v>
      </c>
      <c r="AS213">
        <v>30</v>
      </c>
    </row>
    <row r="214" spans="1:45" x14ac:dyDescent="0.3">
      <c r="A214" t="s">
        <v>257</v>
      </c>
      <c r="B214">
        <v>455</v>
      </c>
      <c r="C214">
        <v>16.22</v>
      </c>
      <c r="D214">
        <v>-98420000</v>
      </c>
      <c r="E214">
        <v>6.34</v>
      </c>
      <c r="F214">
        <v>218100000</v>
      </c>
      <c r="G214">
        <v>202800000</v>
      </c>
      <c r="H214">
        <v>218000000</v>
      </c>
      <c r="I214">
        <v>256200000</v>
      </c>
      <c r="J214">
        <v>626000000</v>
      </c>
      <c r="K214">
        <v>7800</v>
      </c>
      <c r="L214">
        <v>1.5</v>
      </c>
      <c r="P214">
        <v>373</v>
      </c>
      <c r="Q214">
        <v>393400000</v>
      </c>
      <c r="S214">
        <v>15.53</v>
      </c>
      <c r="T214">
        <v>5</v>
      </c>
      <c r="U214">
        <v>264</v>
      </c>
      <c r="V214">
        <v>11700</v>
      </c>
      <c r="W214">
        <v>39.5</v>
      </c>
      <c r="X214">
        <v>30900</v>
      </c>
      <c r="Y214">
        <v>71.819999999999993</v>
      </c>
      <c r="Z214">
        <v>12300000</v>
      </c>
      <c r="AA214">
        <v>1.8</v>
      </c>
      <c r="AG214">
        <v>4000</v>
      </c>
      <c r="AJ214">
        <v>0</v>
      </c>
      <c r="AL214">
        <v>81188</v>
      </c>
      <c r="AM214">
        <v>122.8</v>
      </c>
      <c r="AO214">
        <v>70940000</v>
      </c>
      <c r="AP214">
        <v>21700</v>
      </c>
      <c r="AQ214">
        <v>54500</v>
      </c>
      <c r="AR214">
        <v>1.75</v>
      </c>
    </row>
    <row r="215" spans="1:45" x14ac:dyDescent="0.3">
      <c r="A215" t="s">
        <v>258</v>
      </c>
      <c r="B215">
        <v>71740</v>
      </c>
      <c r="C215">
        <v>42.84</v>
      </c>
      <c r="E215">
        <v>20.61</v>
      </c>
      <c r="F215">
        <v>1500000000</v>
      </c>
      <c r="G215">
        <v>237400000</v>
      </c>
      <c r="H215">
        <v>255300000</v>
      </c>
      <c r="I215">
        <v>49000000</v>
      </c>
      <c r="J215">
        <v>3335000000</v>
      </c>
      <c r="K215">
        <v>600</v>
      </c>
      <c r="L215">
        <v>6</v>
      </c>
      <c r="M215">
        <v>7</v>
      </c>
      <c r="N215">
        <v>11000</v>
      </c>
      <c r="O215">
        <v>170000</v>
      </c>
      <c r="P215">
        <v>11300</v>
      </c>
      <c r="Q215">
        <v>264000000</v>
      </c>
      <c r="S215">
        <v>143.63999999999999</v>
      </c>
      <c r="T215">
        <v>1</v>
      </c>
      <c r="U215">
        <v>277</v>
      </c>
      <c r="V215">
        <v>8000</v>
      </c>
      <c r="X215">
        <v>1369000</v>
      </c>
      <c r="Y215">
        <v>42.52</v>
      </c>
      <c r="Z215">
        <v>13200000</v>
      </c>
      <c r="AA215">
        <v>1.7</v>
      </c>
      <c r="AG215">
        <v>6500</v>
      </c>
      <c r="AJ215">
        <v>0</v>
      </c>
      <c r="AL215">
        <v>6017643</v>
      </c>
      <c r="AP215">
        <v>24000</v>
      </c>
      <c r="AQ215">
        <v>67000</v>
      </c>
      <c r="AR215">
        <v>5.72</v>
      </c>
    </row>
    <row r="216" spans="1:45" x14ac:dyDescent="0.3">
      <c r="A216" t="s">
        <v>259</v>
      </c>
      <c r="B216">
        <v>693</v>
      </c>
      <c r="C216">
        <v>9.49</v>
      </c>
      <c r="D216">
        <v>8800000000</v>
      </c>
      <c r="E216">
        <v>4.16</v>
      </c>
      <c r="F216">
        <v>19400000000</v>
      </c>
      <c r="G216">
        <v>32000000000</v>
      </c>
      <c r="H216">
        <v>35330000000</v>
      </c>
      <c r="I216">
        <v>174000000000</v>
      </c>
      <c r="J216">
        <v>120900000000</v>
      </c>
      <c r="K216">
        <v>27800</v>
      </c>
      <c r="L216">
        <v>8.1</v>
      </c>
      <c r="M216">
        <v>0.2</v>
      </c>
      <c r="N216">
        <v>200</v>
      </c>
      <c r="O216">
        <v>4100</v>
      </c>
      <c r="P216">
        <v>3130</v>
      </c>
      <c r="Q216">
        <v>155200000000</v>
      </c>
      <c r="R216">
        <v>11.1</v>
      </c>
      <c r="S216">
        <v>2.29</v>
      </c>
      <c r="T216">
        <v>1.7</v>
      </c>
      <c r="U216">
        <v>484825</v>
      </c>
      <c r="V216">
        <v>2310000</v>
      </c>
      <c r="W216">
        <v>27.4</v>
      </c>
      <c r="X216">
        <v>2180000</v>
      </c>
      <c r="Y216">
        <v>81.62</v>
      </c>
      <c r="Z216">
        <v>4470000000</v>
      </c>
      <c r="AA216">
        <v>4.9000000000000004</v>
      </c>
      <c r="AB216">
        <v>2500000000</v>
      </c>
      <c r="AC216">
        <v>0</v>
      </c>
      <c r="AD216">
        <v>2500000000</v>
      </c>
      <c r="AE216">
        <v>0</v>
      </c>
      <c r="AG216">
        <v>700000</v>
      </c>
      <c r="AJ216">
        <v>0</v>
      </c>
      <c r="AL216">
        <v>4425720</v>
      </c>
      <c r="AM216">
        <v>102.5</v>
      </c>
      <c r="AO216">
        <v>112800000000</v>
      </c>
      <c r="AP216">
        <v>1896100</v>
      </c>
      <c r="AQ216">
        <v>3521800</v>
      </c>
      <c r="AR216">
        <v>1.05</v>
      </c>
      <c r="AS216">
        <v>3.4</v>
      </c>
    </row>
    <row r="217" spans="1:45" x14ac:dyDescent="0.3">
      <c r="A217" t="s">
        <v>260</v>
      </c>
      <c r="B217">
        <v>48845</v>
      </c>
      <c r="C217">
        <v>10.62</v>
      </c>
      <c r="D217">
        <v>-1400000000</v>
      </c>
      <c r="E217">
        <v>9.43</v>
      </c>
      <c r="F217">
        <v>19540000000</v>
      </c>
      <c r="G217">
        <v>28890000000</v>
      </c>
      <c r="H217">
        <v>31150000000</v>
      </c>
      <c r="I217">
        <v>29240000000</v>
      </c>
      <c r="J217">
        <v>78890000000</v>
      </c>
      <c r="K217">
        <v>14500</v>
      </c>
      <c r="L217">
        <v>5.3</v>
      </c>
      <c r="M217">
        <v>0.1</v>
      </c>
      <c r="N217">
        <v>100</v>
      </c>
      <c r="O217">
        <v>200</v>
      </c>
      <c r="P217">
        <v>42970</v>
      </c>
      <c r="Q217">
        <v>29670000000</v>
      </c>
      <c r="R217">
        <v>5.0999999999999996</v>
      </c>
      <c r="S217">
        <v>7.41</v>
      </c>
      <c r="T217">
        <v>7.5</v>
      </c>
      <c r="U217">
        <v>89592</v>
      </c>
      <c r="V217">
        <v>1375800</v>
      </c>
      <c r="W217">
        <v>24</v>
      </c>
      <c r="X217">
        <v>2200000</v>
      </c>
      <c r="Y217">
        <v>74.5</v>
      </c>
      <c r="Z217">
        <v>406000000</v>
      </c>
      <c r="AA217">
        <v>1.89</v>
      </c>
      <c r="AB217">
        <v>6800000000</v>
      </c>
      <c r="AC217">
        <v>0</v>
      </c>
      <c r="AD217">
        <v>6600000000</v>
      </c>
      <c r="AE217">
        <v>190000000</v>
      </c>
      <c r="AF217">
        <v>7504000000</v>
      </c>
      <c r="AG217">
        <v>82000</v>
      </c>
      <c r="AJ217">
        <v>1000</v>
      </c>
      <c r="AK217">
        <v>4500000</v>
      </c>
      <c r="AL217">
        <v>5431363</v>
      </c>
      <c r="AM217">
        <v>46.6</v>
      </c>
      <c r="AN217">
        <v>3661</v>
      </c>
      <c r="AO217">
        <v>14910000000</v>
      </c>
      <c r="AP217">
        <v>1294700</v>
      </c>
      <c r="AQ217">
        <v>3678800</v>
      </c>
      <c r="AR217">
        <v>1.32</v>
      </c>
      <c r="AS217">
        <v>13.1</v>
      </c>
    </row>
    <row r="218" spans="1:45" x14ac:dyDescent="0.3">
      <c r="A218" t="s">
        <v>261</v>
      </c>
      <c r="B218">
        <v>20273</v>
      </c>
      <c r="C218">
        <v>8.9499999999999993</v>
      </c>
      <c r="D218">
        <v>-51640000</v>
      </c>
      <c r="E218">
        <v>10.220000000000001</v>
      </c>
      <c r="F218">
        <v>14650000000</v>
      </c>
      <c r="G218">
        <v>11800000000</v>
      </c>
      <c r="H218">
        <v>12490000000</v>
      </c>
      <c r="I218">
        <v>14970000000</v>
      </c>
      <c r="J218">
        <v>39410000000</v>
      </c>
      <c r="K218">
        <v>19600</v>
      </c>
      <c r="L218">
        <v>3.9</v>
      </c>
      <c r="M218">
        <v>0.1</v>
      </c>
      <c r="N218">
        <v>100</v>
      </c>
      <c r="O218">
        <v>280</v>
      </c>
      <c r="P218">
        <v>20250</v>
      </c>
      <c r="Q218">
        <v>16070000000</v>
      </c>
      <c r="R218">
        <v>3.9</v>
      </c>
      <c r="S218">
        <v>4.45</v>
      </c>
      <c r="T218">
        <v>3.3</v>
      </c>
      <c r="U218">
        <v>45491</v>
      </c>
      <c r="V218">
        <v>750000</v>
      </c>
      <c r="W218">
        <v>24.9</v>
      </c>
      <c r="X218">
        <v>870000</v>
      </c>
      <c r="Y218">
        <v>76.14</v>
      </c>
      <c r="Z218">
        <v>370000000</v>
      </c>
      <c r="AA218">
        <v>1.7</v>
      </c>
      <c r="AB218">
        <v>1040000000</v>
      </c>
      <c r="AC218">
        <v>0</v>
      </c>
      <c r="AD218">
        <v>1040000000</v>
      </c>
      <c r="AE218">
        <v>0</v>
      </c>
      <c r="AG218">
        <v>53300</v>
      </c>
      <c r="AJ218">
        <v>20</v>
      </c>
      <c r="AL218">
        <v>2011070</v>
      </c>
      <c r="AM218">
        <v>31.5</v>
      </c>
      <c r="AN218">
        <v>1201</v>
      </c>
      <c r="AO218">
        <v>8493000000</v>
      </c>
      <c r="AP218">
        <v>812300</v>
      </c>
      <c r="AQ218">
        <v>1739100</v>
      </c>
      <c r="AR218">
        <v>1.24</v>
      </c>
      <c r="AS218">
        <v>6.4</v>
      </c>
    </row>
    <row r="219" spans="1:45" x14ac:dyDescent="0.3">
      <c r="A219" t="s">
        <v>262</v>
      </c>
      <c r="B219">
        <v>28450</v>
      </c>
      <c r="C219">
        <v>30.74</v>
      </c>
      <c r="E219">
        <v>3.98</v>
      </c>
      <c r="F219">
        <v>180400000</v>
      </c>
      <c r="G219">
        <v>29760000</v>
      </c>
      <c r="H219">
        <v>32000000</v>
      </c>
      <c r="I219">
        <v>74000000</v>
      </c>
      <c r="J219">
        <v>800000000</v>
      </c>
      <c r="K219">
        <v>1700</v>
      </c>
      <c r="L219">
        <v>5.8</v>
      </c>
      <c r="P219">
        <v>1360</v>
      </c>
      <c r="Q219">
        <v>67000000</v>
      </c>
      <c r="S219">
        <v>21.29</v>
      </c>
      <c r="T219">
        <v>10</v>
      </c>
      <c r="U219">
        <v>398</v>
      </c>
      <c r="V219">
        <v>2200</v>
      </c>
      <c r="X219">
        <v>26840</v>
      </c>
      <c r="Y219">
        <v>72.66</v>
      </c>
      <c r="AG219">
        <v>1250</v>
      </c>
      <c r="AJ219">
        <v>0</v>
      </c>
      <c r="AL219">
        <v>538032</v>
      </c>
      <c r="AP219">
        <v>6600</v>
      </c>
      <c r="AQ219">
        <v>1000</v>
      </c>
      <c r="AR219">
        <v>4.04</v>
      </c>
    </row>
    <row r="220" spans="1:45" x14ac:dyDescent="0.3">
      <c r="A220" t="s">
        <v>263</v>
      </c>
      <c r="B220">
        <v>637657</v>
      </c>
      <c r="C220">
        <v>45.62</v>
      </c>
      <c r="E220">
        <v>16.97</v>
      </c>
      <c r="F220">
        <v>3000000000</v>
      </c>
      <c r="G220">
        <v>223500000</v>
      </c>
      <c r="H220">
        <v>240300000</v>
      </c>
      <c r="I220">
        <v>79000000</v>
      </c>
      <c r="J220">
        <v>4597000000</v>
      </c>
      <c r="K220">
        <v>600</v>
      </c>
      <c r="L220">
        <v>2.8</v>
      </c>
      <c r="M220">
        <v>1</v>
      </c>
      <c r="O220">
        <v>43000</v>
      </c>
      <c r="P220">
        <v>22100</v>
      </c>
      <c r="Q220">
        <v>344000000</v>
      </c>
      <c r="S220">
        <v>116.7</v>
      </c>
      <c r="U220">
        <v>4</v>
      </c>
      <c r="V220">
        <v>89000</v>
      </c>
      <c r="X220">
        <v>3700000</v>
      </c>
      <c r="Y220">
        <v>48.09</v>
      </c>
      <c r="Z220">
        <v>18900000</v>
      </c>
      <c r="AA220">
        <v>0.9</v>
      </c>
      <c r="AF220">
        <v>2832000000</v>
      </c>
      <c r="AG220">
        <v>4000</v>
      </c>
      <c r="AJ220">
        <v>0</v>
      </c>
      <c r="AK220">
        <v>0</v>
      </c>
      <c r="AL220">
        <v>8591629</v>
      </c>
      <c r="AP220">
        <v>100000</v>
      </c>
      <c r="AQ220">
        <v>35000</v>
      </c>
      <c r="AR220">
        <v>6.84</v>
      </c>
    </row>
    <row r="221" spans="1:45" x14ac:dyDescent="0.3">
      <c r="A221" t="s">
        <v>264</v>
      </c>
      <c r="B221">
        <v>1219912</v>
      </c>
      <c r="C221">
        <v>18.48</v>
      </c>
      <c r="D221">
        <v>-2480000000</v>
      </c>
      <c r="E221">
        <v>21.32</v>
      </c>
      <c r="F221">
        <v>27010000000</v>
      </c>
      <c r="G221">
        <v>189400000000</v>
      </c>
      <c r="H221">
        <v>202600000000</v>
      </c>
      <c r="I221">
        <v>41970000000</v>
      </c>
      <c r="J221">
        <v>491400000000</v>
      </c>
      <c r="K221">
        <v>11100</v>
      </c>
      <c r="L221">
        <v>3.5</v>
      </c>
      <c r="M221">
        <v>21.5</v>
      </c>
      <c r="N221">
        <v>370000</v>
      </c>
      <c r="O221">
        <v>5300000</v>
      </c>
      <c r="P221">
        <v>275971</v>
      </c>
      <c r="Q221">
        <v>39420000000</v>
      </c>
      <c r="R221">
        <v>5.5</v>
      </c>
      <c r="S221">
        <v>61.81</v>
      </c>
      <c r="T221">
        <v>4.5</v>
      </c>
      <c r="U221">
        <v>288633</v>
      </c>
      <c r="V221">
        <v>3100000</v>
      </c>
      <c r="W221">
        <v>16.7</v>
      </c>
      <c r="X221">
        <v>16630000</v>
      </c>
      <c r="Y221">
        <v>43.27</v>
      </c>
      <c r="Z221">
        <v>3172000000</v>
      </c>
      <c r="AA221">
        <v>1.5</v>
      </c>
      <c r="AB221">
        <v>1800000000</v>
      </c>
      <c r="AC221">
        <v>0</v>
      </c>
      <c r="AD221">
        <v>0</v>
      </c>
      <c r="AE221">
        <v>1800000000</v>
      </c>
      <c r="AF221">
        <v>14160000000</v>
      </c>
      <c r="AG221">
        <v>460000</v>
      </c>
      <c r="AJ221">
        <v>196200</v>
      </c>
      <c r="AK221">
        <v>7840000</v>
      </c>
      <c r="AL221">
        <v>44344136</v>
      </c>
      <c r="AM221">
        <v>45.9</v>
      </c>
      <c r="AN221">
        <v>22298</v>
      </c>
      <c r="AO221">
        <v>11680000000</v>
      </c>
      <c r="AP221">
        <v>4844000</v>
      </c>
      <c r="AQ221">
        <v>16860000</v>
      </c>
      <c r="AR221">
        <v>2.2400000000000002</v>
      </c>
      <c r="AS221">
        <v>26.2</v>
      </c>
    </row>
    <row r="222" spans="1:45" x14ac:dyDescent="0.3">
      <c r="A222" t="s">
        <v>265</v>
      </c>
      <c r="B222">
        <v>3903</v>
      </c>
    </row>
    <row r="223" spans="1:45" x14ac:dyDescent="0.3">
      <c r="A223" t="s">
        <v>266</v>
      </c>
      <c r="B223">
        <v>504782</v>
      </c>
      <c r="C223">
        <v>10.1</v>
      </c>
      <c r="D223">
        <v>-30890000000</v>
      </c>
      <c r="E223">
        <v>9.6300000000000008</v>
      </c>
      <c r="F223">
        <v>771100000000</v>
      </c>
      <c r="G223">
        <v>218400000000</v>
      </c>
      <c r="H223">
        <v>229000000000</v>
      </c>
      <c r="I223">
        <v>172500000000</v>
      </c>
      <c r="J223">
        <v>937600000000</v>
      </c>
      <c r="K223">
        <v>23300</v>
      </c>
      <c r="L223">
        <v>2.6</v>
      </c>
      <c r="M223">
        <v>0.7</v>
      </c>
      <c r="N223">
        <v>1000</v>
      </c>
      <c r="O223">
        <v>140000</v>
      </c>
      <c r="P223">
        <v>664852</v>
      </c>
      <c r="Q223">
        <v>222000000000</v>
      </c>
      <c r="R223">
        <v>3</v>
      </c>
      <c r="S223">
        <v>4.42</v>
      </c>
      <c r="T223">
        <v>3.2</v>
      </c>
      <c r="U223">
        <v>1056950</v>
      </c>
      <c r="V223">
        <v>9789000</v>
      </c>
      <c r="W223">
        <v>25.4</v>
      </c>
      <c r="X223">
        <v>19330000</v>
      </c>
      <c r="Y223">
        <v>79.52</v>
      </c>
      <c r="Z223">
        <v>9906500000</v>
      </c>
      <c r="AA223">
        <v>1.2</v>
      </c>
      <c r="AB223">
        <v>17960000000</v>
      </c>
      <c r="AC223">
        <v>0</v>
      </c>
      <c r="AD223">
        <v>17260000000</v>
      </c>
      <c r="AE223">
        <v>516000000</v>
      </c>
      <c r="AF223">
        <v>254900000</v>
      </c>
      <c r="AG223">
        <v>1497000</v>
      </c>
      <c r="AH223">
        <v>135100</v>
      </c>
      <c r="AI223">
        <v>1582000</v>
      </c>
      <c r="AJ223">
        <v>7099</v>
      </c>
      <c r="AK223">
        <v>10500000</v>
      </c>
      <c r="AL223">
        <v>40341462</v>
      </c>
      <c r="AM223">
        <v>53.2</v>
      </c>
      <c r="AN223">
        <v>14268</v>
      </c>
      <c r="AO223">
        <v>19700000000</v>
      </c>
      <c r="AP223">
        <v>17567500</v>
      </c>
      <c r="AQ223">
        <v>37506700</v>
      </c>
      <c r="AR223">
        <v>1.28</v>
      </c>
      <c r="AS223">
        <v>10.4</v>
      </c>
    </row>
    <row r="224" spans="1:45" x14ac:dyDescent="0.3">
      <c r="A224" t="s">
        <v>267</v>
      </c>
      <c r="B224">
        <v>5</v>
      </c>
    </row>
    <row r="225" spans="1:45" x14ac:dyDescent="0.3">
      <c r="A225" t="s">
        <v>268</v>
      </c>
      <c r="B225">
        <v>65610</v>
      </c>
      <c r="C225">
        <v>15.63</v>
      </c>
      <c r="D225">
        <v>-587300000</v>
      </c>
      <c r="E225">
        <v>6.49</v>
      </c>
      <c r="F225">
        <v>10850000000</v>
      </c>
      <c r="G225">
        <v>6228000000</v>
      </c>
      <c r="H225">
        <v>6697000000</v>
      </c>
      <c r="I225">
        <v>5306000000</v>
      </c>
      <c r="J225">
        <v>80580000000</v>
      </c>
      <c r="K225">
        <v>4000</v>
      </c>
      <c r="L225">
        <v>5.2</v>
      </c>
      <c r="M225">
        <v>0.1</v>
      </c>
      <c r="N225">
        <v>200</v>
      </c>
      <c r="O225">
        <v>3500</v>
      </c>
      <c r="P225">
        <v>11650</v>
      </c>
      <c r="Q225">
        <v>7265000000</v>
      </c>
      <c r="R225">
        <v>7.1</v>
      </c>
      <c r="S225">
        <v>14.35</v>
      </c>
      <c r="T225">
        <v>5.8</v>
      </c>
      <c r="U225">
        <v>1882</v>
      </c>
      <c r="V225">
        <v>200000</v>
      </c>
      <c r="W225">
        <v>22.4</v>
      </c>
      <c r="X225">
        <v>7260000</v>
      </c>
      <c r="Y225">
        <v>73.17</v>
      </c>
      <c r="Z225">
        <v>514800000</v>
      </c>
      <c r="AA225">
        <v>2.6</v>
      </c>
      <c r="AG225">
        <v>75000</v>
      </c>
      <c r="AJ225">
        <v>0</v>
      </c>
      <c r="AL225">
        <v>20064776</v>
      </c>
      <c r="AM225">
        <v>104.3</v>
      </c>
      <c r="AN225">
        <v>1449</v>
      </c>
      <c r="AO225">
        <v>2475000000</v>
      </c>
      <c r="AP225">
        <v>881400</v>
      </c>
      <c r="AQ225">
        <v>931600</v>
      </c>
      <c r="AR225">
        <v>1.85</v>
      </c>
      <c r="AS225">
        <v>7.8</v>
      </c>
    </row>
    <row r="226" spans="1:45" x14ac:dyDescent="0.3">
      <c r="A226" t="s">
        <v>269</v>
      </c>
      <c r="B226">
        <v>2505810</v>
      </c>
      <c r="C226">
        <v>35.17</v>
      </c>
      <c r="D226">
        <v>-763600000</v>
      </c>
      <c r="E226">
        <v>9.16</v>
      </c>
      <c r="F226">
        <v>21000000000</v>
      </c>
      <c r="G226">
        <v>2400000000</v>
      </c>
      <c r="H226">
        <v>2581000000</v>
      </c>
      <c r="I226">
        <v>3395000000</v>
      </c>
      <c r="J226">
        <v>76190000000</v>
      </c>
      <c r="K226">
        <v>1900</v>
      </c>
      <c r="L226">
        <v>6.4</v>
      </c>
      <c r="M226">
        <v>2.2999999999999998</v>
      </c>
      <c r="N226">
        <v>23000</v>
      </c>
      <c r="O226">
        <v>400000</v>
      </c>
      <c r="P226">
        <v>11900</v>
      </c>
      <c r="Q226">
        <v>3496000000</v>
      </c>
      <c r="R226">
        <v>8.5</v>
      </c>
      <c r="S226">
        <v>62.5</v>
      </c>
      <c r="T226">
        <v>9</v>
      </c>
      <c r="V226">
        <v>300000</v>
      </c>
      <c r="W226">
        <v>16</v>
      </c>
      <c r="X226">
        <v>11000000</v>
      </c>
      <c r="Y226">
        <v>58.54</v>
      </c>
      <c r="Z226">
        <v>587000000</v>
      </c>
      <c r="AA226">
        <v>3</v>
      </c>
      <c r="AF226">
        <v>99110000000</v>
      </c>
      <c r="AG226">
        <v>70000</v>
      </c>
      <c r="AH226">
        <v>275000</v>
      </c>
      <c r="AI226">
        <v>0</v>
      </c>
      <c r="AJ226">
        <v>345000</v>
      </c>
      <c r="AK226">
        <v>1600000000</v>
      </c>
      <c r="AL226">
        <v>40187486</v>
      </c>
      <c r="AM226">
        <v>79.7</v>
      </c>
      <c r="AN226">
        <v>5995</v>
      </c>
      <c r="AO226">
        <v>1652000000</v>
      </c>
      <c r="AP226">
        <v>900000</v>
      </c>
      <c r="AQ226">
        <v>650000</v>
      </c>
      <c r="AR226">
        <v>4.8499999999999996</v>
      </c>
      <c r="AS226">
        <v>18.7</v>
      </c>
    </row>
    <row r="227" spans="1:45" x14ac:dyDescent="0.3">
      <c r="A227" t="s">
        <v>270</v>
      </c>
      <c r="B227">
        <v>163270</v>
      </c>
      <c r="C227">
        <v>18.39</v>
      </c>
      <c r="E227">
        <v>7.16</v>
      </c>
      <c r="F227">
        <v>321000000</v>
      </c>
      <c r="G227">
        <v>1845000000</v>
      </c>
      <c r="H227">
        <v>1984000000</v>
      </c>
      <c r="I227">
        <v>495000000</v>
      </c>
      <c r="J227">
        <v>1885000000</v>
      </c>
      <c r="K227">
        <v>4300</v>
      </c>
      <c r="L227">
        <v>4.2</v>
      </c>
      <c r="M227">
        <v>1.7</v>
      </c>
      <c r="N227">
        <v>500</v>
      </c>
      <c r="O227">
        <v>5200</v>
      </c>
      <c r="P227">
        <v>4492</v>
      </c>
      <c r="Q227">
        <v>604000000</v>
      </c>
      <c r="R227">
        <v>6.5</v>
      </c>
      <c r="S227">
        <v>23.57</v>
      </c>
      <c r="T227">
        <v>23</v>
      </c>
      <c r="U227">
        <v>18</v>
      </c>
      <c r="V227">
        <v>20000</v>
      </c>
      <c r="X227">
        <v>104000</v>
      </c>
      <c r="Y227">
        <v>68.959999999999994</v>
      </c>
      <c r="Z227">
        <v>7500000</v>
      </c>
      <c r="AA227">
        <v>0.7</v>
      </c>
      <c r="AF227">
        <v>0</v>
      </c>
      <c r="AG227">
        <v>14000</v>
      </c>
      <c r="AH227">
        <v>1370</v>
      </c>
      <c r="AI227">
        <v>1644</v>
      </c>
      <c r="AJ227">
        <v>12000</v>
      </c>
      <c r="AK227">
        <v>99000000</v>
      </c>
      <c r="AL227">
        <v>438144</v>
      </c>
      <c r="AP227">
        <v>79800</v>
      </c>
      <c r="AQ227">
        <v>168100</v>
      </c>
      <c r="AR227">
        <v>2.34</v>
      </c>
      <c r="AS227">
        <v>17</v>
      </c>
    </row>
    <row r="228" spans="1:45" x14ac:dyDescent="0.3">
      <c r="A228" t="s">
        <v>271</v>
      </c>
      <c r="B228">
        <v>62049</v>
      </c>
      <c r="M228">
        <v>0</v>
      </c>
      <c r="N228">
        <v>0</v>
      </c>
      <c r="O228">
        <v>0</v>
      </c>
      <c r="AL228">
        <v>2701</v>
      </c>
    </row>
    <row r="229" spans="1:45" x14ac:dyDescent="0.3">
      <c r="A229" t="s">
        <v>272</v>
      </c>
      <c r="B229">
        <v>17363</v>
      </c>
      <c r="C229">
        <v>27.72</v>
      </c>
      <c r="D229">
        <v>-82400000</v>
      </c>
      <c r="E229">
        <v>25.26</v>
      </c>
      <c r="F229">
        <v>320000000</v>
      </c>
      <c r="G229">
        <v>1173000000</v>
      </c>
      <c r="H229">
        <v>402000000</v>
      </c>
      <c r="I229">
        <v>900100000</v>
      </c>
      <c r="J229">
        <v>6018000000</v>
      </c>
      <c r="K229">
        <v>5100</v>
      </c>
      <c r="L229">
        <v>2.5</v>
      </c>
      <c r="M229">
        <v>38.799999999999997</v>
      </c>
      <c r="N229">
        <v>17000</v>
      </c>
      <c r="O229">
        <v>220000</v>
      </c>
      <c r="P229">
        <v>3107</v>
      </c>
      <c r="Q229">
        <v>1140000000</v>
      </c>
      <c r="R229">
        <v>3.7</v>
      </c>
      <c r="S229">
        <v>69.27</v>
      </c>
      <c r="T229">
        <v>5.4</v>
      </c>
      <c r="U229">
        <v>1401</v>
      </c>
      <c r="V229">
        <v>27000</v>
      </c>
      <c r="W229">
        <v>23.6</v>
      </c>
      <c r="X229">
        <v>383200</v>
      </c>
      <c r="Y229">
        <v>35.65</v>
      </c>
      <c r="Z229">
        <v>40500000</v>
      </c>
      <c r="AA229">
        <v>1.4</v>
      </c>
      <c r="AG229">
        <v>3500</v>
      </c>
      <c r="AJ229">
        <v>0</v>
      </c>
      <c r="AL229">
        <v>1173900</v>
      </c>
      <c r="AN229">
        <v>301</v>
      </c>
      <c r="AO229">
        <v>320500000</v>
      </c>
      <c r="AP229">
        <v>46200</v>
      </c>
      <c r="AQ229">
        <v>88000</v>
      </c>
      <c r="AR229">
        <v>3.7</v>
      </c>
      <c r="AS229">
        <v>34</v>
      </c>
    </row>
    <row r="230" spans="1:45" x14ac:dyDescent="0.3">
      <c r="A230" t="s">
        <v>273</v>
      </c>
      <c r="B230">
        <v>449964</v>
      </c>
      <c r="C230">
        <v>10.36</v>
      </c>
      <c r="D230">
        <v>24080000000</v>
      </c>
      <c r="E230">
        <v>10.36</v>
      </c>
      <c r="F230">
        <v>66500000000</v>
      </c>
      <c r="G230">
        <v>138100000000</v>
      </c>
      <c r="H230">
        <v>142800000000</v>
      </c>
      <c r="I230">
        <v>121700000000</v>
      </c>
      <c r="J230">
        <v>255400000000</v>
      </c>
      <c r="K230">
        <v>28400</v>
      </c>
      <c r="L230">
        <v>3.6</v>
      </c>
      <c r="M230">
        <v>0.1</v>
      </c>
      <c r="N230">
        <v>100</v>
      </c>
      <c r="O230">
        <v>3600</v>
      </c>
      <c r="P230">
        <v>213237</v>
      </c>
      <c r="Q230">
        <v>97970000000</v>
      </c>
      <c r="R230">
        <v>5.5</v>
      </c>
      <c r="S230">
        <v>2.77</v>
      </c>
      <c r="T230">
        <v>0.7</v>
      </c>
      <c r="U230">
        <v>945221</v>
      </c>
      <c r="V230">
        <v>5125000</v>
      </c>
      <c r="W230">
        <v>15.8</v>
      </c>
      <c r="X230">
        <v>4460000</v>
      </c>
      <c r="Y230">
        <v>80.400000000000006</v>
      </c>
      <c r="Z230">
        <v>5729000000</v>
      </c>
      <c r="AA230">
        <v>1.7</v>
      </c>
      <c r="AB230">
        <v>949000000</v>
      </c>
      <c r="AC230">
        <v>0</v>
      </c>
      <c r="AD230">
        <v>968000000</v>
      </c>
      <c r="AE230">
        <v>0</v>
      </c>
      <c r="AG230">
        <v>328600</v>
      </c>
      <c r="AH230">
        <v>203700</v>
      </c>
      <c r="AI230">
        <v>553100</v>
      </c>
      <c r="AJ230">
        <v>0</v>
      </c>
      <c r="AL230">
        <v>9001774</v>
      </c>
      <c r="AM230">
        <v>51.6</v>
      </c>
      <c r="AN230">
        <v>11481</v>
      </c>
      <c r="AO230">
        <v>19990000000</v>
      </c>
      <c r="AP230">
        <v>6579200</v>
      </c>
      <c r="AQ230">
        <v>7949000</v>
      </c>
      <c r="AR230">
        <v>1.66</v>
      </c>
      <c r="AS230">
        <v>5.6</v>
      </c>
    </row>
    <row r="231" spans="1:45" x14ac:dyDescent="0.3">
      <c r="A231" t="s">
        <v>274</v>
      </c>
      <c r="B231">
        <v>41290</v>
      </c>
      <c r="C231">
        <v>9.77</v>
      </c>
      <c r="D231">
        <v>40950000000</v>
      </c>
      <c r="E231">
        <v>8.48</v>
      </c>
      <c r="G231">
        <v>54530000000</v>
      </c>
      <c r="H231">
        <v>63470000000</v>
      </c>
      <c r="I231">
        <v>130700000000</v>
      </c>
      <c r="J231">
        <v>251900000000</v>
      </c>
      <c r="K231">
        <v>33800</v>
      </c>
      <c r="L231">
        <v>1.8</v>
      </c>
      <c r="M231">
        <v>0.4</v>
      </c>
      <c r="N231">
        <v>100</v>
      </c>
      <c r="O231">
        <v>13000</v>
      </c>
      <c r="P231">
        <v>71212</v>
      </c>
      <c r="Q231">
        <v>121100000000</v>
      </c>
      <c r="R231">
        <v>4.7</v>
      </c>
      <c r="S231">
        <v>4.3899999999999997</v>
      </c>
      <c r="T231">
        <v>0.9</v>
      </c>
      <c r="U231">
        <v>667275</v>
      </c>
      <c r="V231">
        <v>2556000</v>
      </c>
      <c r="W231">
        <v>20.399999999999999</v>
      </c>
      <c r="X231">
        <v>3770000</v>
      </c>
      <c r="Y231">
        <v>80.39</v>
      </c>
      <c r="Z231">
        <v>2548000000</v>
      </c>
      <c r="AA231">
        <v>1</v>
      </c>
      <c r="AB231">
        <v>3093000000</v>
      </c>
      <c r="AC231">
        <v>0</v>
      </c>
      <c r="AD231">
        <v>3093000000</v>
      </c>
      <c r="AE231">
        <v>0</v>
      </c>
      <c r="AG231">
        <v>290400</v>
      </c>
      <c r="AH231">
        <v>10420</v>
      </c>
      <c r="AI231">
        <v>289500</v>
      </c>
      <c r="AJ231">
        <v>0</v>
      </c>
      <c r="AL231">
        <v>7489370</v>
      </c>
      <c r="AM231">
        <v>57.2</v>
      </c>
      <c r="AN231">
        <v>4533</v>
      </c>
      <c r="AO231">
        <v>69580000000</v>
      </c>
      <c r="AP231">
        <v>5419000</v>
      </c>
      <c r="AQ231">
        <v>6172000</v>
      </c>
      <c r="AR231">
        <v>1.42</v>
      </c>
      <c r="AS231">
        <v>3.4</v>
      </c>
    </row>
    <row r="232" spans="1:45" x14ac:dyDescent="0.3">
      <c r="A232" t="s">
        <v>275</v>
      </c>
      <c r="B232">
        <v>185180</v>
      </c>
      <c r="C232">
        <v>28.29</v>
      </c>
      <c r="D232">
        <v>1100000000</v>
      </c>
      <c r="E232">
        <v>4.88</v>
      </c>
      <c r="F232">
        <v>4000000000</v>
      </c>
      <c r="G232">
        <v>24320000000</v>
      </c>
      <c r="H232">
        <v>26150000000</v>
      </c>
      <c r="I232">
        <v>6086000000</v>
      </c>
      <c r="J232">
        <v>60440000000</v>
      </c>
      <c r="K232">
        <v>3400</v>
      </c>
      <c r="L232">
        <v>2.2999999999999998</v>
      </c>
      <c r="M232">
        <v>0.1</v>
      </c>
      <c r="N232">
        <v>200</v>
      </c>
      <c r="O232">
        <v>500</v>
      </c>
      <c r="P232">
        <v>45697</v>
      </c>
      <c r="Q232">
        <v>5042000000</v>
      </c>
      <c r="R232">
        <v>7</v>
      </c>
      <c r="S232">
        <v>29.53</v>
      </c>
      <c r="T232">
        <v>2.1</v>
      </c>
      <c r="U232">
        <v>11</v>
      </c>
      <c r="V232">
        <v>220000</v>
      </c>
      <c r="W232">
        <v>16.3</v>
      </c>
      <c r="X232">
        <v>5120000</v>
      </c>
      <c r="Y232">
        <v>70.03</v>
      </c>
      <c r="Z232">
        <v>858000000</v>
      </c>
      <c r="AA232">
        <v>5.9</v>
      </c>
      <c r="AB232">
        <v>5840000000</v>
      </c>
      <c r="AC232">
        <v>0</v>
      </c>
      <c r="AD232">
        <v>0</v>
      </c>
      <c r="AE232">
        <v>5840000000</v>
      </c>
      <c r="AF232">
        <v>240700000000</v>
      </c>
      <c r="AG232">
        <v>240000</v>
      </c>
      <c r="AH232">
        <v>285000</v>
      </c>
      <c r="AJ232">
        <v>525000</v>
      </c>
      <c r="AK232">
        <v>2500000000</v>
      </c>
      <c r="AL232">
        <v>18448752</v>
      </c>
      <c r="AM232">
        <v>32</v>
      </c>
      <c r="AN232">
        <v>2711</v>
      </c>
      <c r="AO232">
        <v>5000000000</v>
      </c>
      <c r="AP232">
        <v>2099300</v>
      </c>
      <c r="AQ232">
        <v>400000</v>
      </c>
      <c r="AR232">
        <v>3.5</v>
      </c>
      <c r="AS232">
        <v>20</v>
      </c>
    </row>
    <row r="233" spans="1:45" x14ac:dyDescent="0.3">
      <c r="A233" t="s">
        <v>276</v>
      </c>
      <c r="B233">
        <v>35980</v>
      </c>
      <c r="C233">
        <v>12.64</v>
      </c>
      <c r="D233">
        <v>21160000000</v>
      </c>
      <c r="E233">
        <v>6.38</v>
      </c>
      <c r="F233">
        <v>55500000000</v>
      </c>
      <c r="G233">
        <v>147400000000</v>
      </c>
      <c r="H233">
        <v>158500000000</v>
      </c>
      <c r="I233">
        <v>170500000000</v>
      </c>
      <c r="J233">
        <v>576200000000</v>
      </c>
      <c r="K233">
        <v>25300</v>
      </c>
      <c r="L233">
        <v>6</v>
      </c>
      <c r="P233">
        <v>37299</v>
      </c>
      <c r="Q233">
        <v>165400000000</v>
      </c>
      <c r="R233">
        <v>12.2</v>
      </c>
      <c r="S233">
        <v>6.4</v>
      </c>
      <c r="T233">
        <v>1.7</v>
      </c>
      <c r="U233">
        <v>2777085</v>
      </c>
      <c r="V233">
        <v>13800000</v>
      </c>
      <c r="W233">
        <v>18</v>
      </c>
      <c r="X233">
        <v>10220000</v>
      </c>
      <c r="Y233">
        <v>77.260000000000005</v>
      </c>
      <c r="Z233">
        <v>7574000000</v>
      </c>
      <c r="AA233">
        <v>2.6</v>
      </c>
      <c r="AB233">
        <v>6640000000</v>
      </c>
      <c r="AC233">
        <v>410000000</v>
      </c>
      <c r="AD233">
        <v>6300000000</v>
      </c>
      <c r="AE233">
        <v>750000000</v>
      </c>
      <c r="AF233">
        <v>38230000000</v>
      </c>
      <c r="AG233">
        <v>988000</v>
      </c>
      <c r="AJ233">
        <v>500</v>
      </c>
      <c r="AK233">
        <v>2900000</v>
      </c>
      <c r="AL233">
        <v>22894384</v>
      </c>
      <c r="AM233">
        <v>32.4</v>
      </c>
      <c r="AN233">
        <v>2508</v>
      </c>
      <c r="AO233">
        <v>246500000000</v>
      </c>
      <c r="AP233">
        <v>13355000</v>
      </c>
      <c r="AQ233">
        <v>25089600</v>
      </c>
      <c r="AR233">
        <v>1.57</v>
      </c>
      <c r="AS233">
        <v>4.5</v>
      </c>
    </row>
    <row r="234" spans="1:45" x14ac:dyDescent="0.3">
      <c r="A234" t="s">
        <v>277</v>
      </c>
      <c r="B234">
        <v>143100</v>
      </c>
      <c r="C234">
        <v>32.58</v>
      </c>
      <c r="D234">
        <v>-52000000</v>
      </c>
      <c r="E234">
        <v>8.39</v>
      </c>
      <c r="F234">
        <v>888000000</v>
      </c>
      <c r="G234">
        <v>14410000000</v>
      </c>
      <c r="H234">
        <v>15080000000</v>
      </c>
      <c r="I234">
        <v>1130000000</v>
      </c>
      <c r="J234">
        <v>7950000000</v>
      </c>
      <c r="K234">
        <v>1100</v>
      </c>
      <c r="L234">
        <v>10.5</v>
      </c>
      <c r="M234">
        <v>0.1</v>
      </c>
      <c r="N234">
        <v>100</v>
      </c>
      <c r="O234">
        <v>200</v>
      </c>
      <c r="P234">
        <v>27767</v>
      </c>
      <c r="Q234">
        <v>1300000000</v>
      </c>
      <c r="R234">
        <v>8.1999999999999993</v>
      </c>
      <c r="S234">
        <v>110.76</v>
      </c>
      <c r="T234">
        <v>8</v>
      </c>
      <c r="U234">
        <v>69</v>
      </c>
      <c r="V234">
        <v>4100</v>
      </c>
      <c r="W234">
        <v>22</v>
      </c>
      <c r="X234">
        <v>3187000</v>
      </c>
      <c r="Y234">
        <v>64.56</v>
      </c>
      <c r="Z234">
        <v>35400000</v>
      </c>
      <c r="AA234">
        <v>3.9</v>
      </c>
      <c r="AB234">
        <v>1300000000</v>
      </c>
      <c r="AC234">
        <v>0</v>
      </c>
      <c r="AD234">
        <v>1250000000</v>
      </c>
      <c r="AE234">
        <v>50000000</v>
      </c>
      <c r="AG234">
        <v>20000</v>
      </c>
      <c r="AJ234">
        <v>250</v>
      </c>
      <c r="AL234">
        <v>7163506</v>
      </c>
      <c r="AN234">
        <v>482</v>
      </c>
      <c r="AO234">
        <v>145300000</v>
      </c>
      <c r="AP234">
        <v>242100</v>
      </c>
      <c r="AQ234">
        <v>47600</v>
      </c>
      <c r="AR234">
        <v>4.05</v>
      </c>
      <c r="AS234">
        <v>40</v>
      </c>
    </row>
    <row r="235" spans="1:45" x14ac:dyDescent="0.3">
      <c r="A235" t="s">
        <v>278</v>
      </c>
      <c r="B235">
        <v>945087</v>
      </c>
      <c r="C235">
        <v>38.159999999999997</v>
      </c>
      <c r="D235">
        <v>-327400000</v>
      </c>
      <c r="E235">
        <v>16.71</v>
      </c>
      <c r="F235">
        <v>7321000000</v>
      </c>
      <c r="G235">
        <v>2566000000</v>
      </c>
      <c r="H235">
        <v>2727000000</v>
      </c>
      <c r="I235">
        <v>1248000000</v>
      </c>
      <c r="J235">
        <v>23710000000</v>
      </c>
      <c r="K235">
        <v>700</v>
      </c>
      <c r="L235">
        <v>5.8</v>
      </c>
      <c r="M235">
        <v>8.8000000000000007</v>
      </c>
      <c r="N235">
        <v>160000</v>
      </c>
      <c r="O235">
        <v>1600000</v>
      </c>
      <c r="P235">
        <v>88200</v>
      </c>
      <c r="Q235">
        <v>1972000000</v>
      </c>
      <c r="R235">
        <v>8.4</v>
      </c>
      <c r="S235">
        <v>98.54</v>
      </c>
      <c r="T235">
        <v>5.4</v>
      </c>
      <c r="U235">
        <v>5534</v>
      </c>
      <c r="V235">
        <v>250000</v>
      </c>
      <c r="W235">
        <v>16.2</v>
      </c>
      <c r="X235">
        <v>19000000</v>
      </c>
      <c r="Y235">
        <v>45.24</v>
      </c>
      <c r="Z235">
        <v>20600000</v>
      </c>
      <c r="AA235">
        <v>0.2</v>
      </c>
      <c r="AF235">
        <v>11330000000</v>
      </c>
      <c r="AG235">
        <v>17000</v>
      </c>
      <c r="AJ235">
        <v>0</v>
      </c>
      <c r="AK235">
        <v>0</v>
      </c>
      <c r="AL235">
        <v>36766356</v>
      </c>
      <c r="AM235">
        <v>5</v>
      </c>
      <c r="AN235">
        <v>3690</v>
      </c>
      <c r="AO235">
        <v>2175000000</v>
      </c>
      <c r="AP235">
        <v>149100</v>
      </c>
      <c r="AQ235">
        <v>891200</v>
      </c>
      <c r="AR235">
        <v>5.0599999999999996</v>
      </c>
    </row>
    <row r="236" spans="1:45" x14ac:dyDescent="0.3">
      <c r="A236" t="s">
        <v>279</v>
      </c>
      <c r="B236">
        <v>514000</v>
      </c>
      <c r="C236">
        <v>15.7</v>
      </c>
      <c r="D236">
        <v>6736000000</v>
      </c>
      <c r="E236">
        <v>7.02</v>
      </c>
      <c r="F236">
        <v>50590000000</v>
      </c>
      <c r="G236">
        <v>106100000000</v>
      </c>
      <c r="H236">
        <v>118900000000</v>
      </c>
      <c r="I236">
        <v>87910000000</v>
      </c>
      <c r="J236">
        <v>524800000000</v>
      </c>
      <c r="K236">
        <v>8100</v>
      </c>
      <c r="L236">
        <v>6.1</v>
      </c>
      <c r="M236">
        <v>1.5</v>
      </c>
      <c r="N236">
        <v>58000</v>
      </c>
      <c r="O236">
        <v>570000</v>
      </c>
      <c r="P236">
        <v>57403</v>
      </c>
      <c r="Q236">
        <v>80840000000</v>
      </c>
      <c r="R236">
        <v>8.5</v>
      </c>
      <c r="S236">
        <v>20.48</v>
      </c>
      <c r="T236">
        <v>2.8</v>
      </c>
      <c r="U236">
        <v>103700</v>
      </c>
      <c r="V236">
        <v>6971500</v>
      </c>
      <c r="W236">
        <v>22.5</v>
      </c>
      <c r="X236">
        <v>36430000</v>
      </c>
      <c r="Y236">
        <v>71.569999999999993</v>
      </c>
      <c r="Z236">
        <v>1775000000</v>
      </c>
      <c r="AA236">
        <v>1.8</v>
      </c>
      <c r="AB236">
        <v>23930000000</v>
      </c>
      <c r="AC236">
        <v>0</v>
      </c>
      <c r="AD236">
        <v>5200000000</v>
      </c>
      <c r="AE236">
        <v>18730000000</v>
      </c>
      <c r="AF236">
        <v>368200000000</v>
      </c>
      <c r="AG236">
        <v>785000</v>
      </c>
      <c r="AJ236">
        <v>225000</v>
      </c>
      <c r="AK236">
        <v>600000000</v>
      </c>
      <c r="AL236">
        <v>65444371</v>
      </c>
      <c r="AM236">
        <v>47.6</v>
      </c>
      <c r="AN236">
        <v>4071</v>
      </c>
      <c r="AO236">
        <v>48300000000</v>
      </c>
      <c r="AP236">
        <v>6617400</v>
      </c>
      <c r="AQ236">
        <v>26500000</v>
      </c>
      <c r="AR236">
        <v>1.88</v>
      </c>
      <c r="AS236">
        <v>1.5</v>
      </c>
    </row>
    <row r="237" spans="1:45" x14ac:dyDescent="0.3">
      <c r="A237" t="s">
        <v>280</v>
      </c>
      <c r="B237">
        <v>56785</v>
      </c>
      <c r="C237">
        <v>33.479999999999997</v>
      </c>
      <c r="D237">
        <v>-125600000</v>
      </c>
      <c r="E237">
        <v>11.8</v>
      </c>
      <c r="F237">
        <v>1400000000</v>
      </c>
      <c r="G237">
        <v>451200000</v>
      </c>
      <c r="H237">
        <v>108800000</v>
      </c>
      <c r="I237">
        <v>663100000</v>
      </c>
      <c r="J237">
        <v>8684000000</v>
      </c>
      <c r="K237">
        <v>1600</v>
      </c>
      <c r="L237">
        <v>3</v>
      </c>
      <c r="M237">
        <v>4.0999999999999996</v>
      </c>
      <c r="N237">
        <v>10000</v>
      </c>
      <c r="O237">
        <v>110000</v>
      </c>
      <c r="P237">
        <v>7520</v>
      </c>
      <c r="Q237">
        <v>824900000</v>
      </c>
      <c r="S237">
        <v>66.61</v>
      </c>
      <c r="T237">
        <v>1</v>
      </c>
      <c r="U237">
        <v>82</v>
      </c>
      <c r="V237">
        <v>210000</v>
      </c>
      <c r="W237">
        <v>19.100000000000001</v>
      </c>
      <c r="X237">
        <v>1740000</v>
      </c>
      <c r="Y237">
        <v>52.64</v>
      </c>
      <c r="Z237">
        <v>35500000</v>
      </c>
      <c r="AA237">
        <v>1.9</v>
      </c>
      <c r="AG237">
        <v>10000</v>
      </c>
      <c r="AJ237">
        <v>0</v>
      </c>
      <c r="AL237">
        <v>5681519</v>
      </c>
      <c r="AN237">
        <v>568</v>
      </c>
      <c r="AO237">
        <v>267400000</v>
      </c>
      <c r="AP237">
        <v>60600</v>
      </c>
      <c r="AQ237">
        <v>220000</v>
      </c>
      <c r="AR237">
        <v>4.6100000000000003</v>
      </c>
    </row>
    <row r="238" spans="1:45" x14ac:dyDescent="0.3">
      <c r="A238" t="s">
        <v>281</v>
      </c>
      <c r="B238">
        <v>10</v>
      </c>
      <c r="F238">
        <v>0</v>
      </c>
      <c r="I238">
        <v>98000</v>
      </c>
      <c r="J238">
        <v>1500000</v>
      </c>
      <c r="K238">
        <v>1000</v>
      </c>
      <c r="Q238">
        <v>323000</v>
      </c>
      <c r="AL238">
        <v>1405</v>
      </c>
      <c r="AP238">
        <v>300</v>
      </c>
      <c r="AQ238">
        <v>0</v>
      </c>
    </row>
    <row r="239" spans="1:45" x14ac:dyDescent="0.3">
      <c r="A239" t="s">
        <v>282</v>
      </c>
      <c r="B239">
        <v>748</v>
      </c>
      <c r="C239">
        <v>25.18</v>
      </c>
      <c r="E239">
        <v>5.35</v>
      </c>
      <c r="F239">
        <v>63400000</v>
      </c>
      <c r="G239">
        <v>23060000</v>
      </c>
      <c r="H239">
        <v>24790000</v>
      </c>
      <c r="I239">
        <v>27000000</v>
      </c>
      <c r="J239">
        <v>244000000</v>
      </c>
      <c r="K239">
        <v>2300</v>
      </c>
      <c r="L239">
        <v>1.5</v>
      </c>
      <c r="P239">
        <v>680</v>
      </c>
      <c r="Q239">
        <v>86000000</v>
      </c>
      <c r="R239">
        <v>8.6</v>
      </c>
      <c r="S239">
        <v>12.62</v>
      </c>
      <c r="T239">
        <v>10.3</v>
      </c>
      <c r="U239">
        <v>18906</v>
      </c>
      <c r="V239">
        <v>2900</v>
      </c>
      <c r="X239">
        <v>33910</v>
      </c>
      <c r="Y239">
        <v>69.53</v>
      </c>
      <c r="AG239">
        <v>1000</v>
      </c>
      <c r="AJ239">
        <v>0</v>
      </c>
      <c r="AL239">
        <v>112422</v>
      </c>
      <c r="AP239">
        <v>11200</v>
      </c>
      <c r="AQ239">
        <v>9000</v>
      </c>
      <c r="AR239">
        <v>3</v>
      </c>
      <c r="AS239">
        <v>13.3</v>
      </c>
    </row>
    <row r="240" spans="1:45" x14ac:dyDescent="0.3">
      <c r="A240" t="s">
        <v>283</v>
      </c>
      <c r="B240">
        <v>5128</v>
      </c>
      <c r="C240">
        <v>12.81</v>
      </c>
      <c r="D240">
        <v>1548000000</v>
      </c>
      <c r="E240">
        <v>9.3699999999999992</v>
      </c>
      <c r="F240">
        <v>2940000000</v>
      </c>
      <c r="G240">
        <v>5341000000</v>
      </c>
      <c r="H240">
        <v>5743000000</v>
      </c>
      <c r="I240">
        <v>6671000000</v>
      </c>
      <c r="J240">
        <v>11480000000</v>
      </c>
      <c r="K240">
        <v>10500</v>
      </c>
      <c r="L240">
        <v>5.7</v>
      </c>
      <c r="M240">
        <v>3.2</v>
      </c>
      <c r="N240">
        <v>1900</v>
      </c>
      <c r="O240">
        <v>29000</v>
      </c>
      <c r="P240">
        <v>8320</v>
      </c>
      <c r="Q240">
        <v>4650000000</v>
      </c>
      <c r="R240">
        <v>7.2</v>
      </c>
      <c r="S240">
        <v>24.31</v>
      </c>
      <c r="T240">
        <v>3.3</v>
      </c>
      <c r="U240">
        <v>8003</v>
      </c>
      <c r="V240">
        <v>138000</v>
      </c>
      <c r="W240">
        <v>19.399999999999999</v>
      </c>
      <c r="X240">
        <v>590000</v>
      </c>
      <c r="Y240">
        <v>68.91</v>
      </c>
      <c r="Z240">
        <v>66700000</v>
      </c>
      <c r="AA240">
        <v>0.6</v>
      </c>
      <c r="AB240">
        <v>13760000000</v>
      </c>
      <c r="AC240">
        <v>11790000000</v>
      </c>
      <c r="AD240">
        <v>0</v>
      </c>
      <c r="AE240">
        <v>25000000000</v>
      </c>
      <c r="AF240">
        <v>589000000000</v>
      </c>
      <c r="AG240">
        <v>24000</v>
      </c>
      <c r="AJ240">
        <v>140000</v>
      </c>
      <c r="AK240">
        <v>990000000</v>
      </c>
      <c r="AL240">
        <v>1088644</v>
      </c>
      <c r="AM240">
        <v>54.4</v>
      </c>
      <c r="AO240">
        <v>2927000000</v>
      </c>
      <c r="AP240">
        <v>325100</v>
      </c>
      <c r="AQ240">
        <v>361900</v>
      </c>
      <c r="AR240">
        <v>1.75</v>
      </c>
      <c r="AS240">
        <v>10.4</v>
      </c>
    </row>
    <row r="241" spans="1:45" x14ac:dyDescent="0.3">
      <c r="A241" t="s">
        <v>284</v>
      </c>
      <c r="B241">
        <v>1</v>
      </c>
    </row>
    <row r="242" spans="1:45" x14ac:dyDescent="0.3">
      <c r="A242" t="s">
        <v>285</v>
      </c>
      <c r="B242">
        <v>163610</v>
      </c>
      <c r="C242">
        <v>15.5</v>
      </c>
      <c r="D242">
        <v>71850000</v>
      </c>
      <c r="E242">
        <v>5.09</v>
      </c>
      <c r="F242">
        <v>14710000000</v>
      </c>
      <c r="G242">
        <v>10050000000</v>
      </c>
      <c r="H242">
        <v>10720000000</v>
      </c>
      <c r="I242">
        <v>9926000000</v>
      </c>
      <c r="J242">
        <v>70880000000</v>
      </c>
      <c r="K242">
        <v>7100</v>
      </c>
      <c r="L242">
        <v>5.0999999999999996</v>
      </c>
      <c r="M242">
        <v>0.1</v>
      </c>
      <c r="N242">
        <v>200</v>
      </c>
      <c r="O242">
        <v>1000</v>
      </c>
      <c r="P242">
        <v>18997</v>
      </c>
      <c r="Q242">
        <v>11520000000</v>
      </c>
      <c r="R242">
        <v>4.4000000000000004</v>
      </c>
      <c r="S242">
        <v>24.77</v>
      </c>
      <c r="T242">
        <v>4.0999999999999996</v>
      </c>
      <c r="U242">
        <v>281</v>
      </c>
      <c r="V242">
        <v>630000</v>
      </c>
      <c r="W242">
        <v>24.5</v>
      </c>
      <c r="X242">
        <v>3550000</v>
      </c>
      <c r="Y242">
        <v>74.89</v>
      </c>
      <c r="Z242">
        <v>356000000</v>
      </c>
      <c r="AA242">
        <v>1.5</v>
      </c>
      <c r="AB242">
        <v>3830000000</v>
      </c>
      <c r="AC242">
        <v>0</v>
      </c>
      <c r="AD242">
        <v>1580000000</v>
      </c>
      <c r="AE242">
        <v>2250000000</v>
      </c>
      <c r="AF242">
        <v>77160000000</v>
      </c>
      <c r="AG242">
        <v>87000</v>
      </c>
      <c r="AJ242">
        <v>72580</v>
      </c>
      <c r="AK242">
        <v>1700000000</v>
      </c>
      <c r="AL242">
        <v>10074951</v>
      </c>
      <c r="AM242">
        <v>59.2</v>
      </c>
      <c r="AN242">
        <v>2152</v>
      </c>
      <c r="AO242">
        <v>3509000000</v>
      </c>
      <c r="AP242">
        <v>1163800</v>
      </c>
      <c r="AQ242">
        <v>1899900</v>
      </c>
      <c r="AR242">
        <v>1.75</v>
      </c>
      <c r="AS242">
        <v>13.8</v>
      </c>
    </row>
    <row r="243" spans="1:45" x14ac:dyDescent="0.3">
      <c r="A243" t="s">
        <v>286</v>
      </c>
      <c r="B243">
        <v>780580</v>
      </c>
      <c r="C243">
        <v>16.829999999999998</v>
      </c>
      <c r="D243">
        <v>-15300000000</v>
      </c>
      <c r="E243">
        <v>5.96</v>
      </c>
      <c r="F243">
        <v>16900000000</v>
      </c>
      <c r="G243">
        <v>117900000000</v>
      </c>
      <c r="H243">
        <v>139700000000</v>
      </c>
      <c r="I243">
        <v>69460000000</v>
      </c>
      <c r="J243">
        <v>508700000000</v>
      </c>
      <c r="K243">
        <v>7400</v>
      </c>
      <c r="L243">
        <v>8.1999999999999993</v>
      </c>
      <c r="M243">
        <v>0.1</v>
      </c>
      <c r="P243">
        <v>354421</v>
      </c>
      <c r="Q243">
        <v>94500000000</v>
      </c>
      <c r="R243">
        <v>16.5</v>
      </c>
      <c r="S243">
        <v>41.04</v>
      </c>
      <c r="T243">
        <v>9.3000000000000007</v>
      </c>
      <c r="U243">
        <v>355215</v>
      </c>
      <c r="V243">
        <v>5500000</v>
      </c>
      <c r="W243">
        <v>17.3</v>
      </c>
      <c r="X243">
        <v>25300000</v>
      </c>
      <c r="Y243">
        <v>72.36</v>
      </c>
      <c r="Z243">
        <v>12155000000</v>
      </c>
      <c r="AA243">
        <v>5.3</v>
      </c>
      <c r="AB243">
        <v>15940000000</v>
      </c>
      <c r="AC243">
        <v>0</v>
      </c>
      <c r="AD243">
        <v>15750000000</v>
      </c>
      <c r="AE243">
        <v>312000000</v>
      </c>
      <c r="AF243">
        <v>8685000000</v>
      </c>
      <c r="AG243">
        <v>619500</v>
      </c>
      <c r="AH243">
        <v>46110</v>
      </c>
      <c r="AI243">
        <v>616500</v>
      </c>
      <c r="AJ243">
        <v>48000</v>
      </c>
      <c r="AK243">
        <v>288400000</v>
      </c>
      <c r="AL243">
        <v>69660559</v>
      </c>
      <c r="AM243">
        <v>74.3</v>
      </c>
      <c r="AN243">
        <v>8671</v>
      </c>
      <c r="AO243">
        <v>37100000000</v>
      </c>
      <c r="AP243">
        <v>18916700</v>
      </c>
      <c r="AQ243">
        <v>27887500</v>
      </c>
      <c r="AR243">
        <v>1.94</v>
      </c>
      <c r="AS243">
        <v>9.3000000000000007</v>
      </c>
    </row>
    <row r="244" spans="1:45" x14ac:dyDescent="0.3">
      <c r="A244" t="s">
        <v>287</v>
      </c>
      <c r="B244">
        <v>488100</v>
      </c>
      <c r="C244">
        <v>27.68</v>
      </c>
      <c r="D244">
        <v>114000000</v>
      </c>
      <c r="E244">
        <v>8.7799999999999994</v>
      </c>
      <c r="F244">
        <v>2400000000</v>
      </c>
      <c r="G244">
        <v>8908000000</v>
      </c>
      <c r="H244">
        <v>11410000000</v>
      </c>
      <c r="I244">
        <v>4000000000</v>
      </c>
      <c r="J244">
        <v>27600000000</v>
      </c>
      <c r="K244">
        <v>5700</v>
      </c>
      <c r="L244">
        <v>7.5</v>
      </c>
      <c r="M244">
        <v>0.1</v>
      </c>
      <c r="N244">
        <v>100</v>
      </c>
      <c r="O244">
        <v>200</v>
      </c>
      <c r="P244">
        <v>24000</v>
      </c>
      <c r="Q244">
        <v>2850000000</v>
      </c>
      <c r="R244">
        <v>22</v>
      </c>
      <c r="S244">
        <v>73.08</v>
      </c>
      <c r="T244">
        <v>9</v>
      </c>
      <c r="U244">
        <v>524</v>
      </c>
      <c r="V244">
        <v>8000</v>
      </c>
      <c r="W244">
        <v>29</v>
      </c>
      <c r="X244">
        <v>2320000</v>
      </c>
      <c r="Y244">
        <v>61.39</v>
      </c>
      <c r="Z244">
        <v>90000000</v>
      </c>
      <c r="AA244">
        <v>3.4</v>
      </c>
      <c r="AB244">
        <v>9600000000</v>
      </c>
      <c r="AC244">
        <v>43500000000</v>
      </c>
      <c r="AD244">
        <v>0</v>
      </c>
      <c r="AE244">
        <v>58570000000</v>
      </c>
      <c r="AF244">
        <v>1430000000000</v>
      </c>
      <c r="AG244">
        <v>63000</v>
      </c>
      <c r="AJ244">
        <v>162500</v>
      </c>
      <c r="AK244">
        <v>273000000</v>
      </c>
      <c r="AL244">
        <v>4952081</v>
      </c>
      <c r="AN244">
        <v>2440</v>
      </c>
      <c r="AO244">
        <v>3034000000</v>
      </c>
      <c r="AP244">
        <v>374000</v>
      </c>
      <c r="AQ244">
        <v>52000</v>
      </c>
      <c r="AR244">
        <v>3.41</v>
      </c>
      <c r="AS244">
        <v>60</v>
      </c>
    </row>
    <row r="245" spans="1:45" x14ac:dyDescent="0.3">
      <c r="A245" t="s">
        <v>288</v>
      </c>
      <c r="B245">
        <v>430</v>
      </c>
      <c r="C245">
        <v>22.23</v>
      </c>
      <c r="E245">
        <v>4.28</v>
      </c>
      <c r="G245">
        <v>4650000</v>
      </c>
      <c r="H245">
        <v>5000000</v>
      </c>
      <c r="I245">
        <v>169200000</v>
      </c>
      <c r="J245">
        <v>216000000</v>
      </c>
      <c r="K245">
        <v>11500</v>
      </c>
      <c r="L245">
        <v>4.9000000000000004</v>
      </c>
      <c r="P245">
        <v>121</v>
      </c>
      <c r="Q245">
        <v>175600000</v>
      </c>
      <c r="S245">
        <v>15.67</v>
      </c>
      <c r="T245">
        <v>4</v>
      </c>
      <c r="X245">
        <v>4848</v>
      </c>
      <c r="Y245">
        <v>74.510000000000005</v>
      </c>
      <c r="AG245">
        <v>0</v>
      </c>
      <c r="AJ245">
        <v>0</v>
      </c>
      <c r="AL245">
        <v>20556</v>
      </c>
      <c r="AP245">
        <v>5700</v>
      </c>
      <c r="AQ245">
        <v>1700</v>
      </c>
      <c r="AR245">
        <v>3.08</v>
      </c>
      <c r="AS245">
        <v>10</v>
      </c>
    </row>
    <row r="246" spans="1:45" x14ac:dyDescent="0.3">
      <c r="A246" t="s">
        <v>289</v>
      </c>
      <c r="B246">
        <v>26</v>
      </c>
      <c r="C246">
        <v>21.91</v>
      </c>
      <c r="E246">
        <v>7.22</v>
      </c>
      <c r="I246">
        <v>1000000</v>
      </c>
      <c r="J246">
        <v>12200000</v>
      </c>
      <c r="K246">
        <v>1100</v>
      </c>
      <c r="L246">
        <v>3</v>
      </c>
      <c r="P246">
        <v>8</v>
      </c>
      <c r="Q246">
        <v>79000000</v>
      </c>
      <c r="S246">
        <v>20.03</v>
      </c>
      <c r="T246">
        <v>5</v>
      </c>
      <c r="V246">
        <v>1300</v>
      </c>
      <c r="X246">
        <v>7000</v>
      </c>
      <c r="Y246">
        <v>68.010000000000005</v>
      </c>
      <c r="AL246">
        <v>11636</v>
      </c>
      <c r="AP246">
        <v>700</v>
      </c>
      <c r="AQ246">
        <v>0</v>
      </c>
      <c r="AR246">
        <v>3</v>
      </c>
    </row>
    <row r="247" spans="1:45" x14ac:dyDescent="0.3">
      <c r="A247" t="s">
        <v>290</v>
      </c>
      <c r="B247">
        <v>236040</v>
      </c>
      <c r="C247">
        <v>47.39</v>
      </c>
      <c r="D247">
        <v>-590800000</v>
      </c>
      <c r="E247">
        <v>12.8</v>
      </c>
      <c r="F247">
        <v>3865000000</v>
      </c>
      <c r="G247">
        <v>1401000000</v>
      </c>
      <c r="H247">
        <v>1775000000</v>
      </c>
      <c r="I247">
        <v>621700000</v>
      </c>
      <c r="J247">
        <v>39390000000</v>
      </c>
      <c r="K247">
        <v>1500</v>
      </c>
      <c r="L247">
        <v>5</v>
      </c>
      <c r="M247">
        <v>4.0999999999999996</v>
      </c>
      <c r="N247">
        <v>78000</v>
      </c>
      <c r="O247">
        <v>530000</v>
      </c>
      <c r="P247">
        <v>27000</v>
      </c>
      <c r="Q247">
        <v>1306000000</v>
      </c>
      <c r="R247">
        <v>5.6</v>
      </c>
      <c r="S247">
        <v>67.83</v>
      </c>
      <c r="T247">
        <v>3.5</v>
      </c>
      <c r="U247">
        <v>2692</v>
      </c>
      <c r="V247">
        <v>125000</v>
      </c>
      <c r="W247">
        <v>22.4</v>
      </c>
      <c r="X247">
        <v>12410000</v>
      </c>
      <c r="Y247">
        <v>51.59</v>
      </c>
      <c r="Z247">
        <v>170300000</v>
      </c>
      <c r="AA247">
        <v>2.2000000000000002</v>
      </c>
      <c r="AG247">
        <v>8750</v>
      </c>
      <c r="AJ247">
        <v>0</v>
      </c>
      <c r="AL247">
        <v>27269482</v>
      </c>
      <c r="AM247">
        <v>73.900000000000006</v>
      </c>
      <c r="AN247">
        <v>1241</v>
      </c>
      <c r="AO247">
        <v>1200000000</v>
      </c>
      <c r="AP247">
        <v>61000</v>
      </c>
      <c r="AQ247">
        <v>776200</v>
      </c>
      <c r="AR247">
        <v>6.74</v>
      </c>
    </row>
    <row r="248" spans="1:45" x14ac:dyDescent="0.3">
      <c r="A248" t="s">
        <v>291</v>
      </c>
      <c r="B248">
        <v>603700</v>
      </c>
      <c r="C248">
        <v>10.49</v>
      </c>
      <c r="D248">
        <v>4584000000</v>
      </c>
      <c r="E248">
        <v>16.420000000000002</v>
      </c>
      <c r="F248">
        <v>16370000000</v>
      </c>
      <c r="G248">
        <v>132000000000</v>
      </c>
      <c r="H248">
        <v>180000000000</v>
      </c>
      <c r="I248">
        <v>32910000000</v>
      </c>
      <c r="J248">
        <v>299100000000</v>
      </c>
      <c r="K248">
        <v>6300</v>
      </c>
      <c r="L248">
        <v>12</v>
      </c>
      <c r="M248">
        <v>1.4</v>
      </c>
      <c r="N248">
        <v>20000</v>
      </c>
      <c r="O248">
        <v>360000</v>
      </c>
      <c r="P248">
        <v>169679</v>
      </c>
      <c r="Q248">
        <v>31450000000</v>
      </c>
      <c r="R248">
        <v>16.5</v>
      </c>
      <c r="S248">
        <v>20.34</v>
      </c>
      <c r="T248">
        <v>12</v>
      </c>
      <c r="U248">
        <v>94345</v>
      </c>
      <c r="V248">
        <v>3800000</v>
      </c>
      <c r="W248">
        <v>18.8</v>
      </c>
      <c r="X248">
        <v>21110000</v>
      </c>
      <c r="Y248">
        <v>66.849999999999994</v>
      </c>
      <c r="Z248">
        <v>617900000</v>
      </c>
      <c r="AA248">
        <v>1.4</v>
      </c>
      <c r="AB248">
        <v>79860000000</v>
      </c>
      <c r="AC248">
        <v>5800000000</v>
      </c>
      <c r="AD248">
        <v>60400000000</v>
      </c>
      <c r="AE248">
        <v>19600000000</v>
      </c>
      <c r="AF248">
        <v>560700000000</v>
      </c>
      <c r="AG248">
        <v>303000</v>
      </c>
      <c r="AJ248">
        <v>72000</v>
      </c>
      <c r="AK248">
        <v>395000000</v>
      </c>
      <c r="AL248">
        <v>47425336</v>
      </c>
      <c r="AM248">
        <v>24.7</v>
      </c>
      <c r="AN248">
        <v>22473</v>
      </c>
      <c r="AO248">
        <v>11330000000</v>
      </c>
      <c r="AP248">
        <v>10833300</v>
      </c>
      <c r="AQ248">
        <v>4200000</v>
      </c>
      <c r="AR248">
        <v>1.4</v>
      </c>
      <c r="AS248">
        <v>3.5</v>
      </c>
    </row>
    <row r="249" spans="1:45" x14ac:dyDescent="0.3">
      <c r="A249" t="s">
        <v>292</v>
      </c>
      <c r="B249">
        <v>82880</v>
      </c>
      <c r="C249">
        <v>18.78</v>
      </c>
      <c r="D249">
        <v>6300000000</v>
      </c>
      <c r="E249">
        <v>4.26</v>
      </c>
      <c r="F249">
        <v>5900000000</v>
      </c>
      <c r="G249">
        <v>36510000000</v>
      </c>
      <c r="H249">
        <v>45120000000</v>
      </c>
      <c r="I249">
        <v>69480000000</v>
      </c>
      <c r="J249">
        <v>63670000000</v>
      </c>
      <c r="K249">
        <v>25200</v>
      </c>
      <c r="L249">
        <v>5.7</v>
      </c>
      <c r="M249">
        <v>0.18</v>
      </c>
      <c r="P249">
        <v>1088</v>
      </c>
      <c r="Q249">
        <v>45660000000</v>
      </c>
      <c r="R249">
        <v>4</v>
      </c>
      <c r="S249">
        <v>14.51</v>
      </c>
      <c r="T249">
        <v>3.2</v>
      </c>
      <c r="U249">
        <v>56283</v>
      </c>
      <c r="V249">
        <v>1110200</v>
      </c>
      <c r="W249">
        <v>20.8</v>
      </c>
      <c r="X249">
        <v>2360000</v>
      </c>
      <c r="Y249">
        <v>75.239999999999995</v>
      </c>
      <c r="Z249">
        <v>1600000000</v>
      </c>
      <c r="AA249">
        <v>3.1</v>
      </c>
      <c r="AB249">
        <v>33700000000</v>
      </c>
      <c r="AC249">
        <v>7190000000</v>
      </c>
      <c r="AD249">
        <v>0</v>
      </c>
      <c r="AE249">
        <v>44400000000</v>
      </c>
      <c r="AF249">
        <v>6060000000000</v>
      </c>
      <c r="AG249">
        <v>310000</v>
      </c>
      <c r="AH249">
        <v>2500000</v>
      </c>
      <c r="AI249">
        <v>0</v>
      </c>
      <c r="AJ249">
        <v>2335000</v>
      </c>
      <c r="AK249">
        <v>97800000000</v>
      </c>
      <c r="AL249">
        <v>2563212</v>
      </c>
      <c r="AM249">
        <v>17.600000000000001</v>
      </c>
      <c r="AO249">
        <v>18640000000</v>
      </c>
      <c r="AP249">
        <v>1135800</v>
      </c>
      <c r="AQ249">
        <v>2972300</v>
      </c>
      <c r="AR249">
        <v>2.94</v>
      </c>
      <c r="AS249">
        <v>2.4</v>
      </c>
    </row>
    <row r="250" spans="1:45" x14ac:dyDescent="0.3">
      <c r="A250" t="s">
        <v>293</v>
      </c>
      <c r="B250">
        <v>244820</v>
      </c>
      <c r="C250">
        <v>10.78</v>
      </c>
      <c r="D250">
        <v>-33460000000</v>
      </c>
      <c r="E250">
        <v>10.18</v>
      </c>
      <c r="F250">
        <v>4710000000000</v>
      </c>
      <c r="G250">
        <v>337400000000</v>
      </c>
      <c r="H250">
        <v>395900000000</v>
      </c>
      <c r="I250">
        <v>347200000000</v>
      </c>
      <c r="J250">
        <v>1782000000000</v>
      </c>
      <c r="K250">
        <v>29600</v>
      </c>
      <c r="L250">
        <v>3.2</v>
      </c>
      <c r="M250">
        <v>0.2</v>
      </c>
      <c r="N250">
        <v>500</v>
      </c>
      <c r="O250">
        <v>51000</v>
      </c>
      <c r="P250">
        <v>392931</v>
      </c>
      <c r="Q250">
        <v>439400000000</v>
      </c>
      <c r="R250">
        <v>0.9</v>
      </c>
      <c r="S250">
        <v>5.16</v>
      </c>
      <c r="T250">
        <v>1.4</v>
      </c>
      <c r="U250">
        <v>3398708</v>
      </c>
      <c r="V250">
        <v>25000000</v>
      </c>
      <c r="W250">
        <v>16.2</v>
      </c>
      <c r="X250">
        <v>29780000</v>
      </c>
      <c r="Y250">
        <v>78.38</v>
      </c>
      <c r="Z250">
        <v>42836500000</v>
      </c>
      <c r="AA250">
        <v>2.4</v>
      </c>
      <c r="AB250">
        <v>92850000000</v>
      </c>
      <c r="AC250">
        <v>15750000000</v>
      </c>
      <c r="AD250">
        <v>2700000000</v>
      </c>
      <c r="AE250">
        <v>105900000000</v>
      </c>
      <c r="AF250">
        <v>714900000000</v>
      </c>
      <c r="AG250">
        <v>1692000</v>
      </c>
      <c r="AH250">
        <v>1498000</v>
      </c>
      <c r="AI250">
        <v>1084000</v>
      </c>
      <c r="AJ250">
        <v>1957000</v>
      </c>
      <c r="AK250">
        <v>25410000000</v>
      </c>
      <c r="AL250">
        <v>60441457</v>
      </c>
      <c r="AM250">
        <v>39.6</v>
      </c>
      <c r="AN250">
        <v>17186</v>
      </c>
      <c r="AO250">
        <v>48730000000</v>
      </c>
      <c r="AP250">
        <v>34898000</v>
      </c>
      <c r="AQ250">
        <v>49677000</v>
      </c>
      <c r="AR250">
        <v>1.66</v>
      </c>
      <c r="AS250">
        <v>4.8</v>
      </c>
    </row>
    <row r="251" spans="1:45" x14ac:dyDescent="0.3">
      <c r="A251" t="s">
        <v>294</v>
      </c>
      <c r="B251">
        <v>9631418</v>
      </c>
      <c r="C251">
        <v>14.14</v>
      </c>
      <c r="D251">
        <v>-646500000000</v>
      </c>
      <c r="E251">
        <v>8.25</v>
      </c>
      <c r="F251">
        <v>1400000000000</v>
      </c>
      <c r="G251">
        <v>3660000000000</v>
      </c>
      <c r="H251">
        <v>3839000000000</v>
      </c>
      <c r="I251">
        <v>795000000000</v>
      </c>
      <c r="J251">
        <v>11750000000000</v>
      </c>
      <c r="K251">
        <v>40100</v>
      </c>
      <c r="L251">
        <v>4.4000000000000004</v>
      </c>
      <c r="M251">
        <v>0.6</v>
      </c>
      <c r="N251">
        <v>14000</v>
      </c>
      <c r="O251">
        <v>950000</v>
      </c>
      <c r="P251">
        <v>6393603</v>
      </c>
      <c r="Q251">
        <v>1476000000000</v>
      </c>
      <c r="R251">
        <v>4.4000000000000004</v>
      </c>
      <c r="S251">
        <v>6.5</v>
      </c>
      <c r="T251">
        <v>2.5</v>
      </c>
      <c r="U251">
        <v>115311958</v>
      </c>
      <c r="V251">
        <v>159000000</v>
      </c>
      <c r="W251">
        <v>15.7</v>
      </c>
      <c r="X251">
        <v>147400000</v>
      </c>
      <c r="Y251">
        <v>77.709999999999994</v>
      </c>
      <c r="Z251">
        <v>370700000000</v>
      </c>
      <c r="AA251">
        <v>3.3</v>
      </c>
      <c r="AB251">
        <v>640900000000</v>
      </c>
      <c r="AC251">
        <v>11160000000</v>
      </c>
      <c r="AD251">
        <v>114100000000</v>
      </c>
      <c r="AE251">
        <v>548100000000</v>
      </c>
      <c r="AF251">
        <v>5195000000000</v>
      </c>
      <c r="AG251">
        <v>19650000</v>
      </c>
      <c r="AJ251">
        <v>7800000</v>
      </c>
      <c r="AK251">
        <v>22450000000</v>
      </c>
      <c r="AL251">
        <v>295734134</v>
      </c>
      <c r="AM251">
        <v>65</v>
      </c>
      <c r="AN251">
        <v>228464</v>
      </c>
      <c r="AO251">
        <v>85940000000</v>
      </c>
      <c r="AP251">
        <v>181599900</v>
      </c>
      <c r="AQ251">
        <v>158722000</v>
      </c>
      <c r="AR251">
        <v>2.08</v>
      </c>
      <c r="AS251">
        <v>5.5</v>
      </c>
    </row>
    <row r="252" spans="1:45" x14ac:dyDescent="0.3">
      <c r="A252" t="s">
        <v>295</v>
      </c>
      <c r="B252">
        <v>176220</v>
      </c>
      <c r="C252">
        <v>14.09</v>
      </c>
      <c r="D252">
        <v>181800000</v>
      </c>
      <c r="E252">
        <v>9.06</v>
      </c>
      <c r="F252">
        <v>12800000000</v>
      </c>
      <c r="G252">
        <v>5878000000</v>
      </c>
      <c r="H252">
        <v>8536000000</v>
      </c>
      <c r="I252">
        <v>2200000000</v>
      </c>
      <c r="J252">
        <v>49270000000</v>
      </c>
      <c r="K252">
        <v>14500</v>
      </c>
      <c r="L252">
        <v>10.199999999999999</v>
      </c>
      <c r="M252">
        <v>0.3</v>
      </c>
      <c r="N252">
        <v>500</v>
      </c>
      <c r="O252">
        <v>6000</v>
      </c>
      <c r="P252">
        <v>8983</v>
      </c>
      <c r="Q252">
        <v>2071000000</v>
      </c>
      <c r="R252">
        <v>22</v>
      </c>
      <c r="S252">
        <v>11.95</v>
      </c>
      <c r="T252">
        <v>7.6</v>
      </c>
      <c r="U252">
        <v>87630</v>
      </c>
      <c r="V252">
        <v>400000</v>
      </c>
      <c r="W252">
        <v>9.6</v>
      </c>
      <c r="X252">
        <v>1560000</v>
      </c>
      <c r="Y252">
        <v>76.13</v>
      </c>
      <c r="Z252">
        <v>257500000</v>
      </c>
      <c r="AA252">
        <v>2</v>
      </c>
      <c r="AB252">
        <v>64500000</v>
      </c>
      <c r="AC252">
        <v>0</v>
      </c>
      <c r="AD252">
        <v>65000000</v>
      </c>
      <c r="AE252">
        <v>0</v>
      </c>
      <c r="AG252">
        <v>41500</v>
      </c>
      <c r="AJ252">
        <v>0</v>
      </c>
      <c r="AL252">
        <v>3415920</v>
      </c>
      <c r="AN252">
        <v>2073</v>
      </c>
      <c r="AO252">
        <v>2362000000</v>
      </c>
      <c r="AP252">
        <v>946500</v>
      </c>
      <c r="AQ252">
        <v>652000</v>
      </c>
      <c r="AR252">
        <v>1.91</v>
      </c>
      <c r="AS252">
        <v>13</v>
      </c>
    </row>
    <row r="253" spans="1:45" x14ac:dyDescent="0.3">
      <c r="A253" t="s">
        <v>296</v>
      </c>
      <c r="B253">
        <v>447400</v>
      </c>
      <c r="C253">
        <v>26.22</v>
      </c>
      <c r="D253">
        <v>461900000</v>
      </c>
      <c r="E253">
        <v>7.95</v>
      </c>
      <c r="F253">
        <v>4351000000</v>
      </c>
      <c r="G253">
        <v>46660000000</v>
      </c>
      <c r="H253">
        <v>47700000000</v>
      </c>
      <c r="I253">
        <v>3700000000</v>
      </c>
      <c r="J253">
        <v>47590000000</v>
      </c>
      <c r="K253">
        <v>1800</v>
      </c>
      <c r="L253">
        <v>4.4000000000000004</v>
      </c>
      <c r="M253">
        <v>0.1</v>
      </c>
      <c r="N253">
        <v>500</v>
      </c>
      <c r="O253">
        <v>11000</v>
      </c>
      <c r="P253">
        <v>81600</v>
      </c>
      <c r="Q253">
        <v>2820000000</v>
      </c>
      <c r="R253">
        <v>6.2</v>
      </c>
      <c r="S253">
        <v>71.099999999999994</v>
      </c>
      <c r="T253">
        <v>3</v>
      </c>
      <c r="U253">
        <v>1040</v>
      </c>
      <c r="V253">
        <v>492000</v>
      </c>
      <c r="X253">
        <v>14640000</v>
      </c>
      <c r="Y253">
        <v>64.19</v>
      </c>
      <c r="Z253">
        <v>200000000</v>
      </c>
      <c r="AA253">
        <v>2</v>
      </c>
      <c r="AB253">
        <v>45200000000</v>
      </c>
      <c r="AC253">
        <v>17900000000</v>
      </c>
      <c r="AD253">
        <v>0</v>
      </c>
      <c r="AE253">
        <v>63100000000</v>
      </c>
      <c r="AF253">
        <v>937300000000</v>
      </c>
      <c r="AG253">
        <v>142000</v>
      </c>
      <c r="AJ253">
        <v>143300</v>
      </c>
      <c r="AK253">
        <v>297000000</v>
      </c>
      <c r="AL253">
        <v>26851195</v>
      </c>
      <c r="AM253">
        <v>41.5</v>
      </c>
      <c r="AN253">
        <v>3950</v>
      </c>
      <c r="AO253">
        <v>1603000000</v>
      </c>
      <c r="AP253">
        <v>1717100</v>
      </c>
      <c r="AQ253">
        <v>320800</v>
      </c>
      <c r="AR253">
        <v>2.94</v>
      </c>
      <c r="AS253">
        <v>0.6</v>
      </c>
    </row>
    <row r="254" spans="1:45" x14ac:dyDescent="0.3">
      <c r="A254" t="s">
        <v>297</v>
      </c>
      <c r="B254">
        <v>12200</v>
      </c>
      <c r="C254">
        <v>23.06</v>
      </c>
      <c r="E254">
        <v>7.9</v>
      </c>
      <c r="F254">
        <v>83700000</v>
      </c>
      <c r="G254">
        <v>45030000</v>
      </c>
      <c r="H254">
        <v>48420000</v>
      </c>
      <c r="I254">
        <v>26600000</v>
      </c>
      <c r="J254">
        <v>580000000</v>
      </c>
      <c r="K254">
        <v>2900</v>
      </c>
      <c r="L254">
        <v>1.1000000000000001</v>
      </c>
      <c r="P254">
        <v>1070</v>
      </c>
      <c r="Q254">
        <v>138000000</v>
      </c>
      <c r="R254">
        <v>1</v>
      </c>
      <c r="S254">
        <v>55.16</v>
      </c>
      <c r="T254">
        <v>3.1</v>
      </c>
      <c r="U254">
        <v>512</v>
      </c>
      <c r="V254">
        <v>7500</v>
      </c>
      <c r="Y254">
        <v>62.49</v>
      </c>
      <c r="AG254">
        <v>600</v>
      </c>
      <c r="AJ254">
        <v>0</v>
      </c>
      <c r="AL254">
        <v>205754</v>
      </c>
      <c r="AP254">
        <v>6500</v>
      </c>
      <c r="AQ254">
        <v>7800</v>
      </c>
      <c r="AR254">
        <v>2.77</v>
      </c>
    </row>
    <row r="255" spans="1:45" x14ac:dyDescent="0.3">
      <c r="A255" t="s">
        <v>298</v>
      </c>
      <c r="B255">
        <v>912050</v>
      </c>
      <c r="C255">
        <v>18.91</v>
      </c>
      <c r="D255">
        <v>14590000000</v>
      </c>
      <c r="E255">
        <v>4.9000000000000004</v>
      </c>
      <c r="F255">
        <v>33290000000</v>
      </c>
      <c r="G255">
        <v>89300000000</v>
      </c>
      <c r="H255">
        <v>89700000000</v>
      </c>
      <c r="I255">
        <v>35840000000</v>
      </c>
      <c r="J255">
        <v>145200000000</v>
      </c>
      <c r="K255">
        <v>5800</v>
      </c>
      <c r="L255">
        <v>16.8</v>
      </c>
      <c r="M255">
        <v>0.7</v>
      </c>
      <c r="N255">
        <v>4100</v>
      </c>
      <c r="O255">
        <v>110000</v>
      </c>
      <c r="P255">
        <v>96155</v>
      </c>
      <c r="Q255">
        <v>14980000000</v>
      </c>
      <c r="R255">
        <v>12.3</v>
      </c>
      <c r="S255">
        <v>22.2</v>
      </c>
      <c r="T255">
        <v>22.4</v>
      </c>
      <c r="U255">
        <v>35301</v>
      </c>
      <c r="V255">
        <v>1274400</v>
      </c>
      <c r="W255">
        <v>12.9</v>
      </c>
      <c r="X255">
        <v>12250000</v>
      </c>
      <c r="Y255">
        <v>74.31</v>
      </c>
      <c r="Z255">
        <v>1687000000</v>
      </c>
      <c r="AA255">
        <v>1.5</v>
      </c>
      <c r="AB255">
        <v>29400000000</v>
      </c>
      <c r="AC255">
        <v>0</v>
      </c>
      <c r="AD255">
        <v>0</v>
      </c>
      <c r="AE255">
        <v>29400000000</v>
      </c>
      <c r="AF255">
        <v>4190000000000</v>
      </c>
      <c r="AG255">
        <v>500000</v>
      </c>
      <c r="AH255">
        <v>2100000</v>
      </c>
      <c r="AJ255">
        <v>2600000</v>
      </c>
      <c r="AK255">
        <v>78000000000</v>
      </c>
      <c r="AL255">
        <v>25375281</v>
      </c>
      <c r="AM255">
        <v>43.1</v>
      </c>
      <c r="AN255">
        <v>682</v>
      </c>
      <c r="AO255">
        <v>25750000000</v>
      </c>
      <c r="AP255">
        <v>2841800</v>
      </c>
      <c r="AQ255">
        <v>6463600</v>
      </c>
      <c r="AR255">
        <v>2.2599999999999998</v>
      </c>
      <c r="AS255">
        <v>17.100000000000001</v>
      </c>
    </row>
    <row r="256" spans="1:45" x14ac:dyDescent="0.3">
      <c r="A256" t="s">
        <v>299</v>
      </c>
      <c r="B256">
        <v>329560</v>
      </c>
      <c r="C256">
        <v>17.07</v>
      </c>
      <c r="D256">
        <v>-2061000000</v>
      </c>
      <c r="E256">
        <v>6.2</v>
      </c>
      <c r="F256">
        <v>16550000000</v>
      </c>
      <c r="G256">
        <v>32060000000</v>
      </c>
      <c r="H256">
        <v>34480000000</v>
      </c>
      <c r="I256">
        <v>23720000000</v>
      </c>
      <c r="J256">
        <v>227200000000</v>
      </c>
      <c r="K256">
        <v>2700</v>
      </c>
      <c r="L256">
        <v>7.7</v>
      </c>
      <c r="M256">
        <v>0.4</v>
      </c>
      <c r="N256">
        <v>9000</v>
      </c>
      <c r="O256">
        <v>220000</v>
      </c>
      <c r="P256">
        <v>93300</v>
      </c>
      <c r="Q256">
        <v>26310000000</v>
      </c>
      <c r="R256">
        <v>16</v>
      </c>
      <c r="S256">
        <v>25.95</v>
      </c>
      <c r="T256">
        <v>9.5</v>
      </c>
      <c r="U256">
        <v>340</v>
      </c>
      <c r="V256">
        <v>3500000</v>
      </c>
      <c r="W256">
        <v>36.6</v>
      </c>
      <c r="X256">
        <v>42980000</v>
      </c>
      <c r="Y256">
        <v>70.61</v>
      </c>
      <c r="Z256">
        <v>650000000</v>
      </c>
      <c r="AA256">
        <v>2.5</v>
      </c>
      <c r="AB256">
        <v>1300000000</v>
      </c>
      <c r="AC256">
        <v>0</v>
      </c>
      <c r="AD256">
        <v>0</v>
      </c>
      <c r="AE256">
        <v>1300000000</v>
      </c>
      <c r="AF256">
        <v>192600000000</v>
      </c>
      <c r="AG256">
        <v>185000</v>
      </c>
      <c r="AJ256">
        <v>359400</v>
      </c>
      <c r="AK256">
        <v>650000000</v>
      </c>
      <c r="AL256">
        <v>83535576</v>
      </c>
      <c r="AM256">
        <v>65.900000000000006</v>
      </c>
      <c r="AN256">
        <v>2600</v>
      </c>
      <c r="AO256">
        <v>6510000000</v>
      </c>
      <c r="AP256">
        <v>4402000</v>
      </c>
      <c r="AQ256">
        <v>2742000</v>
      </c>
      <c r="AR256">
        <v>1.94</v>
      </c>
      <c r="AS256">
        <v>1.9</v>
      </c>
    </row>
    <row r="257" spans="1:45" x14ac:dyDescent="0.3">
      <c r="A257" t="s">
        <v>300</v>
      </c>
      <c r="B257">
        <v>352</v>
      </c>
      <c r="C257">
        <v>14.2</v>
      </c>
      <c r="E257">
        <v>6.26</v>
      </c>
      <c r="G257">
        <v>962600000</v>
      </c>
      <c r="H257">
        <v>1035000000</v>
      </c>
      <c r="J257">
        <v>2500000000</v>
      </c>
      <c r="K257">
        <v>17200</v>
      </c>
      <c r="L257">
        <v>2</v>
      </c>
      <c r="P257">
        <v>1257</v>
      </c>
      <c r="S257">
        <v>8.0299999999999994</v>
      </c>
      <c r="T257">
        <v>2.2000000000000002</v>
      </c>
      <c r="V257">
        <v>30000</v>
      </c>
      <c r="X257">
        <v>48900</v>
      </c>
      <c r="Y257">
        <v>78.91</v>
      </c>
      <c r="AG257">
        <v>66000</v>
      </c>
      <c r="AJ257">
        <v>0</v>
      </c>
      <c r="AL257">
        <v>108708</v>
      </c>
      <c r="AP257">
        <v>69400</v>
      </c>
      <c r="AQ257">
        <v>41000</v>
      </c>
      <c r="AR257">
        <v>2.19</v>
      </c>
      <c r="AS257">
        <v>9.3000000000000007</v>
      </c>
    </row>
    <row r="258" spans="1:45" x14ac:dyDescent="0.3">
      <c r="A258" t="s">
        <v>301</v>
      </c>
      <c r="B258">
        <v>7</v>
      </c>
    </row>
    <row r="259" spans="1:45" x14ac:dyDescent="0.3">
      <c r="A259" t="s">
        <v>302</v>
      </c>
      <c r="B259">
        <v>274</v>
      </c>
      <c r="I259">
        <v>250000</v>
      </c>
      <c r="J259">
        <v>60000000</v>
      </c>
      <c r="K259">
        <v>3800</v>
      </c>
      <c r="P259">
        <v>120</v>
      </c>
      <c r="Q259">
        <v>300000</v>
      </c>
      <c r="V259">
        <v>900</v>
      </c>
      <c r="AL259">
        <v>16025</v>
      </c>
      <c r="AP259">
        <v>1900</v>
      </c>
      <c r="AQ259">
        <v>0</v>
      </c>
    </row>
    <row r="260" spans="1:45" x14ac:dyDescent="0.3">
      <c r="A260" t="s">
        <v>303</v>
      </c>
      <c r="B260">
        <v>5860</v>
      </c>
      <c r="C260">
        <v>32.369999999999997</v>
      </c>
      <c r="E260">
        <v>3.99</v>
      </c>
      <c r="F260">
        <v>108000000</v>
      </c>
      <c r="I260">
        <v>205000000</v>
      </c>
      <c r="J260">
        <v>1800000000</v>
      </c>
      <c r="K260">
        <v>800</v>
      </c>
      <c r="L260">
        <v>6</v>
      </c>
      <c r="P260">
        <v>4500</v>
      </c>
      <c r="Q260">
        <v>1500000000</v>
      </c>
      <c r="S260">
        <v>19.62</v>
      </c>
      <c r="T260">
        <v>2.2000000000000002</v>
      </c>
      <c r="V260">
        <v>145000</v>
      </c>
      <c r="X260">
        <v>364000</v>
      </c>
      <c r="Y260">
        <v>73.08</v>
      </c>
      <c r="AL260">
        <v>2385615</v>
      </c>
      <c r="AP260">
        <v>301600</v>
      </c>
      <c r="AQ260">
        <v>480000</v>
      </c>
      <c r="AR260">
        <v>4.4000000000000004</v>
      </c>
      <c r="AS260">
        <v>27.2</v>
      </c>
    </row>
    <row r="261" spans="1:45" x14ac:dyDescent="0.3">
      <c r="A261" t="s">
        <v>304</v>
      </c>
      <c r="B261">
        <v>266000</v>
      </c>
      <c r="G261">
        <v>83700000</v>
      </c>
      <c r="H261">
        <v>90000000</v>
      </c>
      <c r="P261">
        <v>6200</v>
      </c>
      <c r="X261">
        <v>12000</v>
      </c>
      <c r="AG261">
        <v>1800</v>
      </c>
      <c r="AJ261">
        <v>0</v>
      </c>
      <c r="AL261">
        <v>273008</v>
      </c>
      <c r="AQ261">
        <v>0</v>
      </c>
    </row>
    <row r="262" spans="1:45" x14ac:dyDescent="0.3">
      <c r="A262" t="s">
        <v>305</v>
      </c>
      <c r="B262">
        <v>527970</v>
      </c>
      <c r="C262">
        <v>43.07</v>
      </c>
      <c r="D262">
        <v>369900000</v>
      </c>
      <c r="E262">
        <v>8.5299999999999994</v>
      </c>
      <c r="F262">
        <v>5400000000</v>
      </c>
      <c r="G262">
        <v>2827000000</v>
      </c>
      <c r="H262">
        <v>3040000000</v>
      </c>
      <c r="I262">
        <v>4468000000</v>
      </c>
      <c r="J262">
        <v>16250000000</v>
      </c>
      <c r="K262">
        <v>800</v>
      </c>
      <c r="L262">
        <v>1.9</v>
      </c>
      <c r="M262">
        <v>0.1</v>
      </c>
      <c r="O262">
        <v>12000</v>
      </c>
      <c r="P262">
        <v>67000</v>
      </c>
      <c r="Q262">
        <v>3734000000</v>
      </c>
      <c r="R262">
        <v>3</v>
      </c>
      <c r="S262">
        <v>61.5</v>
      </c>
      <c r="T262">
        <v>12.2</v>
      </c>
      <c r="U262">
        <v>138</v>
      </c>
      <c r="V262">
        <v>100000</v>
      </c>
      <c r="W262">
        <v>16.100000000000001</v>
      </c>
      <c r="X262">
        <v>5980000</v>
      </c>
      <c r="Y262">
        <v>61.75</v>
      </c>
      <c r="Z262">
        <v>885500000</v>
      </c>
      <c r="AA262">
        <v>7.8</v>
      </c>
      <c r="AB262">
        <v>0</v>
      </c>
      <c r="AC262">
        <v>0</v>
      </c>
      <c r="AD262">
        <v>0</v>
      </c>
      <c r="AE262">
        <v>0</v>
      </c>
      <c r="AF262">
        <v>480000000000</v>
      </c>
      <c r="AG262">
        <v>78000</v>
      </c>
      <c r="AH262">
        <v>370300</v>
      </c>
      <c r="AJ262">
        <v>417500</v>
      </c>
      <c r="AK262">
        <v>4000000000</v>
      </c>
      <c r="AL262">
        <v>20727063</v>
      </c>
      <c r="AM262">
        <v>46.4</v>
      </c>
      <c r="AO262">
        <v>5300000000</v>
      </c>
      <c r="AP262">
        <v>542200</v>
      </c>
      <c r="AQ262">
        <v>411100</v>
      </c>
      <c r="AR262">
        <v>6.67</v>
      </c>
      <c r="AS262">
        <v>35</v>
      </c>
    </row>
    <row r="263" spans="1:45" x14ac:dyDescent="0.3">
      <c r="A263" t="s">
        <v>306</v>
      </c>
      <c r="B263">
        <v>752614</v>
      </c>
      <c r="C263">
        <v>41.38</v>
      </c>
      <c r="D263">
        <v>-181400000</v>
      </c>
      <c r="E263">
        <v>20.23</v>
      </c>
      <c r="F263">
        <v>5353000000</v>
      </c>
      <c r="G263">
        <v>5345000000</v>
      </c>
      <c r="H263">
        <v>8167000000</v>
      </c>
      <c r="I263">
        <v>1548000000</v>
      </c>
      <c r="J263">
        <v>9409000000</v>
      </c>
      <c r="K263">
        <v>900</v>
      </c>
      <c r="L263">
        <v>4.5999999999999996</v>
      </c>
      <c r="M263">
        <v>16.5</v>
      </c>
      <c r="N263">
        <v>89000</v>
      </c>
      <c r="O263">
        <v>920000</v>
      </c>
      <c r="P263">
        <v>91440</v>
      </c>
      <c r="Q263">
        <v>1519000000</v>
      </c>
      <c r="R263">
        <v>6.9</v>
      </c>
      <c r="S263">
        <v>88.29</v>
      </c>
      <c r="T263">
        <v>18.3</v>
      </c>
      <c r="U263">
        <v>1880</v>
      </c>
      <c r="V263">
        <v>68200</v>
      </c>
      <c r="W263">
        <v>41.4</v>
      </c>
      <c r="X263">
        <v>4630000</v>
      </c>
      <c r="Y263">
        <v>39.700000000000003</v>
      </c>
      <c r="Z263">
        <v>106800000</v>
      </c>
      <c r="AA263">
        <v>1.8</v>
      </c>
      <c r="AG263">
        <v>11000</v>
      </c>
      <c r="AJ263">
        <v>0</v>
      </c>
      <c r="AL263">
        <v>11261795</v>
      </c>
      <c r="AM263">
        <v>127.5</v>
      </c>
      <c r="AN263">
        <v>2173</v>
      </c>
      <c r="AO263">
        <v>345000000</v>
      </c>
      <c r="AP263">
        <v>88400</v>
      </c>
      <c r="AQ263">
        <v>241000</v>
      </c>
      <c r="AR263">
        <v>5.47</v>
      </c>
      <c r="AS263">
        <v>50</v>
      </c>
    </row>
    <row r="264" spans="1:45" x14ac:dyDescent="0.3">
      <c r="A264" t="s">
        <v>307</v>
      </c>
      <c r="B264">
        <v>390580</v>
      </c>
      <c r="C264">
        <v>29.74</v>
      </c>
      <c r="D264">
        <v>-230300000</v>
      </c>
      <c r="E264">
        <v>24.66</v>
      </c>
      <c r="F264">
        <v>4086000000</v>
      </c>
      <c r="G264">
        <v>11220000000</v>
      </c>
      <c r="H264">
        <v>8839000000</v>
      </c>
      <c r="I264">
        <v>1409000000</v>
      </c>
      <c r="J264">
        <v>24370000000</v>
      </c>
      <c r="K264">
        <v>1900</v>
      </c>
      <c r="L264">
        <v>-8.1999999999999993</v>
      </c>
      <c r="M264">
        <v>24.6</v>
      </c>
      <c r="N264">
        <v>170000</v>
      </c>
      <c r="O264">
        <v>1800000</v>
      </c>
      <c r="P264">
        <v>18338</v>
      </c>
      <c r="Q264">
        <v>1599000000</v>
      </c>
      <c r="R264">
        <v>-7.8</v>
      </c>
      <c r="S264">
        <v>67.69</v>
      </c>
      <c r="T264">
        <v>133</v>
      </c>
      <c r="U264">
        <v>4501</v>
      </c>
      <c r="V264">
        <v>500000</v>
      </c>
      <c r="W264">
        <v>9.9</v>
      </c>
      <c r="X264">
        <v>4230000</v>
      </c>
      <c r="Y264">
        <v>36.67</v>
      </c>
      <c r="Z264">
        <v>217000000</v>
      </c>
      <c r="AA264">
        <v>4.3</v>
      </c>
      <c r="AG264">
        <v>23000</v>
      </c>
      <c r="AJ264">
        <v>0</v>
      </c>
      <c r="AL264">
        <v>12746990</v>
      </c>
      <c r="AM264">
        <v>52.3</v>
      </c>
      <c r="AN264">
        <v>3077</v>
      </c>
      <c r="AO264">
        <v>57000000</v>
      </c>
      <c r="AP264">
        <v>300900</v>
      </c>
      <c r="AQ264">
        <v>379100</v>
      </c>
      <c r="AR264">
        <v>3.54</v>
      </c>
      <c r="AS264">
        <v>70</v>
      </c>
    </row>
    <row r="267" spans="1:45" x14ac:dyDescent="0.3">
      <c r="A267" s="2"/>
      <c r="B267" s="2"/>
    </row>
  </sheetData>
  <sheetProtection formatCells="0" formatColumns="0" formatRows="0" insertColumns="0" insertRows="0" insertHyperlinks="0" deleteColumns="0" deleteRows="0" sort="0" autoFilter="0" pivotTable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7CA3C-2F24-4273-8A31-F64F7820B3D9}">
  <dimension ref="A1:AS264"/>
  <sheetViews>
    <sheetView zoomScale="90" zoomScaleNormal="90" workbookViewId="0">
      <selection activeCell="B3" sqref="B3"/>
    </sheetView>
  </sheetViews>
  <sheetFormatPr defaultRowHeight="14.4" x14ac:dyDescent="0.3"/>
  <cols>
    <col min="1" max="1" width="9.6640625" customWidth="1"/>
    <col min="2" max="2" width="13.109375" customWidth="1"/>
    <col min="3" max="3" width="31.33203125" customWidth="1"/>
    <col min="4" max="4" width="23.44140625" customWidth="1"/>
    <col min="5" max="5" width="33.21875" customWidth="1"/>
    <col min="6" max="6" width="15.21875" customWidth="1"/>
    <col min="7" max="7" width="28.88671875" customWidth="1"/>
    <col min="8" max="8" width="27.109375" customWidth="1"/>
    <col min="9" max="9" width="9.109375" customWidth="1"/>
    <col min="11" max="11" width="16.33203125" customWidth="1"/>
    <col min="12" max="12" width="24.109375" customWidth="1"/>
    <col min="13" max="13" width="32.88671875" customWidth="1"/>
    <col min="14" max="14" width="18" customWidth="1"/>
    <col min="15" max="15" width="35.44140625" customWidth="1"/>
    <col min="16" max="16" width="14.88671875" customWidth="1"/>
    <col min="17" max="17" width="9.44140625" customWidth="1"/>
    <col min="18" max="18" width="33.5546875" customWidth="1"/>
    <col min="19" max="19" width="40.33203125" customWidth="1"/>
    <col min="20" max="20" width="32" customWidth="1"/>
    <col min="21" max="21" width="14.5546875" customWidth="1"/>
    <col min="22" max="22" width="14.44140625" customWidth="1"/>
    <col min="23" max="23" width="32.109375" customWidth="1"/>
    <col min="24" max="24" width="12.44140625" customWidth="1"/>
    <col min="25" max="25" width="28.21875" customWidth="1"/>
    <col min="26" max="26" width="32.33203125" customWidth="1"/>
    <col min="27" max="27" width="37.6640625" customWidth="1"/>
    <col min="28" max="28" width="30.44140625" customWidth="1"/>
    <col min="29" max="29" width="25.5546875" customWidth="1"/>
    <col min="30" max="30" width="25.77734375" customWidth="1"/>
    <col min="31" max="31" width="28.6640625" customWidth="1"/>
    <col min="32" max="32" width="32.6640625" customWidth="1"/>
    <col min="33" max="33" width="25.77734375" customWidth="1"/>
    <col min="34" max="34" width="20.88671875" customWidth="1"/>
    <col min="35" max="35" width="21.109375" customWidth="1"/>
    <col min="36" max="37" width="24" customWidth="1"/>
    <col min="38" max="38" width="12.109375" customWidth="1"/>
    <col min="39" max="39" width="21.33203125" customWidth="1"/>
    <col min="40" max="40" width="14.109375" customWidth="1"/>
    <col min="41" max="41" width="33.33203125" customWidth="1"/>
    <col min="42" max="42" width="27.88671875" customWidth="1"/>
    <col min="43" max="43" width="26.33203125" customWidth="1"/>
    <col min="44" max="44" width="37.109375" customWidth="1"/>
    <col min="45" max="45" width="22.6640625" customWidth="1"/>
  </cols>
  <sheetData>
    <row r="1" spans="1:4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row>
    <row r="2" spans="1:45" x14ac:dyDescent="0.3">
      <c r="A2" t="s">
        <v>45</v>
      </c>
      <c r="B2">
        <v>647500</v>
      </c>
      <c r="C2">
        <v>47.02</v>
      </c>
      <c r="E2">
        <v>20.75</v>
      </c>
      <c r="F2">
        <v>8000000000</v>
      </c>
      <c r="G2">
        <v>652200000</v>
      </c>
      <c r="H2">
        <v>540000000</v>
      </c>
      <c r="I2">
        <v>446000000</v>
      </c>
      <c r="J2">
        <v>21500000000</v>
      </c>
      <c r="K2">
        <v>800</v>
      </c>
      <c r="L2">
        <v>7.5</v>
      </c>
      <c r="M2">
        <v>0.01</v>
      </c>
      <c r="P2">
        <v>21000</v>
      </c>
      <c r="Q2">
        <v>3759000000</v>
      </c>
      <c r="S2">
        <v>163.07</v>
      </c>
      <c r="T2">
        <v>10.3</v>
      </c>
      <c r="V2">
        <v>1000</v>
      </c>
      <c r="X2">
        <v>11800000</v>
      </c>
      <c r="Y2">
        <v>42.9</v>
      </c>
      <c r="Z2">
        <v>188400000</v>
      </c>
      <c r="AA2">
        <v>2.6</v>
      </c>
      <c r="AB2">
        <v>220000000</v>
      </c>
      <c r="AC2">
        <v>0</v>
      </c>
      <c r="AD2">
        <v>0</v>
      </c>
      <c r="AE2">
        <v>220000000</v>
      </c>
      <c r="AF2">
        <v>49980000000</v>
      </c>
      <c r="AG2">
        <v>3500</v>
      </c>
      <c r="AJ2">
        <v>0</v>
      </c>
      <c r="AK2">
        <v>0</v>
      </c>
      <c r="AL2">
        <v>29928987</v>
      </c>
      <c r="AP2">
        <v>33100</v>
      </c>
      <c r="AQ2">
        <v>15000</v>
      </c>
      <c r="AR2">
        <v>6.75</v>
      </c>
    </row>
    <row r="3" spans="1:45" x14ac:dyDescent="0.3">
      <c r="A3" t="s">
        <v>46</v>
      </c>
      <c r="B3">
        <v>123</v>
      </c>
    </row>
    <row r="4" spans="1:45" x14ac:dyDescent="0.3">
      <c r="A4" t="s">
        <v>47</v>
      </c>
      <c r="B4">
        <v>28748</v>
      </c>
      <c r="C4">
        <v>15.08</v>
      </c>
      <c r="D4">
        <v>-504000000</v>
      </c>
      <c r="E4">
        <v>5.12</v>
      </c>
      <c r="F4">
        <v>1410000000</v>
      </c>
      <c r="G4">
        <v>6760000000</v>
      </c>
      <c r="H4">
        <v>5680000000</v>
      </c>
      <c r="I4">
        <v>552400000</v>
      </c>
      <c r="J4">
        <v>17460000000</v>
      </c>
      <c r="K4">
        <v>4900</v>
      </c>
      <c r="L4">
        <v>5.6</v>
      </c>
      <c r="P4">
        <v>18000</v>
      </c>
      <c r="Q4">
        <v>2076000000</v>
      </c>
      <c r="R4">
        <v>3.1</v>
      </c>
      <c r="S4">
        <v>21.52</v>
      </c>
      <c r="T4">
        <v>3.2</v>
      </c>
      <c r="U4">
        <v>455</v>
      </c>
      <c r="V4">
        <v>30000</v>
      </c>
      <c r="W4">
        <v>18.399999999999999</v>
      </c>
      <c r="X4">
        <v>1090000</v>
      </c>
      <c r="Y4">
        <v>77.239999999999995</v>
      </c>
      <c r="Z4">
        <v>56500000</v>
      </c>
      <c r="AA4">
        <v>1.49</v>
      </c>
      <c r="AB4">
        <v>30000000</v>
      </c>
      <c r="AC4">
        <v>0</v>
      </c>
      <c r="AD4">
        <v>0</v>
      </c>
      <c r="AE4">
        <v>30000000</v>
      </c>
      <c r="AF4">
        <v>3316000000</v>
      </c>
      <c r="AG4">
        <v>7500</v>
      </c>
      <c r="AH4">
        <v>0</v>
      </c>
      <c r="AI4">
        <v>5500</v>
      </c>
      <c r="AJ4">
        <v>2000</v>
      </c>
      <c r="AK4">
        <v>185500000</v>
      </c>
      <c r="AL4">
        <v>3563112</v>
      </c>
      <c r="AN4">
        <v>447</v>
      </c>
      <c r="AO4">
        <v>1206000000</v>
      </c>
      <c r="AP4">
        <v>255000</v>
      </c>
      <c r="AQ4">
        <v>1100000</v>
      </c>
      <c r="AR4">
        <v>2.04</v>
      </c>
      <c r="AS4">
        <v>14.8</v>
      </c>
    </row>
    <row r="5" spans="1:45" x14ac:dyDescent="0.3">
      <c r="A5" t="s">
        <v>48</v>
      </c>
      <c r="B5">
        <v>2381740</v>
      </c>
      <c r="C5">
        <v>17.13</v>
      </c>
      <c r="D5">
        <v>11900000000</v>
      </c>
      <c r="E5">
        <v>4.5999999999999996</v>
      </c>
      <c r="F5">
        <v>21900000000</v>
      </c>
      <c r="G5">
        <v>23610000000</v>
      </c>
      <c r="H5">
        <v>25760000000</v>
      </c>
      <c r="I5">
        <v>32160000000</v>
      </c>
      <c r="J5">
        <v>212300000000</v>
      </c>
      <c r="K5">
        <v>6600</v>
      </c>
      <c r="L5">
        <v>6.1</v>
      </c>
      <c r="M5">
        <v>0.1</v>
      </c>
      <c r="N5">
        <v>500</v>
      </c>
      <c r="O5">
        <v>9100</v>
      </c>
      <c r="P5">
        <v>104000</v>
      </c>
      <c r="Q5">
        <v>15250000000</v>
      </c>
      <c r="R5">
        <v>6</v>
      </c>
      <c r="S5">
        <v>31</v>
      </c>
      <c r="T5">
        <v>3.1</v>
      </c>
      <c r="U5">
        <v>897</v>
      </c>
      <c r="V5">
        <v>500000</v>
      </c>
      <c r="W5">
        <v>26.2</v>
      </c>
      <c r="X5">
        <v>9910000</v>
      </c>
      <c r="Y5">
        <v>73</v>
      </c>
      <c r="Z5">
        <v>2480000000</v>
      </c>
      <c r="AA5">
        <v>3.2</v>
      </c>
      <c r="AB5">
        <v>22320000000</v>
      </c>
      <c r="AC5">
        <v>57980000000</v>
      </c>
      <c r="AD5">
        <v>0</v>
      </c>
      <c r="AE5">
        <v>80300000000</v>
      </c>
      <c r="AF5">
        <v>4739000000000</v>
      </c>
      <c r="AG5">
        <v>209000</v>
      </c>
      <c r="AJ5">
        <v>1200000</v>
      </c>
      <c r="AK5">
        <v>11870000000</v>
      </c>
      <c r="AL5">
        <v>32531853</v>
      </c>
      <c r="AM5">
        <v>37.4</v>
      </c>
      <c r="AN5">
        <v>3973</v>
      </c>
      <c r="AO5">
        <v>43550000000</v>
      </c>
      <c r="AP5">
        <v>2199600</v>
      </c>
      <c r="AQ5">
        <v>1447310</v>
      </c>
      <c r="AR5">
        <v>1.92</v>
      </c>
      <c r="AS5">
        <v>25.4</v>
      </c>
    </row>
    <row r="6" spans="1:45" x14ac:dyDescent="0.3">
      <c r="A6" t="s">
        <v>49</v>
      </c>
      <c r="B6">
        <v>199</v>
      </c>
      <c r="C6">
        <v>23.13</v>
      </c>
      <c r="E6">
        <v>3.33</v>
      </c>
      <c r="G6">
        <v>120900000</v>
      </c>
      <c r="H6">
        <v>130000000</v>
      </c>
      <c r="I6">
        <v>30000000</v>
      </c>
      <c r="J6">
        <v>500000000</v>
      </c>
      <c r="K6">
        <v>8000</v>
      </c>
      <c r="P6">
        <v>185</v>
      </c>
      <c r="Q6">
        <v>123000000</v>
      </c>
      <c r="S6">
        <v>9.27</v>
      </c>
      <c r="X6">
        <v>14000</v>
      </c>
      <c r="Y6">
        <v>75.84</v>
      </c>
      <c r="AG6">
        <v>3800</v>
      </c>
      <c r="AJ6">
        <v>0</v>
      </c>
      <c r="AL6">
        <v>57881</v>
      </c>
      <c r="AP6">
        <v>15000</v>
      </c>
      <c r="AQ6">
        <v>2377</v>
      </c>
      <c r="AR6">
        <v>3.25</v>
      </c>
      <c r="AS6">
        <v>6</v>
      </c>
    </row>
    <row r="7" spans="1:45" x14ac:dyDescent="0.3">
      <c r="A7" t="s">
        <v>50</v>
      </c>
      <c r="B7">
        <v>468</v>
      </c>
      <c r="C7">
        <v>9</v>
      </c>
      <c r="E7">
        <v>6.07</v>
      </c>
      <c r="I7">
        <v>58000000</v>
      </c>
      <c r="J7">
        <v>1900000000</v>
      </c>
      <c r="K7">
        <v>26800</v>
      </c>
      <c r="L7">
        <v>2</v>
      </c>
      <c r="P7">
        <v>269</v>
      </c>
      <c r="Q7">
        <v>1077000000</v>
      </c>
      <c r="S7">
        <v>4.05</v>
      </c>
      <c r="T7">
        <v>4.3</v>
      </c>
      <c r="U7">
        <v>4144</v>
      </c>
      <c r="V7">
        <v>24500</v>
      </c>
      <c r="X7">
        <v>33000</v>
      </c>
      <c r="Y7">
        <v>83.51</v>
      </c>
      <c r="AL7">
        <v>70549</v>
      </c>
      <c r="AP7">
        <v>35000</v>
      </c>
      <c r="AQ7">
        <v>23500</v>
      </c>
      <c r="AR7">
        <v>1.29</v>
      </c>
      <c r="AS7">
        <v>0</v>
      </c>
    </row>
    <row r="8" spans="1:45" x14ac:dyDescent="0.3">
      <c r="A8" t="s">
        <v>51</v>
      </c>
      <c r="B8">
        <v>1246700</v>
      </c>
      <c r="C8">
        <v>44.64</v>
      </c>
      <c r="D8">
        <v>-37880000</v>
      </c>
      <c r="E8">
        <v>25.9</v>
      </c>
      <c r="F8">
        <v>10450000000</v>
      </c>
      <c r="G8">
        <v>1587000000</v>
      </c>
      <c r="H8">
        <v>1707000000</v>
      </c>
      <c r="I8">
        <v>12760000000</v>
      </c>
      <c r="J8">
        <v>23170000000</v>
      </c>
      <c r="K8">
        <v>2100</v>
      </c>
      <c r="L8">
        <v>11.7</v>
      </c>
      <c r="M8">
        <v>3.9</v>
      </c>
      <c r="N8">
        <v>21000</v>
      </c>
      <c r="O8">
        <v>240000</v>
      </c>
      <c r="P8">
        <v>51429</v>
      </c>
      <c r="Q8">
        <v>4896000000</v>
      </c>
      <c r="R8">
        <v>1</v>
      </c>
      <c r="S8">
        <v>191.19</v>
      </c>
      <c r="T8">
        <v>43.8</v>
      </c>
      <c r="U8">
        <v>17</v>
      </c>
      <c r="V8">
        <v>41000</v>
      </c>
      <c r="W8">
        <v>34.5</v>
      </c>
      <c r="X8">
        <v>5410000</v>
      </c>
      <c r="Y8">
        <v>36.61</v>
      </c>
      <c r="Z8">
        <v>183580000</v>
      </c>
      <c r="AA8">
        <v>10.6</v>
      </c>
      <c r="AB8">
        <v>530000000</v>
      </c>
      <c r="AC8">
        <v>0</v>
      </c>
      <c r="AD8">
        <v>0</v>
      </c>
      <c r="AE8">
        <v>530000000</v>
      </c>
      <c r="AF8">
        <v>79570000000</v>
      </c>
      <c r="AG8">
        <v>31000</v>
      </c>
      <c r="AJ8">
        <v>980000</v>
      </c>
      <c r="AK8">
        <v>22880000000</v>
      </c>
      <c r="AL8">
        <v>11190786</v>
      </c>
      <c r="AN8">
        <v>2761</v>
      </c>
      <c r="AO8">
        <v>800000000</v>
      </c>
      <c r="AP8">
        <v>96300</v>
      </c>
      <c r="AQ8">
        <v>130000</v>
      </c>
      <c r="AR8">
        <v>6.27</v>
      </c>
    </row>
    <row r="9" spans="1:45" x14ac:dyDescent="0.3">
      <c r="A9" t="s">
        <v>52</v>
      </c>
      <c r="B9">
        <v>102</v>
      </c>
      <c r="C9">
        <v>14.26</v>
      </c>
      <c r="E9">
        <v>5.43</v>
      </c>
      <c r="F9">
        <v>8800000</v>
      </c>
      <c r="G9">
        <v>42600000</v>
      </c>
      <c r="I9">
        <v>2600000</v>
      </c>
      <c r="J9">
        <v>112000000</v>
      </c>
      <c r="K9">
        <v>7500</v>
      </c>
      <c r="L9">
        <v>2.8</v>
      </c>
      <c r="P9">
        <v>105</v>
      </c>
      <c r="Q9">
        <v>80900000</v>
      </c>
      <c r="R9">
        <v>3.1</v>
      </c>
      <c r="S9">
        <v>21.03</v>
      </c>
      <c r="T9">
        <v>2.2999999999999998</v>
      </c>
      <c r="V9">
        <v>3000</v>
      </c>
      <c r="X9">
        <v>6049</v>
      </c>
      <c r="Y9">
        <v>77.11</v>
      </c>
      <c r="AL9">
        <v>13254</v>
      </c>
      <c r="AP9">
        <v>6200</v>
      </c>
      <c r="AQ9">
        <v>1800</v>
      </c>
      <c r="AR9">
        <v>1.73</v>
      </c>
      <c r="AS9">
        <v>8</v>
      </c>
    </row>
    <row r="10" spans="1:45" x14ac:dyDescent="0.3">
      <c r="A10" t="s">
        <v>53</v>
      </c>
      <c r="B10">
        <v>14000000</v>
      </c>
      <c r="AP10">
        <v>0</v>
      </c>
    </row>
    <row r="11" spans="1:45" x14ac:dyDescent="0.3">
      <c r="A11" t="s">
        <v>54</v>
      </c>
      <c r="B11">
        <v>443</v>
      </c>
      <c r="C11">
        <v>17.260000000000002</v>
      </c>
      <c r="E11">
        <v>5.44</v>
      </c>
      <c r="F11">
        <v>231000000</v>
      </c>
      <c r="G11">
        <v>103000000</v>
      </c>
      <c r="H11">
        <v>110800000</v>
      </c>
      <c r="I11">
        <v>689000000</v>
      </c>
      <c r="J11">
        <v>750000000</v>
      </c>
      <c r="K11">
        <v>11000</v>
      </c>
      <c r="L11">
        <v>3</v>
      </c>
      <c r="P11">
        <v>250</v>
      </c>
      <c r="Q11">
        <v>692000000</v>
      </c>
      <c r="R11">
        <v>6</v>
      </c>
      <c r="S11">
        <v>19.46</v>
      </c>
      <c r="T11">
        <v>0.4</v>
      </c>
      <c r="U11">
        <v>1665</v>
      </c>
      <c r="V11">
        <v>10000</v>
      </c>
      <c r="X11">
        <v>30000</v>
      </c>
      <c r="Y11">
        <v>71.900000000000006</v>
      </c>
      <c r="AG11">
        <v>3600</v>
      </c>
      <c r="AJ11">
        <v>0</v>
      </c>
      <c r="AL11">
        <v>68722</v>
      </c>
      <c r="AP11">
        <v>38000</v>
      </c>
      <c r="AQ11">
        <v>38200</v>
      </c>
      <c r="AR11">
        <v>2.2599999999999998</v>
      </c>
      <c r="AS11">
        <v>11</v>
      </c>
    </row>
    <row r="12" spans="1:45" x14ac:dyDescent="0.3">
      <c r="A12" t="s">
        <v>55</v>
      </c>
      <c r="B12">
        <v>2766890</v>
      </c>
      <c r="C12">
        <v>16.899999999999999</v>
      </c>
      <c r="D12">
        <v>5473000000</v>
      </c>
      <c r="E12">
        <v>7.56</v>
      </c>
      <c r="F12">
        <v>157700000000</v>
      </c>
      <c r="G12">
        <v>81650000000</v>
      </c>
      <c r="H12">
        <v>81390000000</v>
      </c>
      <c r="I12">
        <v>33780000000</v>
      </c>
      <c r="J12">
        <v>483500000000</v>
      </c>
      <c r="K12">
        <v>12400</v>
      </c>
      <c r="L12">
        <v>8.3000000000000007</v>
      </c>
      <c r="M12">
        <v>0.7</v>
      </c>
      <c r="N12">
        <v>1500</v>
      </c>
      <c r="O12">
        <v>130000</v>
      </c>
      <c r="P12">
        <v>215471</v>
      </c>
      <c r="Q12">
        <v>22060000000</v>
      </c>
      <c r="R12">
        <v>12</v>
      </c>
      <c r="S12">
        <v>15.18</v>
      </c>
      <c r="T12">
        <v>6.1</v>
      </c>
      <c r="U12">
        <v>742358</v>
      </c>
      <c r="V12">
        <v>4100000</v>
      </c>
      <c r="W12">
        <v>18.3</v>
      </c>
      <c r="X12">
        <v>15040000</v>
      </c>
      <c r="Y12">
        <v>75.91</v>
      </c>
      <c r="Z12">
        <v>4300000000</v>
      </c>
      <c r="AA12">
        <v>1.3</v>
      </c>
      <c r="AB12">
        <v>31100000000</v>
      </c>
      <c r="AC12">
        <v>6050000000</v>
      </c>
      <c r="AD12">
        <v>0</v>
      </c>
      <c r="AE12">
        <v>37150000000</v>
      </c>
      <c r="AF12">
        <v>768000000000</v>
      </c>
      <c r="AG12">
        <v>486000</v>
      </c>
      <c r="AJ12">
        <v>755000</v>
      </c>
      <c r="AK12">
        <v>2900000000</v>
      </c>
      <c r="AL12">
        <v>39537943</v>
      </c>
      <c r="AM12">
        <v>118</v>
      </c>
      <c r="AN12">
        <v>34091</v>
      </c>
      <c r="AO12">
        <v>19470000000</v>
      </c>
      <c r="AP12">
        <v>8009400</v>
      </c>
      <c r="AQ12">
        <v>6500000</v>
      </c>
      <c r="AR12">
        <v>2.19</v>
      </c>
      <c r="AS12">
        <v>14.8</v>
      </c>
    </row>
    <row r="13" spans="1:45" x14ac:dyDescent="0.3">
      <c r="A13" t="s">
        <v>56</v>
      </c>
      <c r="B13">
        <v>29800</v>
      </c>
      <c r="C13">
        <v>11.76</v>
      </c>
      <c r="D13">
        <v>-240400000</v>
      </c>
      <c r="E13">
        <v>8.16</v>
      </c>
      <c r="F13">
        <v>905000000</v>
      </c>
      <c r="G13">
        <v>5797000000</v>
      </c>
      <c r="H13">
        <v>6492000000</v>
      </c>
      <c r="I13">
        <v>850000000</v>
      </c>
      <c r="J13">
        <v>13650000000</v>
      </c>
      <c r="K13">
        <v>4600</v>
      </c>
      <c r="L13">
        <v>9</v>
      </c>
      <c r="M13">
        <v>0.1</v>
      </c>
      <c r="N13">
        <v>200</v>
      </c>
      <c r="O13">
        <v>2600</v>
      </c>
      <c r="P13">
        <v>8431</v>
      </c>
      <c r="Q13">
        <v>1300000000</v>
      </c>
      <c r="R13">
        <v>15</v>
      </c>
      <c r="S13">
        <v>23.28</v>
      </c>
      <c r="T13">
        <v>3.5</v>
      </c>
      <c r="U13">
        <v>2206</v>
      </c>
      <c r="V13">
        <v>150000</v>
      </c>
      <c r="W13">
        <v>19.8</v>
      </c>
      <c r="X13">
        <v>1400000</v>
      </c>
      <c r="Y13">
        <v>71.55</v>
      </c>
      <c r="Z13">
        <v>135000000</v>
      </c>
      <c r="AA13">
        <v>6.5</v>
      </c>
      <c r="AB13">
        <v>1400000000</v>
      </c>
      <c r="AC13">
        <v>0</v>
      </c>
      <c r="AD13">
        <v>1400000000</v>
      </c>
      <c r="AE13">
        <v>0</v>
      </c>
      <c r="AG13">
        <v>5700</v>
      </c>
      <c r="AJ13">
        <v>0</v>
      </c>
      <c r="AL13">
        <v>2982904</v>
      </c>
      <c r="AN13">
        <v>845</v>
      </c>
      <c r="AO13">
        <v>555000000</v>
      </c>
      <c r="AP13">
        <v>562600</v>
      </c>
      <c r="AQ13">
        <v>114400</v>
      </c>
      <c r="AR13">
        <v>1.32</v>
      </c>
      <c r="AS13">
        <v>30</v>
      </c>
    </row>
    <row r="14" spans="1:45" x14ac:dyDescent="0.3">
      <c r="A14" t="s">
        <v>57</v>
      </c>
      <c r="B14">
        <v>193</v>
      </c>
      <c r="C14">
        <v>11.26</v>
      </c>
      <c r="E14">
        <v>6.57</v>
      </c>
      <c r="F14">
        <v>285000000</v>
      </c>
      <c r="G14">
        <v>751200000</v>
      </c>
      <c r="H14">
        <v>807700000</v>
      </c>
      <c r="I14">
        <v>128000000</v>
      </c>
      <c r="J14">
        <v>1940000000</v>
      </c>
      <c r="K14">
        <v>28000</v>
      </c>
      <c r="L14">
        <v>-1.5</v>
      </c>
      <c r="P14">
        <v>800</v>
      </c>
      <c r="Q14">
        <v>841000000</v>
      </c>
      <c r="S14">
        <v>5.89</v>
      </c>
      <c r="T14">
        <v>3.2</v>
      </c>
      <c r="U14">
        <v>923</v>
      </c>
      <c r="V14">
        <v>24000</v>
      </c>
      <c r="X14">
        <v>41500</v>
      </c>
      <c r="Y14">
        <v>79.14</v>
      </c>
      <c r="AG14">
        <v>6500</v>
      </c>
      <c r="AJ14">
        <v>0</v>
      </c>
      <c r="AL14">
        <v>71566</v>
      </c>
      <c r="AP14">
        <v>37100</v>
      </c>
      <c r="AQ14">
        <v>53000</v>
      </c>
      <c r="AR14">
        <v>1.79</v>
      </c>
      <c r="AS14">
        <v>0.6</v>
      </c>
    </row>
    <row r="15" spans="1:45" x14ac:dyDescent="0.3">
      <c r="A15" t="s">
        <v>58</v>
      </c>
      <c r="B15">
        <v>5</v>
      </c>
    </row>
    <row r="16" spans="1:45" x14ac:dyDescent="0.3">
      <c r="A16" t="s">
        <v>59</v>
      </c>
      <c r="B16">
        <v>7686850</v>
      </c>
      <c r="C16">
        <v>12.26</v>
      </c>
      <c r="D16">
        <v>-38300000000</v>
      </c>
      <c r="E16">
        <v>7.44</v>
      </c>
      <c r="F16">
        <v>308700000000</v>
      </c>
      <c r="G16">
        <v>195600000000</v>
      </c>
      <c r="H16">
        <v>210300000000</v>
      </c>
      <c r="I16">
        <v>86890000000</v>
      </c>
      <c r="J16">
        <v>611700000000</v>
      </c>
      <c r="K16">
        <v>30700</v>
      </c>
      <c r="L16">
        <v>3.5</v>
      </c>
      <c r="M16">
        <v>0.1</v>
      </c>
      <c r="O16">
        <v>14000</v>
      </c>
      <c r="P16">
        <v>811603</v>
      </c>
      <c r="Q16">
        <v>98100000000</v>
      </c>
      <c r="R16">
        <v>1.9</v>
      </c>
      <c r="S16">
        <v>4.6900000000000004</v>
      </c>
      <c r="T16">
        <v>2.2999999999999998</v>
      </c>
      <c r="U16">
        <v>2847763</v>
      </c>
      <c r="V16">
        <v>9472000</v>
      </c>
      <c r="W16">
        <v>25.3</v>
      </c>
      <c r="X16">
        <v>10350000</v>
      </c>
      <c r="Y16">
        <v>80.39</v>
      </c>
      <c r="Z16">
        <v>1665000000</v>
      </c>
      <c r="AA16">
        <v>2.7</v>
      </c>
      <c r="AB16">
        <v>23330000000</v>
      </c>
      <c r="AC16">
        <v>9744000000</v>
      </c>
      <c r="AD16">
        <v>0</v>
      </c>
      <c r="AE16">
        <v>33080000000</v>
      </c>
      <c r="AF16">
        <v>2407000000000</v>
      </c>
      <c r="AG16">
        <v>796500</v>
      </c>
      <c r="AH16">
        <v>523400</v>
      </c>
      <c r="AI16">
        <v>530800</v>
      </c>
      <c r="AJ16">
        <v>537500</v>
      </c>
      <c r="AK16">
        <v>3664000000</v>
      </c>
      <c r="AL16">
        <v>20090437</v>
      </c>
      <c r="AM16">
        <v>17.399999999999999</v>
      </c>
      <c r="AN16">
        <v>43802</v>
      </c>
      <c r="AO16">
        <v>35140000000</v>
      </c>
      <c r="AP16">
        <v>10815000</v>
      </c>
      <c r="AQ16">
        <v>14347000</v>
      </c>
      <c r="AR16">
        <v>1.76</v>
      </c>
      <c r="AS16">
        <v>5.0999999999999996</v>
      </c>
    </row>
    <row r="17" spans="1:45" x14ac:dyDescent="0.3">
      <c r="A17" t="s">
        <v>60</v>
      </c>
      <c r="B17">
        <v>83870</v>
      </c>
      <c r="C17">
        <v>8.81</v>
      </c>
      <c r="D17">
        <v>-3283000000</v>
      </c>
      <c r="E17">
        <v>9.6999999999999993</v>
      </c>
      <c r="F17">
        <v>15500000000</v>
      </c>
      <c r="G17">
        <v>55090000000</v>
      </c>
      <c r="H17">
        <v>58490000000</v>
      </c>
      <c r="I17">
        <v>102700000000</v>
      </c>
      <c r="J17">
        <v>255900000000</v>
      </c>
      <c r="K17">
        <v>31300</v>
      </c>
      <c r="L17">
        <v>1.9</v>
      </c>
      <c r="M17">
        <v>0.3</v>
      </c>
      <c r="N17">
        <v>100</v>
      </c>
      <c r="O17">
        <v>10000</v>
      </c>
      <c r="P17">
        <v>200000</v>
      </c>
      <c r="Q17">
        <v>101200000000</v>
      </c>
      <c r="R17">
        <v>3.3</v>
      </c>
      <c r="S17">
        <v>4.66</v>
      </c>
      <c r="T17">
        <v>1.8</v>
      </c>
      <c r="U17">
        <v>387006</v>
      </c>
      <c r="V17">
        <v>3730000</v>
      </c>
      <c r="W17">
        <v>22.6</v>
      </c>
      <c r="X17">
        <v>3450000</v>
      </c>
      <c r="Y17">
        <v>78.92</v>
      </c>
      <c r="Z17">
        <v>1497000000</v>
      </c>
      <c r="AA17">
        <v>0.9</v>
      </c>
      <c r="AB17">
        <v>7810000000</v>
      </c>
      <c r="AC17">
        <v>403000000</v>
      </c>
      <c r="AD17">
        <v>6033000000</v>
      </c>
      <c r="AE17">
        <v>1731000000</v>
      </c>
      <c r="AF17">
        <v>24900000000</v>
      </c>
      <c r="AG17">
        <v>262400</v>
      </c>
      <c r="AH17">
        <v>35470</v>
      </c>
      <c r="AI17">
        <v>262000</v>
      </c>
      <c r="AJ17">
        <v>20670</v>
      </c>
      <c r="AK17">
        <v>85690000</v>
      </c>
      <c r="AL17">
        <v>8184691</v>
      </c>
      <c r="AM17">
        <v>64.2</v>
      </c>
      <c r="AN17">
        <v>6021</v>
      </c>
      <c r="AO17">
        <v>12730000000</v>
      </c>
      <c r="AP17">
        <v>3881000</v>
      </c>
      <c r="AQ17">
        <v>7094500</v>
      </c>
      <c r="AR17">
        <v>1.36</v>
      </c>
      <c r="AS17">
        <v>4.4000000000000004</v>
      </c>
    </row>
    <row r="18" spans="1:45" x14ac:dyDescent="0.3">
      <c r="A18" t="s">
        <v>61</v>
      </c>
      <c r="B18">
        <v>86600</v>
      </c>
      <c r="C18">
        <v>20.399999999999999</v>
      </c>
      <c r="D18">
        <v>-2899000000</v>
      </c>
      <c r="E18">
        <v>9.86</v>
      </c>
      <c r="F18">
        <v>1832000000</v>
      </c>
      <c r="G18">
        <v>17370000000</v>
      </c>
      <c r="H18">
        <v>17550000000</v>
      </c>
      <c r="I18">
        <v>3168000000</v>
      </c>
      <c r="J18">
        <v>30010000000</v>
      </c>
      <c r="K18">
        <v>3800</v>
      </c>
      <c r="L18">
        <v>9.8000000000000007</v>
      </c>
      <c r="M18">
        <v>0.1</v>
      </c>
      <c r="N18">
        <v>100</v>
      </c>
      <c r="O18">
        <v>1400</v>
      </c>
      <c r="P18">
        <v>28030</v>
      </c>
      <c r="Q18">
        <v>3622000000</v>
      </c>
      <c r="R18">
        <v>4</v>
      </c>
      <c r="S18">
        <v>81.739999999999995</v>
      </c>
      <c r="T18">
        <v>4.5999999999999996</v>
      </c>
      <c r="U18">
        <v>586</v>
      </c>
      <c r="V18">
        <v>300000</v>
      </c>
      <c r="W18">
        <v>65.099999999999994</v>
      </c>
      <c r="X18">
        <v>5090000</v>
      </c>
      <c r="Y18">
        <v>63.35</v>
      </c>
      <c r="Z18">
        <v>121000000</v>
      </c>
      <c r="AA18">
        <v>2.6</v>
      </c>
      <c r="AB18">
        <v>6720000000</v>
      </c>
      <c r="AC18">
        <v>0</v>
      </c>
      <c r="AD18">
        <v>1000000000</v>
      </c>
      <c r="AE18">
        <v>5720000000</v>
      </c>
      <c r="AF18">
        <v>62300000000</v>
      </c>
      <c r="AG18">
        <v>140000</v>
      </c>
      <c r="AJ18">
        <v>312800</v>
      </c>
      <c r="AK18">
        <v>589000000</v>
      </c>
      <c r="AL18">
        <v>7911974</v>
      </c>
      <c r="AM18">
        <v>18.899999999999999</v>
      </c>
      <c r="AN18">
        <v>2957</v>
      </c>
      <c r="AO18">
        <v>875000000</v>
      </c>
      <c r="AP18">
        <v>923800</v>
      </c>
      <c r="AQ18">
        <v>870000</v>
      </c>
      <c r="AR18">
        <v>2.44</v>
      </c>
      <c r="AS18">
        <v>1.2</v>
      </c>
    </row>
    <row r="19" spans="1:45" x14ac:dyDescent="0.3">
      <c r="A19" t="s">
        <v>62</v>
      </c>
      <c r="B19">
        <v>13940</v>
      </c>
      <c r="C19">
        <v>17.87</v>
      </c>
      <c r="E19">
        <v>8.9700000000000006</v>
      </c>
      <c r="F19">
        <v>308500000</v>
      </c>
      <c r="G19">
        <v>1596000000</v>
      </c>
      <c r="H19">
        <v>1716000000</v>
      </c>
      <c r="I19">
        <v>636000000</v>
      </c>
      <c r="J19">
        <v>5295000000</v>
      </c>
      <c r="K19">
        <v>17700</v>
      </c>
      <c r="L19">
        <v>3</v>
      </c>
      <c r="M19">
        <v>3</v>
      </c>
      <c r="N19">
        <v>200</v>
      </c>
      <c r="O19">
        <v>5600</v>
      </c>
      <c r="P19">
        <v>2693</v>
      </c>
      <c r="Q19">
        <v>1630000000</v>
      </c>
      <c r="S19">
        <v>25.21</v>
      </c>
      <c r="T19">
        <v>1.2</v>
      </c>
      <c r="U19">
        <v>302</v>
      </c>
      <c r="V19">
        <v>84000</v>
      </c>
      <c r="X19">
        <v>156000</v>
      </c>
      <c r="Y19">
        <v>65.540000000000006</v>
      </c>
      <c r="AG19">
        <v>23000</v>
      </c>
      <c r="AH19">
        <v>29000</v>
      </c>
      <c r="AJ19">
        <v>0</v>
      </c>
      <c r="AL19">
        <v>301790</v>
      </c>
      <c r="AP19">
        <v>131700</v>
      </c>
      <c r="AQ19">
        <v>121800</v>
      </c>
      <c r="AR19">
        <v>2.2000000000000002</v>
      </c>
      <c r="AS19">
        <v>10.199999999999999</v>
      </c>
    </row>
    <row r="20" spans="1:45" x14ac:dyDescent="0.3">
      <c r="A20" t="s">
        <v>63</v>
      </c>
      <c r="B20">
        <v>665</v>
      </c>
      <c r="C20">
        <v>18.100000000000001</v>
      </c>
      <c r="D20">
        <v>586100000</v>
      </c>
      <c r="E20">
        <v>4.08</v>
      </c>
      <c r="F20">
        <v>6215000000</v>
      </c>
      <c r="G20">
        <v>6379000000</v>
      </c>
      <c r="H20">
        <v>6860000000</v>
      </c>
      <c r="I20">
        <v>8205000000</v>
      </c>
      <c r="J20">
        <v>13010000000</v>
      </c>
      <c r="K20">
        <v>19200</v>
      </c>
      <c r="L20">
        <v>5.6</v>
      </c>
      <c r="M20">
        <v>0.2</v>
      </c>
      <c r="N20">
        <v>200</v>
      </c>
      <c r="O20">
        <v>600</v>
      </c>
      <c r="P20">
        <v>3459</v>
      </c>
      <c r="Q20">
        <v>5870000000</v>
      </c>
      <c r="R20">
        <v>2</v>
      </c>
      <c r="S20">
        <v>17.27</v>
      </c>
      <c r="T20">
        <v>2.1</v>
      </c>
      <c r="U20">
        <v>1334</v>
      </c>
      <c r="V20">
        <v>195700</v>
      </c>
      <c r="W20">
        <v>12.8</v>
      </c>
      <c r="X20">
        <v>370000</v>
      </c>
      <c r="Y20">
        <v>74.23</v>
      </c>
      <c r="Z20">
        <v>628900000</v>
      </c>
      <c r="AA20">
        <v>6.3</v>
      </c>
      <c r="AB20">
        <v>32700000000</v>
      </c>
      <c r="AC20">
        <v>0</v>
      </c>
      <c r="AD20">
        <v>0</v>
      </c>
      <c r="AE20">
        <v>32700000000</v>
      </c>
      <c r="AF20">
        <v>46000000000</v>
      </c>
      <c r="AG20">
        <v>40000</v>
      </c>
      <c r="AJ20">
        <v>44000</v>
      </c>
      <c r="AK20">
        <v>126000000</v>
      </c>
      <c r="AL20">
        <v>688345</v>
      </c>
      <c r="AM20">
        <v>63.8</v>
      </c>
      <c r="AO20">
        <v>2141000000</v>
      </c>
      <c r="AP20">
        <v>185800</v>
      </c>
      <c r="AQ20">
        <v>443100</v>
      </c>
      <c r="AR20">
        <v>2.63</v>
      </c>
      <c r="AS20">
        <v>15</v>
      </c>
    </row>
    <row r="21" spans="1:45" x14ac:dyDescent="0.3">
      <c r="A21" t="s">
        <v>64</v>
      </c>
      <c r="B21">
        <v>1</v>
      </c>
    </row>
    <row r="22" spans="1:45" x14ac:dyDescent="0.3">
      <c r="A22" t="s">
        <v>65</v>
      </c>
      <c r="B22">
        <v>144000</v>
      </c>
      <c r="C22">
        <v>30.01</v>
      </c>
      <c r="D22">
        <v>216600000</v>
      </c>
      <c r="E22">
        <v>8.4</v>
      </c>
      <c r="F22">
        <v>19970000000</v>
      </c>
      <c r="G22">
        <v>15300000000</v>
      </c>
      <c r="H22">
        <v>16450000000</v>
      </c>
      <c r="I22">
        <v>7478000000</v>
      </c>
      <c r="J22">
        <v>275700000000</v>
      </c>
      <c r="K22">
        <v>2000</v>
      </c>
      <c r="L22">
        <v>4.9000000000000004</v>
      </c>
      <c r="M22">
        <v>0.1</v>
      </c>
      <c r="N22">
        <v>650</v>
      </c>
      <c r="O22">
        <v>13000</v>
      </c>
      <c r="P22">
        <v>207486</v>
      </c>
      <c r="Q22">
        <v>10030000000</v>
      </c>
      <c r="R22">
        <v>6.5</v>
      </c>
      <c r="S22">
        <v>62.6</v>
      </c>
      <c r="T22">
        <v>6</v>
      </c>
      <c r="U22">
        <v>1</v>
      </c>
      <c r="V22">
        <v>243000</v>
      </c>
      <c r="W22">
        <v>23.5</v>
      </c>
      <c r="X22">
        <v>65490000</v>
      </c>
      <c r="Y22">
        <v>62.08</v>
      </c>
      <c r="Z22">
        <v>995300000</v>
      </c>
      <c r="AA22">
        <v>1.8</v>
      </c>
      <c r="AB22">
        <v>9900000000</v>
      </c>
      <c r="AC22">
        <v>0</v>
      </c>
      <c r="AD22">
        <v>0</v>
      </c>
      <c r="AE22">
        <v>9900000000</v>
      </c>
      <c r="AF22">
        <v>150300000000</v>
      </c>
      <c r="AG22">
        <v>71000</v>
      </c>
      <c r="AJ22">
        <v>3581</v>
      </c>
      <c r="AK22">
        <v>28450000</v>
      </c>
      <c r="AL22">
        <v>144319628</v>
      </c>
      <c r="AM22">
        <v>43</v>
      </c>
      <c r="AN22">
        <v>2706</v>
      </c>
      <c r="AO22">
        <v>3000000000</v>
      </c>
      <c r="AP22">
        <v>740000</v>
      </c>
      <c r="AQ22">
        <v>1365000</v>
      </c>
      <c r="AR22">
        <v>3.13</v>
      </c>
      <c r="AS22">
        <v>40</v>
      </c>
    </row>
    <row r="23" spans="1:45" x14ac:dyDescent="0.3">
      <c r="A23" t="s">
        <v>66</v>
      </c>
      <c r="B23">
        <v>431</v>
      </c>
      <c r="C23">
        <v>12.83</v>
      </c>
      <c r="E23">
        <v>9.17</v>
      </c>
      <c r="F23">
        <v>668000000</v>
      </c>
      <c r="G23">
        <v>744000000</v>
      </c>
      <c r="H23">
        <v>800000000</v>
      </c>
      <c r="I23">
        <v>206000000</v>
      </c>
      <c r="J23">
        <v>4569000000</v>
      </c>
      <c r="K23">
        <v>16400</v>
      </c>
      <c r="L23">
        <v>2.2999999999999998</v>
      </c>
      <c r="M23">
        <v>1.5</v>
      </c>
      <c r="N23">
        <v>200</v>
      </c>
      <c r="O23">
        <v>2500</v>
      </c>
      <c r="P23">
        <v>1600</v>
      </c>
      <c r="Q23">
        <v>1039000000</v>
      </c>
      <c r="R23">
        <v>-3.2</v>
      </c>
      <c r="S23">
        <v>12.5</v>
      </c>
      <c r="T23">
        <v>-0.5</v>
      </c>
      <c r="U23">
        <v>204</v>
      </c>
      <c r="V23">
        <v>100000</v>
      </c>
      <c r="X23">
        <v>128500</v>
      </c>
      <c r="Y23">
        <v>71.41</v>
      </c>
      <c r="AB23">
        <v>29170000</v>
      </c>
      <c r="AC23">
        <v>0</v>
      </c>
      <c r="AD23">
        <v>0</v>
      </c>
      <c r="AE23">
        <v>29170000</v>
      </c>
      <c r="AF23">
        <v>70790000</v>
      </c>
      <c r="AG23">
        <v>10900</v>
      </c>
      <c r="AJ23">
        <v>1271</v>
      </c>
      <c r="AK23">
        <v>1254000</v>
      </c>
      <c r="AL23">
        <v>279254</v>
      </c>
      <c r="AP23">
        <v>134000</v>
      </c>
      <c r="AQ23">
        <v>140000</v>
      </c>
      <c r="AR23">
        <v>1.65</v>
      </c>
      <c r="AS23">
        <v>10.7</v>
      </c>
    </row>
    <row r="24" spans="1:45" x14ac:dyDescent="0.3">
      <c r="A24" t="s">
        <v>67</v>
      </c>
      <c r="B24">
        <v>0</v>
      </c>
    </row>
    <row r="25" spans="1:45" x14ac:dyDescent="0.3">
      <c r="A25" t="s">
        <v>68</v>
      </c>
      <c r="B25">
        <v>207600</v>
      </c>
      <c r="C25">
        <v>10.83</v>
      </c>
      <c r="D25">
        <v>-1119000000</v>
      </c>
      <c r="E25">
        <v>14.15</v>
      </c>
      <c r="F25">
        <v>600000000</v>
      </c>
      <c r="G25">
        <v>34300000000</v>
      </c>
      <c r="H25">
        <v>30000000000</v>
      </c>
      <c r="I25">
        <v>11470000000</v>
      </c>
      <c r="J25">
        <v>70500000000</v>
      </c>
      <c r="K25">
        <v>6800</v>
      </c>
      <c r="L25">
        <v>6.4</v>
      </c>
      <c r="M25">
        <v>0.3</v>
      </c>
      <c r="N25">
        <v>1000</v>
      </c>
      <c r="O25">
        <v>15000</v>
      </c>
      <c r="P25">
        <v>79990</v>
      </c>
      <c r="Q25">
        <v>13570000000</v>
      </c>
      <c r="R25">
        <v>4</v>
      </c>
      <c r="S25">
        <v>13.37</v>
      </c>
      <c r="T25">
        <v>17.399999999999999</v>
      </c>
      <c r="U25">
        <v>5308</v>
      </c>
      <c r="V25">
        <v>1391900</v>
      </c>
      <c r="W25">
        <v>21.8</v>
      </c>
      <c r="X25">
        <v>4305000</v>
      </c>
      <c r="Y25">
        <v>68.72</v>
      </c>
      <c r="Z25">
        <v>176100000</v>
      </c>
      <c r="AA25">
        <v>1.4</v>
      </c>
      <c r="AB25">
        <v>18800000000</v>
      </c>
      <c r="AC25">
        <v>0</v>
      </c>
      <c r="AD25">
        <v>18500000000</v>
      </c>
      <c r="AE25">
        <v>250000000</v>
      </c>
      <c r="AG25">
        <v>285000</v>
      </c>
      <c r="AH25">
        <v>14500</v>
      </c>
      <c r="AI25">
        <v>360000</v>
      </c>
      <c r="AJ25">
        <v>36000</v>
      </c>
      <c r="AL25">
        <v>10300483</v>
      </c>
      <c r="AN25">
        <v>5523</v>
      </c>
      <c r="AO25">
        <v>770200000</v>
      </c>
      <c r="AP25">
        <v>3071300</v>
      </c>
      <c r="AQ25">
        <v>1118000</v>
      </c>
      <c r="AR25">
        <v>1.39</v>
      </c>
      <c r="AS25">
        <v>2</v>
      </c>
    </row>
    <row r="26" spans="1:45" x14ac:dyDescent="0.3">
      <c r="A26" t="s">
        <v>69</v>
      </c>
      <c r="B26">
        <v>30528</v>
      </c>
      <c r="C26">
        <v>10.48</v>
      </c>
      <c r="D26">
        <v>11400000000</v>
      </c>
      <c r="E26">
        <v>10.220000000000001</v>
      </c>
      <c r="F26">
        <v>28300000000</v>
      </c>
      <c r="G26">
        <v>78820000000</v>
      </c>
      <c r="H26">
        <v>76580000000</v>
      </c>
      <c r="I26">
        <v>255700000000</v>
      </c>
      <c r="J26">
        <v>316200000000</v>
      </c>
      <c r="K26">
        <v>30600</v>
      </c>
      <c r="L26">
        <v>2.6</v>
      </c>
      <c r="M26">
        <v>0.2</v>
      </c>
      <c r="N26">
        <v>100</v>
      </c>
      <c r="O26">
        <v>10000</v>
      </c>
      <c r="P26">
        <v>149028</v>
      </c>
      <c r="Q26">
        <v>235000000000</v>
      </c>
      <c r="R26">
        <v>3.5</v>
      </c>
      <c r="S26">
        <v>4.68</v>
      </c>
      <c r="T26">
        <v>1.9</v>
      </c>
      <c r="U26">
        <v>166799</v>
      </c>
      <c r="V26">
        <v>3400000</v>
      </c>
      <c r="W26">
        <v>19.100000000000001</v>
      </c>
      <c r="X26">
        <v>4750000</v>
      </c>
      <c r="Y26">
        <v>78.62</v>
      </c>
      <c r="Z26">
        <v>3999000000</v>
      </c>
      <c r="AA26">
        <v>1.3</v>
      </c>
      <c r="AB26">
        <v>15500000000</v>
      </c>
      <c r="AC26">
        <v>0</v>
      </c>
      <c r="AD26">
        <v>15400000000</v>
      </c>
      <c r="AE26">
        <v>0</v>
      </c>
      <c r="AG26">
        <v>595100</v>
      </c>
      <c r="AH26">
        <v>450000</v>
      </c>
      <c r="AI26">
        <v>1042000</v>
      </c>
      <c r="AJ26">
        <v>0</v>
      </c>
      <c r="AL26">
        <v>10364388</v>
      </c>
      <c r="AM26">
        <v>96.2</v>
      </c>
      <c r="AN26">
        <v>3518</v>
      </c>
      <c r="AO26">
        <v>14450000000</v>
      </c>
      <c r="AP26">
        <v>5120400</v>
      </c>
      <c r="AQ26">
        <v>8135500</v>
      </c>
      <c r="AR26">
        <v>1.64</v>
      </c>
      <c r="AS26">
        <v>12</v>
      </c>
    </row>
    <row r="27" spans="1:45" x14ac:dyDescent="0.3">
      <c r="A27" t="s">
        <v>70</v>
      </c>
      <c r="B27">
        <v>22966</v>
      </c>
      <c r="C27">
        <v>29.34</v>
      </c>
      <c r="D27">
        <v>-115000000</v>
      </c>
      <c r="E27">
        <v>6.04</v>
      </c>
      <c r="F27">
        <v>1362000000</v>
      </c>
      <c r="G27">
        <v>108800000</v>
      </c>
      <c r="H27">
        <v>117000000</v>
      </c>
      <c r="I27">
        <v>401400000</v>
      </c>
      <c r="J27">
        <v>1778000000</v>
      </c>
      <c r="K27">
        <v>6500</v>
      </c>
      <c r="L27">
        <v>3.5</v>
      </c>
      <c r="M27">
        <v>2.4</v>
      </c>
      <c r="O27">
        <v>3600</v>
      </c>
      <c r="P27">
        <v>2872</v>
      </c>
      <c r="Q27">
        <v>579900000</v>
      </c>
      <c r="R27">
        <v>4.5999999999999996</v>
      </c>
      <c r="S27">
        <v>25.69</v>
      </c>
      <c r="T27">
        <v>2.9</v>
      </c>
      <c r="U27">
        <v>2613</v>
      </c>
      <c r="V27">
        <v>30000</v>
      </c>
      <c r="W27">
        <v>33.6</v>
      </c>
      <c r="X27">
        <v>90000</v>
      </c>
      <c r="Y27">
        <v>67.489999999999995</v>
      </c>
      <c r="Z27">
        <v>18000000</v>
      </c>
      <c r="AA27">
        <v>2</v>
      </c>
      <c r="AG27">
        <v>5000</v>
      </c>
      <c r="AJ27">
        <v>0</v>
      </c>
      <c r="AL27">
        <v>279457</v>
      </c>
      <c r="AO27">
        <v>111100000</v>
      </c>
      <c r="AP27">
        <v>33300</v>
      </c>
      <c r="AQ27">
        <v>60400</v>
      </c>
      <c r="AR27">
        <v>3.68</v>
      </c>
      <c r="AS27">
        <v>12.9</v>
      </c>
    </row>
    <row r="28" spans="1:45" x14ac:dyDescent="0.3">
      <c r="A28" t="s">
        <v>71</v>
      </c>
      <c r="B28">
        <v>112620</v>
      </c>
      <c r="C28">
        <v>41.99</v>
      </c>
      <c r="D28">
        <v>-159900000</v>
      </c>
      <c r="E28">
        <v>13.76</v>
      </c>
      <c r="F28">
        <v>1600000000</v>
      </c>
      <c r="G28">
        <v>565200000</v>
      </c>
      <c r="H28">
        <v>285200000</v>
      </c>
      <c r="I28">
        <v>720900000</v>
      </c>
      <c r="J28">
        <v>8338000000</v>
      </c>
      <c r="K28">
        <v>1200</v>
      </c>
      <c r="L28">
        <v>5</v>
      </c>
      <c r="M28">
        <v>1.9</v>
      </c>
      <c r="N28">
        <v>5800</v>
      </c>
      <c r="O28">
        <v>68000</v>
      </c>
      <c r="P28">
        <v>6787</v>
      </c>
      <c r="Q28">
        <v>934500000</v>
      </c>
      <c r="R28">
        <v>8.3000000000000007</v>
      </c>
      <c r="S28">
        <v>85</v>
      </c>
      <c r="T28">
        <v>2.8</v>
      </c>
      <c r="U28">
        <v>879</v>
      </c>
      <c r="V28">
        <v>70000</v>
      </c>
      <c r="W28">
        <v>19.3</v>
      </c>
      <c r="Y28">
        <v>50.51</v>
      </c>
      <c r="Z28">
        <v>96500000</v>
      </c>
      <c r="AA28">
        <v>2.4</v>
      </c>
      <c r="AF28">
        <v>608800000</v>
      </c>
      <c r="AG28">
        <v>11500</v>
      </c>
      <c r="AJ28">
        <v>700</v>
      </c>
      <c r="AK28">
        <v>4105000</v>
      </c>
      <c r="AL28">
        <v>7460025</v>
      </c>
      <c r="AN28">
        <v>578</v>
      </c>
      <c r="AO28">
        <v>839300000</v>
      </c>
      <c r="AP28">
        <v>66500</v>
      </c>
      <c r="AQ28">
        <v>236200</v>
      </c>
      <c r="AR28">
        <v>5.86</v>
      </c>
    </row>
    <row r="29" spans="1:45" x14ac:dyDescent="0.3">
      <c r="A29" t="s">
        <v>72</v>
      </c>
      <c r="B29">
        <v>53</v>
      </c>
      <c r="C29">
        <v>11.6</v>
      </c>
      <c r="E29">
        <v>7.63</v>
      </c>
      <c r="F29">
        <v>160000000</v>
      </c>
      <c r="G29">
        <v>598000000</v>
      </c>
      <c r="H29">
        <v>643000000</v>
      </c>
      <c r="I29">
        <v>879000000</v>
      </c>
      <c r="J29">
        <v>2330000000</v>
      </c>
      <c r="K29">
        <v>36000</v>
      </c>
      <c r="L29">
        <v>2</v>
      </c>
      <c r="P29">
        <v>450</v>
      </c>
      <c r="Q29">
        <v>5523000000</v>
      </c>
      <c r="S29">
        <v>8.5299999999999994</v>
      </c>
      <c r="T29">
        <v>3.3</v>
      </c>
      <c r="U29">
        <v>5161</v>
      </c>
      <c r="V29">
        <v>34500</v>
      </c>
      <c r="X29">
        <v>37470</v>
      </c>
      <c r="Y29">
        <v>77.790000000000006</v>
      </c>
      <c r="Z29">
        <v>4030000</v>
      </c>
      <c r="AA29">
        <v>0.11</v>
      </c>
      <c r="AG29">
        <v>4000</v>
      </c>
      <c r="AJ29">
        <v>0</v>
      </c>
      <c r="AL29">
        <v>65365</v>
      </c>
      <c r="AP29">
        <v>56000</v>
      </c>
      <c r="AQ29">
        <v>37873</v>
      </c>
      <c r="AR29">
        <v>1.89</v>
      </c>
      <c r="AS29">
        <v>5</v>
      </c>
    </row>
    <row r="30" spans="1:45" x14ac:dyDescent="0.3">
      <c r="A30" t="s">
        <v>73</v>
      </c>
      <c r="B30">
        <v>47000</v>
      </c>
      <c r="C30">
        <v>34.03</v>
      </c>
      <c r="E30">
        <v>12.94</v>
      </c>
      <c r="F30">
        <v>245000000</v>
      </c>
      <c r="G30">
        <v>312900000</v>
      </c>
      <c r="H30">
        <v>2001000000</v>
      </c>
      <c r="I30">
        <v>154000000</v>
      </c>
      <c r="J30">
        <v>2900000000</v>
      </c>
      <c r="K30">
        <v>1400</v>
      </c>
      <c r="L30">
        <v>5.3</v>
      </c>
      <c r="M30">
        <v>0.1</v>
      </c>
      <c r="O30">
        <v>100</v>
      </c>
      <c r="P30">
        <v>4007</v>
      </c>
      <c r="Q30">
        <v>196000000</v>
      </c>
      <c r="R30">
        <v>9.3000000000000007</v>
      </c>
      <c r="S30">
        <v>100.44</v>
      </c>
      <c r="T30">
        <v>3</v>
      </c>
      <c r="U30">
        <v>985</v>
      </c>
      <c r="V30">
        <v>15000</v>
      </c>
      <c r="Y30">
        <v>54.39</v>
      </c>
      <c r="Z30">
        <v>13700000</v>
      </c>
      <c r="AA30">
        <v>1.8</v>
      </c>
      <c r="AG30">
        <v>1020</v>
      </c>
      <c r="AJ30">
        <v>0</v>
      </c>
      <c r="AL30">
        <v>2232291</v>
      </c>
      <c r="AP30">
        <v>25200</v>
      </c>
      <c r="AQ30">
        <v>22000</v>
      </c>
      <c r="AR30">
        <v>4.8099999999999996</v>
      </c>
    </row>
    <row r="31" spans="1:45" x14ac:dyDescent="0.3">
      <c r="A31" t="s">
        <v>74</v>
      </c>
      <c r="B31">
        <v>1098580</v>
      </c>
      <c r="C31">
        <v>23.76</v>
      </c>
      <c r="D31">
        <v>273000000</v>
      </c>
      <c r="E31">
        <v>7.64</v>
      </c>
      <c r="F31">
        <v>5439000000</v>
      </c>
      <c r="G31">
        <v>3848000000</v>
      </c>
      <c r="H31">
        <v>4132000000</v>
      </c>
      <c r="I31">
        <v>1986000000</v>
      </c>
      <c r="J31">
        <v>22330000000</v>
      </c>
      <c r="K31">
        <v>2600</v>
      </c>
      <c r="L31">
        <v>3.7</v>
      </c>
      <c r="M31">
        <v>0.1</v>
      </c>
      <c r="O31">
        <v>4900</v>
      </c>
      <c r="P31">
        <v>60282</v>
      </c>
      <c r="Q31">
        <v>1595000000</v>
      </c>
      <c r="R31">
        <v>5.7</v>
      </c>
      <c r="S31">
        <v>53.11</v>
      </c>
      <c r="T31">
        <v>4.9000000000000004</v>
      </c>
      <c r="U31">
        <v>7080</v>
      </c>
      <c r="V31">
        <v>270000</v>
      </c>
      <c r="W31">
        <v>10.4</v>
      </c>
      <c r="X31">
        <v>3800000</v>
      </c>
      <c r="Y31">
        <v>65.5</v>
      </c>
      <c r="Z31">
        <v>132200000</v>
      </c>
      <c r="AA31">
        <v>1.6</v>
      </c>
      <c r="AB31">
        <v>1150000000</v>
      </c>
      <c r="AC31">
        <v>2900000000</v>
      </c>
      <c r="AD31">
        <v>0</v>
      </c>
      <c r="AE31">
        <v>8440000000</v>
      </c>
      <c r="AF31">
        <v>727200000000</v>
      </c>
      <c r="AG31">
        <v>49000</v>
      </c>
      <c r="AJ31">
        <v>39000</v>
      </c>
      <c r="AK31">
        <v>458800000</v>
      </c>
      <c r="AL31">
        <v>8857870</v>
      </c>
      <c r="AN31">
        <v>3519</v>
      </c>
      <c r="AO31">
        <v>1214000000</v>
      </c>
      <c r="AP31">
        <v>600100</v>
      </c>
      <c r="AQ31">
        <v>1401500</v>
      </c>
      <c r="AR31">
        <v>2.94</v>
      </c>
      <c r="AS31">
        <v>9.1999999999999993</v>
      </c>
    </row>
    <row r="32" spans="1:45" x14ac:dyDescent="0.3">
      <c r="A32" t="s">
        <v>75</v>
      </c>
      <c r="B32">
        <v>51129</v>
      </c>
      <c r="C32">
        <v>12.49</v>
      </c>
      <c r="D32">
        <v>-2100000000</v>
      </c>
      <c r="E32">
        <v>8.44</v>
      </c>
      <c r="F32">
        <v>3000000000</v>
      </c>
      <c r="G32">
        <v>8318000000</v>
      </c>
      <c r="H32">
        <v>10040000000</v>
      </c>
      <c r="I32">
        <v>1700000000</v>
      </c>
      <c r="J32">
        <v>26210000000</v>
      </c>
      <c r="K32">
        <v>6500</v>
      </c>
      <c r="L32">
        <v>5</v>
      </c>
      <c r="M32">
        <v>0.1</v>
      </c>
      <c r="N32">
        <v>100</v>
      </c>
      <c r="O32">
        <v>900</v>
      </c>
      <c r="P32">
        <v>21846</v>
      </c>
      <c r="Q32">
        <v>5200000000</v>
      </c>
      <c r="R32">
        <v>5.5</v>
      </c>
      <c r="S32">
        <v>21.05</v>
      </c>
      <c r="T32">
        <v>1.1000000000000001</v>
      </c>
      <c r="U32">
        <v>6994</v>
      </c>
      <c r="V32">
        <v>100000</v>
      </c>
      <c r="X32">
        <v>1026000</v>
      </c>
      <c r="Y32">
        <v>72.849999999999994</v>
      </c>
      <c r="Z32">
        <v>234300000</v>
      </c>
      <c r="AA32">
        <v>4.5</v>
      </c>
      <c r="AB32">
        <v>300000000</v>
      </c>
      <c r="AC32">
        <v>0</v>
      </c>
      <c r="AD32">
        <v>300000000</v>
      </c>
      <c r="AE32">
        <v>0</v>
      </c>
      <c r="AG32">
        <v>20000</v>
      </c>
      <c r="AJ32">
        <v>0</v>
      </c>
      <c r="AL32">
        <v>4025476</v>
      </c>
      <c r="AN32">
        <v>1021</v>
      </c>
      <c r="AO32">
        <v>2000000000</v>
      </c>
      <c r="AP32">
        <v>938000</v>
      </c>
      <c r="AQ32">
        <v>1050000</v>
      </c>
      <c r="AR32">
        <v>1.71</v>
      </c>
      <c r="AS32">
        <v>44</v>
      </c>
    </row>
    <row r="33" spans="1:45" x14ac:dyDescent="0.3">
      <c r="A33" t="s">
        <v>76</v>
      </c>
      <c r="B33">
        <v>600370</v>
      </c>
      <c r="C33">
        <v>23.33</v>
      </c>
      <c r="D33">
        <v>337000000</v>
      </c>
      <c r="E33">
        <v>29.36</v>
      </c>
      <c r="F33">
        <v>531000000</v>
      </c>
      <c r="G33">
        <v>1890000000</v>
      </c>
      <c r="H33">
        <v>930000000</v>
      </c>
      <c r="I33">
        <v>2940000000</v>
      </c>
      <c r="J33">
        <v>15050000000</v>
      </c>
      <c r="K33">
        <v>9200</v>
      </c>
      <c r="L33">
        <v>3.5</v>
      </c>
      <c r="M33">
        <v>37.299999999999997</v>
      </c>
      <c r="N33">
        <v>33000</v>
      </c>
      <c r="O33">
        <v>350000</v>
      </c>
      <c r="P33">
        <v>10217</v>
      </c>
      <c r="Q33">
        <v>2255000000</v>
      </c>
      <c r="R33">
        <v>4.4000000000000004</v>
      </c>
      <c r="S33">
        <v>54.58</v>
      </c>
      <c r="T33">
        <v>7</v>
      </c>
      <c r="U33">
        <v>1920</v>
      </c>
      <c r="V33">
        <v>60000</v>
      </c>
      <c r="W33">
        <v>25.5</v>
      </c>
      <c r="X33">
        <v>264000</v>
      </c>
      <c r="Y33">
        <v>33.869999999999997</v>
      </c>
      <c r="Z33">
        <v>338500000</v>
      </c>
      <c r="AA33">
        <v>3.9</v>
      </c>
      <c r="AG33">
        <v>16000</v>
      </c>
      <c r="AJ33">
        <v>0</v>
      </c>
      <c r="AL33">
        <v>1640115</v>
      </c>
      <c r="AM33">
        <v>8.6</v>
      </c>
      <c r="AN33">
        <v>888</v>
      </c>
      <c r="AO33">
        <v>5700000000</v>
      </c>
      <c r="AP33">
        <v>142400</v>
      </c>
      <c r="AQ33">
        <v>435000</v>
      </c>
      <c r="AR33">
        <v>2.85</v>
      </c>
      <c r="AS33">
        <v>23.8</v>
      </c>
    </row>
    <row r="34" spans="1:45" x14ac:dyDescent="0.3">
      <c r="A34" t="s">
        <v>77</v>
      </c>
      <c r="B34">
        <v>59</v>
      </c>
    </row>
    <row r="35" spans="1:45" x14ac:dyDescent="0.3">
      <c r="A35" t="s">
        <v>78</v>
      </c>
      <c r="B35">
        <v>8511965</v>
      </c>
      <c r="C35">
        <v>16.829999999999998</v>
      </c>
      <c r="D35">
        <v>8000000000</v>
      </c>
      <c r="E35">
        <v>6.15</v>
      </c>
      <c r="F35">
        <v>219800000000</v>
      </c>
      <c r="G35">
        <v>351900000000</v>
      </c>
      <c r="H35">
        <v>339000000000</v>
      </c>
      <c r="I35">
        <v>95000000000</v>
      </c>
      <c r="J35">
        <v>1492000000000</v>
      </c>
      <c r="K35">
        <v>8100</v>
      </c>
      <c r="L35">
        <v>5.0999999999999996</v>
      </c>
      <c r="M35">
        <v>0.7</v>
      </c>
      <c r="N35">
        <v>15000</v>
      </c>
      <c r="O35">
        <v>660000</v>
      </c>
      <c r="P35">
        <v>1724929</v>
      </c>
      <c r="Q35">
        <v>61000000000</v>
      </c>
      <c r="R35">
        <v>6</v>
      </c>
      <c r="S35">
        <v>29.61</v>
      </c>
      <c r="T35">
        <v>7.6</v>
      </c>
      <c r="U35">
        <v>3163349</v>
      </c>
      <c r="V35">
        <v>14300000</v>
      </c>
      <c r="W35">
        <v>19.8</v>
      </c>
      <c r="X35">
        <v>89000000</v>
      </c>
      <c r="Y35">
        <v>71.69</v>
      </c>
      <c r="Z35">
        <v>11000000000</v>
      </c>
      <c r="AA35">
        <v>1.8</v>
      </c>
      <c r="AB35">
        <v>9590000000</v>
      </c>
      <c r="AC35">
        <v>0</v>
      </c>
      <c r="AD35">
        <v>3640000000</v>
      </c>
      <c r="AE35">
        <v>5950000000</v>
      </c>
      <c r="AF35">
        <v>221700000000</v>
      </c>
      <c r="AG35">
        <v>2199000</v>
      </c>
      <c r="AJ35">
        <v>1788000</v>
      </c>
      <c r="AK35">
        <v>13900000000</v>
      </c>
      <c r="AL35">
        <v>186112794</v>
      </c>
      <c r="AM35">
        <v>52</v>
      </c>
      <c r="AN35">
        <v>29412</v>
      </c>
      <c r="AO35">
        <v>52940000000</v>
      </c>
      <c r="AP35">
        <v>38810000</v>
      </c>
      <c r="AQ35">
        <v>46373300</v>
      </c>
      <c r="AR35">
        <v>1.93</v>
      </c>
      <c r="AS35">
        <v>11.5</v>
      </c>
    </row>
    <row r="36" spans="1:45" x14ac:dyDescent="0.3">
      <c r="A36" t="s">
        <v>79</v>
      </c>
      <c r="B36">
        <v>60</v>
      </c>
    </row>
    <row r="37" spans="1:45" x14ac:dyDescent="0.3">
      <c r="A37" t="s">
        <v>80</v>
      </c>
      <c r="B37">
        <v>153</v>
      </c>
      <c r="C37">
        <v>14.96</v>
      </c>
      <c r="E37">
        <v>4.42</v>
      </c>
      <c r="F37">
        <v>36100000</v>
      </c>
      <c r="G37">
        <v>33740000</v>
      </c>
      <c r="H37">
        <v>36280000</v>
      </c>
      <c r="I37">
        <v>25300000</v>
      </c>
      <c r="J37">
        <v>2498000000</v>
      </c>
      <c r="K37">
        <v>38500</v>
      </c>
      <c r="L37">
        <v>1</v>
      </c>
      <c r="P37">
        <v>177</v>
      </c>
      <c r="Q37">
        <v>187000000</v>
      </c>
      <c r="S37">
        <v>18.05</v>
      </c>
      <c r="T37">
        <v>2.5</v>
      </c>
      <c r="V37">
        <v>4000</v>
      </c>
      <c r="X37">
        <v>12770</v>
      </c>
      <c r="Y37">
        <v>76.27</v>
      </c>
      <c r="AG37">
        <v>420</v>
      </c>
      <c r="AJ37">
        <v>0</v>
      </c>
      <c r="AL37">
        <v>22643</v>
      </c>
      <c r="AP37">
        <v>11700</v>
      </c>
      <c r="AQ37">
        <v>8000</v>
      </c>
      <c r="AR37">
        <v>1.72</v>
      </c>
      <c r="AS37">
        <v>3</v>
      </c>
    </row>
    <row r="38" spans="1:45" x14ac:dyDescent="0.3">
      <c r="A38" t="s">
        <v>81</v>
      </c>
      <c r="B38">
        <v>5770</v>
      </c>
      <c r="C38">
        <v>19.010000000000002</v>
      </c>
      <c r="E38">
        <v>3.42</v>
      </c>
      <c r="F38">
        <v>0</v>
      </c>
      <c r="G38">
        <v>2286000000</v>
      </c>
      <c r="H38">
        <v>2458000000</v>
      </c>
      <c r="I38">
        <v>7700000000</v>
      </c>
      <c r="J38">
        <v>6842000000</v>
      </c>
      <c r="K38">
        <v>23600</v>
      </c>
      <c r="L38">
        <v>3.2</v>
      </c>
      <c r="M38">
        <v>0.1</v>
      </c>
      <c r="N38">
        <v>200</v>
      </c>
      <c r="O38">
        <v>200</v>
      </c>
      <c r="P38">
        <v>2525</v>
      </c>
      <c r="Q38">
        <v>5200000000</v>
      </c>
      <c r="R38">
        <v>5</v>
      </c>
      <c r="S38">
        <v>12.61</v>
      </c>
      <c r="T38">
        <v>0.3</v>
      </c>
      <c r="U38">
        <v>6409</v>
      </c>
      <c r="V38">
        <v>35000</v>
      </c>
      <c r="X38">
        <v>158000</v>
      </c>
      <c r="Y38">
        <v>74.8</v>
      </c>
      <c r="Z38">
        <v>290700000</v>
      </c>
      <c r="AA38">
        <v>5.0999999999999996</v>
      </c>
      <c r="AB38">
        <v>1350000000</v>
      </c>
      <c r="AC38">
        <v>9000000000</v>
      </c>
      <c r="AD38">
        <v>0</v>
      </c>
      <c r="AE38">
        <v>10350000000</v>
      </c>
      <c r="AF38">
        <v>315000000000</v>
      </c>
      <c r="AG38">
        <v>13000</v>
      </c>
      <c r="AH38">
        <v>199000</v>
      </c>
      <c r="AJ38">
        <v>204000</v>
      </c>
      <c r="AK38">
        <v>1255000000</v>
      </c>
      <c r="AL38">
        <v>372361</v>
      </c>
      <c r="AP38">
        <v>90000</v>
      </c>
      <c r="AQ38">
        <v>137000</v>
      </c>
      <c r="AR38">
        <v>2.2999999999999998</v>
      </c>
      <c r="AS38">
        <v>3.2</v>
      </c>
    </row>
    <row r="39" spans="1:45" x14ac:dyDescent="0.3">
      <c r="A39" t="s">
        <v>82</v>
      </c>
      <c r="B39">
        <v>110910</v>
      </c>
      <c r="C39">
        <v>9.66</v>
      </c>
      <c r="D39">
        <v>682900000</v>
      </c>
      <c r="E39">
        <v>14.26</v>
      </c>
      <c r="F39">
        <v>16100000000</v>
      </c>
      <c r="G39">
        <v>32710000000</v>
      </c>
      <c r="H39">
        <v>43070000000</v>
      </c>
      <c r="I39">
        <v>9134000000</v>
      </c>
      <c r="J39">
        <v>61630000000</v>
      </c>
      <c r="K39">
        <v>8200</v>
      </c>
      <c r="L39">
        <v>5.3</v>
      </c>
      <c r="M39">
        <v>0.1</v>
      </c>
      <c r="N39">
        <v>100</v>
      </c>
      <c r="O39">
        <v>346</v>
      </c>
      <c r="P39">
        <v>37077</v>
      </c>
      <c r="Q39">
        <v>12230000000</v>
      </c>
      <c r="R39">
        <v>5.2</v>
      </c>
      <c r="S39">
        <v>20.55</v>
      </c>
      <c r="T39">
        <v>6.1</v>
      </c>
      <c r="U39">
        <v>53421</v>
      </c>
      <c r="V39">
        <v>630000</v>
      </c>
      <c r="W39">
        <v>18.600000000000001</v>
      </c>
      <c r="X39">
        <v>3398000</v>
      </c>
      <c r="Y39">
        <v>72.03</v>
      </c>
      <c r="Z39">
        <v>356000000</v>
      </c>
      <c r="AA39">
        <v>2.6</v>
      </c>
      <c r="AB39">
        <v>5804000000</v>
      </c>
      <c r="AC39">
        <v>0</v>
      </c>
      <c r="AD39">
        <v>5800000000</v>
      </c>
      <c r="AE39">
        <v>4000000</v>
      </c>
      <c r="AF39">
        <v>3724000000</v>
      </c>
      <c r="AG39">
        <v>94000</v>
      </c>
      <c r="AJ39">
        <v>603</v>
      </c>
      <c r="AK39">
        <v>8100000</v>
      </c>
      <c r="AL39">
        <v>7450349</v>
      </c>
      <c r="AM39">
        <v>41.9</v>
      </c>
      <c r="AN39">
        <v>4294</v>
      </c>
      <c r="AO39">
        <v>7526000000</v>
      </c>
      <c r="AP39">
        <v>2868200</v>
      </c>
      <c r="AQ39">
        <v>2597500</v>
      </c>
      <c r="AR39">
        <v>1.38</v>
      </c>
      <c r="AS39">
        <v>12.7</v>
      </c>
    </row>
    <row r="40" spans="1:45" x14ac:dyDescent="0.3">
      <c r="A40" t="s">
        <v>83</v>
      </c>
      <c r="B40">
        <v>274200</v>
      </c>
      <c r="C40">
        <v>44.17</v>
      </c>
      <c r="D40">
        <v>-471700000</v>
      </c>
      <c r="E40">
        <v>18.86</v>
      </c>
      <c r="F40">
        <v>1300000000</v>
      </c>
      <c r="G40">
        <v>335700000</v>
      </c>
      <c r="H40">
        <v>361000000</v>
      </c>
      <c r="I40">
        <v>418600000</v>
      </c>
      <c r="J40">
        <v>15740000000</v>
      </c>
      <c r="K40">
        <v>1200</v>
      </c>
      <c r="L40">
        <v>4.8</v>
      </c>
      <c r="M40">
        <v>4.2</v>
      </c>
      <c r="N40">
        <v>29000</v>
      </c>
      <c r="O40">
        <v>300000</v>
      </c>
      <c r="P40">
        <v>12506</v>
      </c>
      <c r="Q40">
        <v>866300000</v>
      </c>
      <c r="R40">
        <v>14</v>
      </c>
      <c r="S40">
        <v>97.57</v>
      </c>
      <c r="T40">
        <v>2.4</v>
      </c>
      <c r="U40">
        <v>442</v>
      </c>
      <c r="V40">
        <v>48000</v>
      </c>
      <c r="W40">
        <v>29.1</v>
      </c>
      <c r="X40">
        <v>5000000</v>
      </c>
      <c r="Y40">
        <v>43.92</v>
      </c>
      <c r="Z40">
        <v>64200000</v>
      </c>
      <c r="AA40">
        <v>1.3</v>
      </c>
      <c r="AG40">
        <v>8000</v>
      </c>
      <c r="AJ40">
        <v>0</v>
      </c>
      <c r="AL40">
        <v>13925313</v>
      </c>
      <c r="AN40">
        <v>622</v>
      </c>
      <c r="AO40">
        <v>474900000</v>
      </c>
      <c r="AP40">
        <v>65400</v>
      </c>
      <c r="AQ40">
        <v>227000</v>
      </c>
      <c r="AR40">
        <v>6.23</v>
      </c>
    </row>
    <row r="41" spans="1:45" x14ac:dyDescent="0.3">
      <c r="A41" t="s">
        <v>84</v>
      </c>
      <c r="B41">
        <v>678500</v>
      </c>
      <c r="C41">
        <v>18.11</v>
      </c>
      <c r="D41">
        <v>-185000000</v>
      </c>
      <c r="E41">
        <v>12.15</v>
      </c>
      <c r="F41">
        <v>6752000000</v>
      </c>
      <c r="G41">
        <v>3484000000</v>
      </c>
      <c r="H41">
        <v>5068000000</v>
      </c>
      <c r="I41">
        <v>2137000000</v>
      </c>
      <c r="J41">
        <v>74300000000</v>
      </c>
      <c r="K41">
        <v>1700</v>
      </c>
      <c r="L41">
        <v>-1.3</v>
      </c>
      <c r="M41">
        <v>1.2</v>
      </c>
      <c r="N41">
        <v>20000</v>
      </c>
      <c r="O41">
        <v>330000</v>
      </c>
      <c r="P41">
        <v>28200</v>
      </c>
      <c r="Q41">
        <v>1754000000</v>
      </c>
      <c r="S41">
        <v>67.239999999999995</v>
      </c>
      <c r="T41">
        <v>17.2</v>
      </c>
      <c r="U41">
        <v>3</v>
      </c>
      <c r="V41">
        <v>28000</v>
      </c>
      <c r="W41">
        <v>10.199999999999999</v>
      </c>
      <c r="X41">
        <v>27010000</v>
      </c>
      <c r="Y41">
        <v>56.22</v>
      </c>
      <c r="Z41">
        <v>39000000</v>
      </c>
      <c r="AA41">
        <v>2.1</v>
      </c>
      <c r="AB41">
        <v>1569000000</v>
      </c>
      <c r="AC41">
        <v>8424000000</v>
      </c>
      <c r="AD41">
        <v>0</v>
      </c>
      <c r="AE41">
        <v>9980000000</v>
      </c>
      <c r="AF41">
        <v>2460000000000</v>
      </c>
      <c r="AG41">
        <v>60950</v>
      </c>
      <c r="AH41">
        <v>3356</v>
      </c>
      <c r="AI41">
        <v>49230</v>
      </c>
      <c r="AJ41">
        <v>17550</v>
      </c>
      <c r="AK41">
        <v>3200000000</v>
      </c>
      <c r="AL41">
        <v>42909464</v>
      </c>
      <c r="AN41">
        <v>3955</v>
      </c>
      <c r="AO41">
        <v>590000000</v>
      </c>
      <c r="AP41">
        <v>357300</v>
      </c>
      <c r="AQ41">
        <v>66500</v>
      </c>
      <c r="AR41">
        <v>2.0099999999999998</v>
      </c>
      <c r="AS41">
        <v>5.2</v>
      </c>
    </row>
    <row r="42" spans="1:45" x14ac:dyDescent="0.3">
      <c r="A42" t="s">
        <v>85</v>
      </c>
      <c r="B42">
        <v>27830</v>
      </c>
      <c r="C42">
        <v>39.659999999999997</v>
      </c>
      <c r="D42">
        <v>-59500000</v>
      </c>
      <c r="E42">
        <v>17.43</v>
      </c>
      <c r="F42">
        <v>1133000000</v>
      </c>
      <c r="G42">
        <v>137800000</v>
      </c>
      <c r="H42">
        <v>132000000</v>
      </c>
      <c r="I42">
        <v>31840000</v>
      </c>
      <c r="J42">
        <v>4001000000</v>
      </c>
      <c r="K42">
        <v>600</v>
      </c>
      <c r="L42">
        <v>3</v>
      </c>
      <c r="M42">
        <v>6</v>
      </c>
      <c r="N42">
        <v>25000</v>
      </c>
      <c r="O42">
        <v>250000</v>
      </c>
      <c r="P42">
        <v>14480</v>
      </c>
      <c r="Q42">
        <v>138200000</v>
      </c>
      <c r="R42">
        <v>18</v>
      </c>
      <c r="S42">
        <v>69.290000000000006</v>
      </c>
      <c r="T42">
        <v>8.5</v>
      </c>
      <c r="U42">
        <v>22</v>
      </c>
      <c r="V42">
        <v>14000</v>
      </c>
      <c r="W42">
        <v>10.7</v>
      </c>
      <c r="X42">
        <v>2990000</v>
      </c>
      <c r="Y42">
        <v>43.5</v>
      </c>
      <c r="Z42">
        <v>38700000</v>
      </c>
      <c r="AA42">
        <v>6</v>
      </c>
      <c r="AG42">
        <v>2750</v>
      </c>
      <c r="AJ42">
        <v>0</v>
      </c>
      <c r="AL42">
        <v>6370609</v>
      </c>
      <c r="AO42">
        <v>76890000</v>
      </c>
      <c r="AP42">
        <v>23900</v>
      </c>
      <c r="AQ42">
        <v>64000</v>
      </c>
      <c r="AR42">
        <v>5.81</v>
      </c>
    </row>
    <row r="43" spans="1:45" x14ac:dyDescent="0.3">
      <c r="A43" t="s">
        <v>86</v>
      </c>
      <c r="B43">
        <v>181040</v>
      </c>
      <c r="C43">
        <v>27.08</v>
      </c>
      <c r="D43">
        <v>-316200000</v>
      </c>
      <c r="E43">
        <v>8.9700000000000006</v>
      </c>
      <c r="F43">
        <v>2400000000</v>
      </c>
      <c r="G43">
        <v>100600000</v>
      </c>
      <c r="H43">
        <v>122000000</v>
      </c>
      <c r="I43">
        <v>2311000000</v>
      </c>
      <c r="J43">
        <v>26990000000</v>
      </c>
      <c r="K43">
        <v>2000</v>
      </c>
      <c r="L43">
        <v>5.4</v>
      </c>
      <c r="M43">
        <v>2.6</v>
      </c>
      <c r="N43">
        <v>15000</v>
      </c>
      <c r="O43">
        <v>170000</v>
      </c>
      <c r="P43">
        <v>12323</v>
      </c>
      <c r="Q43">
        <v>3129000000</v>
      </c>
      <c r="R43">
        <v>22</v>
      </c>
      <c r="S43">
        <v>71.48</v>
      </c>
      <c r="T43">
        <v>3.1</v>
      </c>
      <c r="U43">
        <v>818</v>
      </c>
      <c r="V43">
        <v>30000</v>
      </c>
      <c r="W43">
        <v>20.9</v>
      </c>
      <c r="X43">
        <v>7000000</v>
      </c>
      <c r="Y43">
        <v>58.87</v>
      </c>
      <c r="Z43">
        <v>112000000</v>
      </c>
      <c r="AA43">
        <v>3</v>
      </c>
      <c r="AG43">
        <v>7200</v>
      </c>
      <c r="AJ43">
        <v>0</v>
      </c>
      <c r="AL43">
        <v>13607069</v>
      </c>
      <c r="AN43">
        <v>602</v>
      </c>
      <c r="AO43">
        <v>997500000</v>
      </c>
      <c r="AP43">
        <v>35400</v>
      </c>
      <c r="AQ43">
        <v>380000</v>
      </c>
      <c r="AR43">
        <v>3.44</v>
      </c>
      <c r="AS43">
        <v>2.5</v>
      </c>
    </row>
    <row r="44" spans="1:45" x14ac:dyDescent="0.3">
      <c r="A44" t="s">
        <v>87</v>
      </c>
      <c r="B44">
        <v>475440</v>
      </c>
      <c r="C44">
        <v>34.67</v>
      </c>
      <c r="D44">
        <v>-149100000</v>
      </c>
      <c r="E44">
        <v>15.4</v>
      </c>
      <c r="F44">
        <v>8460000000</v>
      </c>
      <c r="G44">
        <v>3321000000</v>
      </c>
      <c r="H44">
        <v>3571000000</v>
      </c>
      <c r="I44">
        <v>2445000000</v>
      </c>
      <c r="J44">
        <v>30170000000</v>
      </c>
      <c r="K44">
        <v>1900</v>
      </c>
      <c r="L44">
        <v>4.9000000000000004</v>
      </c>
      <c r="M44">
        <v>6.9</v>
      </c>
      <c r="N44">
        <v>49000</v>
      </c>
      <c r="O44">
        <v>560000</v>
      </c>
      <c r="P44">
        <v>34300</v>
      </c>
      <c r="Q44">
        <v>1979000000</v>
      </c>
      <c r="R44">
        <v>4.2</v>
      </c>
      <c r="S44">
        <v>68.260000000000005</v>
      </c>
      <c r="T44">
        <v>1</v>
      </c>
      <c r="U44">
        <v>479</v>
      </c>
      <c r="V44">
        <v>60000</v>
      </c>
      <c r="W44">
        <v>16.100000000000001</v>
      </c>
      <c r="X44">
        <v>6680000</v>
      </c>
      <c r="Y44">
        <v>47.84</v>
      </c>
      <c r="Z44">
        <v>221100000</v>
      </c>
      <c r="AA44">
        <v>1.6</v>
      </c>
      <c r="AB44">
        <v>0</v>
      </c>
      <c r="AC44">
        <v>0</v>
      </c>
      <c r="AD44">
        <v>0</v>
      </c>
      <c r="AE44">
        <v>0</v>
      </c>
      <c r="AF44">
        <v>55220000000</v>
      </c>
      <c r="AG44">
        <v>22000</v>
      </c>
      <c r="AJ44">
        <v>94000</v>
      </c>
      <c r="AK44">
        <v>80000000</v>
      </c>
      <c r="AL44">
        <v>16380005</v>
      </c>
      <c r="AM44">
        <v>69.099999999999994</v>
      </c>
      <c r="AN44">
        <v>1008</v>
      </c>
      <c r="AO44">
        <v>687500000</v>
      </c>
      <c r="AP44">
        <v>110900</v>
      </c>
      <c r="AQ44">
        <v>1077000</v>
      </c>
      <c r="AR44">
        <v>4.47</v>
      </c>
      <c r="AS44">
        <v>30</v>
      </c>
    </row>
    <row r="45" spans="1:45" x14ac:dyDescent="0.3">
      <c r="A45" t="s">
        <v>88</v>
      </c>
      <c r="B45">
        <v>9984670</v>
      </c>
      <c r="C45">
        <v>10.84</v>
      </c>
      <c r="D45">
        <v>28200000000</v>
      </c>
      <c r="E45">
        <v>7.73</v>
      </c>
      <c r="F45">
        <v>570000000000</v>
      </c>
      <c r="G45">
        <v>487300000000</v>
      </c>
      <c r="H45">
        <v>548900000000</v>
      </c>
      <c r="I45">
        <v>315600000000</v>
      </c>
      <c r="J45">
        <v>1023000000000</v>
      </c>
      <c r="K45">
        <v>31500</v>
      </c>
      <c r="L45">
        <v>2.4</v>
      </c>
      <c r="M45">
        <v>0.3</v>
      </c>
      <c r="N45">
        <v>1500</v>
      </c>
      <c r="O45">
        <v>56000</v>
      </c>
      <c r="P45">
        <v>1408800</v>
      </c>
      <c r="Q45">
        <v>256100000000</v>
      </c>
      <c r="R45">
        <v>2</v>
      </c>
      <c r="S45">
        <v>4.75</v>
      </c>
      <c r="T45">
        <v>1.9</v>
      </c>
      <c r="U45">
        <v>3210081</v>
      </c>
      <c r="V45">
        <v>16110000</v>
      </c>
      <c r="W45">
        <v>19.399999999999999</v>
      </c>
      <c r="X45">
        <v>17370000</v>
      </c>
      <c r="Y45">
        <v>80.099999999999994</v>
      </c>
      <c r="Z45">
        <v>9801700000</v>
      </c>
      <c r="AA45">
        <v>1.1000000000000001</v>
      </c>
      <c r="AB45">
        <v>55800000000</v>
      </c>
      <c r="AC45">
        <v>91520000000</v>
      </c>
      <c r="AD45">
        <v>8730000000</v>
      </c>
      <c r="AE45">
        <v>165800000000</v>
      </c>
      <c r="AF45">
        <v>1691000000000</v>
      </c>
      <c r="AG45">
        <v>2200000</v>
      </c>
      <c r="AH45">
        <v>1370000</v>
      </c>
      <c r="AI45">
        <v>987000</v>
      </c>
      <c r="AJ45">
        <v>3110000</v>
      </c>
      <c r="AK45">
        <v>178900000000</v>
      </c>
      <c r="AL45">
        <v>32805041</v>
      </c>
      <c r="AN45">
        <v>48909</v>
      </c>
      <c r="AO45">
        <v>36270000000</v>
      </c>
      <c r="AP45">
        <v>19950900</v>
      </c>
      <c r="AQ45">
        <v>13221800</v>
      </c>
      <c r="AR45">
        <v>1.61</v>
      </c>
      <c r="AS45">
        <v>7</v>
      </c>
    </row>
    <row r="46" spans="1:45" x14ac:dyDescent="0.3">
      <c r="A46" t="s">
        <v>89</v>
      </c>
      <c r="B46">
        <v>4033</v>
      </c>
      <c r="C46">
        <v>25.33</v>
      </c>
      <c r="D46">
        <v>-93760000</v>
      </c>
      <c r="E46">
        <v>6.62</v>
      </c>
      <c r="F46">
        <v>325000000</v>
      </c>
      <c r="G46">
        <v>40060000</v>
      </c>
      <c r="H46">
        <v>43080000</v>
      </c>
      <c r="I46">
        <v>61110000</v>
      </c>
      <c r="J46">
        <v>600000000</v>
      </c>
      <c r="K46">
        <v>1400</v>
      </c>
      <c r="L46">
        <v>5</v>
      </c>
      <c r="M46">
        <v>0.04</v>
      </c>
      <c r="N46">
        <v>225</v>
      </c>
      <c r="O46">
        <v>775</v>
      </c>
      <c r="P46">
        <v>1100</v>
      </c>
      <c r="Q46">
        <v>387300000</v>
      </c>
      <c r="S46">
        <v>47.77</v>
      </c>
      <c r="T46">
        <v>1.5</v>
      </c>
      <c r="U46">
        <v>118</v>
      </c>
      <c r="V46">
        <v>20400</v>
      </c>
      <c r="W46">
        <v>19.2</v>
      </c>
      <c r="Y46">
        <v>70.45</v>
      </c>
      <c r="Z46">
        <v>14100000</v>
      </c>
      <c r="AA46">
        <v>1.5</v>
      </c>
      <c r="AG46">
        <v>2000</v>
      </c>
      <c r="AJ46">
        <v>0</v>
      </c>
      <c r="AL46">
        <v>418224</v>
      </c>
      <c r="AO46">
        <v>112700000</v>
      </c>
      <c r="AP46">
        <v>71700</v>
      </c>
      <c r="AQ46">
        <v>53300</v>
      </c>
      <c r="AR46">
        <v>3.48</v>
      </c>
      <c r="AS46">
        <v>21</v>
      </c>
    </row>
    <row r="47" spans="1:45" x14ac:dyDescent="0.3">
      <c r="A47" t="s">
        <v>90</v>
      </c>
      <c r="B47">
        <v>262</v>
      </c>
      <c r="C47">
        <v>12.92</v>
      </c>
      <c r="E47">
        <v>4.8099999999999996</v>
      </c>
      <c r="F47">
        <v>70000000</v>
      </c>
      <c r="G47">
        <v>382100000</v>
      </c>
      <c r="H47">
        <v>410800000</v>
      </c>
      <c r="I47">
        <v>1200000</v>
      </c>
      <c r="J47">
        <v>1391000000</v>
      </c>
      <c r="K47">
        <v>32300</v>
      </c>
      <c r="L47">
        <v>1.7</v>
      </c>
      <c r="P47">
        <v>785</v>
      </c>
      <c r="Q47">
        <v>457400000</v>
      </c>
      <c r="S47">
        <v>8.19</v>
      </c>
      <c r="T47">
        <v>2.8</v>
      </c>
      <c r="V47">
        <v>9909</v>
      </c>
      <c r="X47">
        <v>19820</v>
      </c>
      <c r="Y47">
        <v>79.95</v>
      </c>
      <c r="AG47">
        <v>2400</v>
      </c>
      <c r="AJ47">
        <v>0</v>
      </c>
      <c r="AL47">
        <v>44270</v>
      </c>
      <c r="AP47">
        <v>38000</v>
      </c>
      <c r="AQ47">
        <v>17000</v>
      </c>
      <c r="AR47">
        <v>1.9</v>
      </c>
      <c r="AS47">
        <v>4.0999999999999996</v>
      </c>
    </row>
    <row r="48" spans="1:45" x14ac:dyDescent="0.3">
      <c r="A48" t="s">
        <v>91</v>
      </c>
      <c r="B48">
        <v>622984</v>
      </c>
      <c r="C48">
        <v>35.17</v>
      </c>
      <c r="E48">
        <v>20.27</v>
      </c>
      <c r="F48">
        <v>881400000</v>
      </c>
      <c r="G48">
        <v>98580000</v>
      </c>
      <c r="H48">
        <v>106000000</v>
      </c>
      <c r="I48">
        <v>172000000</v>
      </c>
      <c r="J48">
        <v>4248000000</v>
      </c>
      <c r="K48">
        <v>1100</v>
      </c>
      <c r="L48">
        <v>0.5</v>
      </c>
      <c r="M48">
        <v>13.5</v>
      </c>
      <c r="N48">
        <v>23000</v>
      </c>
      <c r="O48">
        <v>260000</v>
      </c>
      <c r="P48">
        <v>23810</v>
      </c>
      <c r="Q48">
        <v>136000000</v>
      </c>
      <c r="R48">
        <v>3</v>
      </c>
      <c r="S48">
        <v>91</v>
      </c>
      <c r="T48">
        <v>3.6</v>
      </c>
      <c r="U48">
        <v>6</v>
      </c>
      <c r="V48">
        <v>5000</v>
      </c>
      <c r="Y48">
        <v>41.01</v>
      </c>
      <c r="Z48">
        <v>15500000</v>
      </c>
      <c r="AA48">
        <v>1</v>
      </c>
      <c r="AG48">
        <v>2400</v>
      </c>
      <c r="AJ48">
        <v>0</v>
      </c>
      <c r="AL48">
        <v>3799897</v>
      </c>
      <c r="AP48">
        <v>9000</v>
      </c>
      <c r="AQ48">
        <v>13000</v>
      </c>
      <c r="AR48">
        <v>4.5</v>
      </c>
      <c r="AS48">
        <v>8</v>
      </c>
    </row>
    <row r="49" spans="1:45" x14ac:dyDescent="0.3">
      <c r="A49" t="s">
        <v>92</v>
      </c>
      <c r="B49">
        <v>1284000</v>
      </c>
      <c r="C49">
        <v>45.98</v>
      </c>
      <c r="D49">
        <v>330200000</v>
      </c>
      <c r="E49">
        <v>16.41</v>
      </c>
      <c r="F49">
        <v>1100000000</v>
      </c>
      <c r="G49">
        <v>89400000</v>
      </c>
      <c r="H49">
        <v>96130000</v>
      </c>
      <c r="I49">
        <v>365000000</v>
      </c>
      <c r="J49">
        <v>15660000000</v>
      </c>
      <c r="K49">
        <v>1600</v>
      </c>
      <c r="L49">
        <v>38</v>
      </c>
      <c r="M49">
        <v>4.8</v>
      </c>
      <c r="N49">
        <v>18000</v>
      </c>
      <c r="O49">
        <v>200000</v>
      </c>
      <c r="P49">
        <v>33400</v>
      </c>
      <c r="Q49">
        <v>500700000</v>
      </c>
      <c r="R49">
        <v>5</v>
      </c>
      <c r="S49">
        <v>93.82</v>
      </c>
      <c r="T49">
        <v>8</v>
      </c>
      <c r="U49">
        <v>8</v>
      </c>
      <c r="V49">
        <v>15000</v>
      </c>
      <c r="W49">
        <v>24.7</v>
      </c>
      <c r="Y49">
        <v>47.94</v>
      </c>
      <c r="Z49">
        <v>101300000</v>
      </c>
      <c r="AA49">
        <v>2.1</v>
      </c>
      <c r="AG49">
        <v>1500</v>
      </c>
      <c r="AJ49">
        <v>200000</v>
      </c>
      <c r="AL49">
        <v>9826419</v>
      </c>
      <c r="AO49">
        <v>652700000</v>
      </c>
      <c r="AP49">
        <v>11800</v>
      </c>
      <c r="AQ49">
        <v>65000</v>
      </c>
      <c r="AR49">
        <v>6.32</v>
      </c>
    </row>
    <row r="50" spans="1:45" x14ac:dyDescent="0.3">
      <c r="A50" t="s">
        <v>93</v>
      </c>
      <c r="B50">
        <v>756950</v>
      </c>
      <c r="C50">
        <v>15.44</v>
      </c>
      <c r="D50">
        <v>2185000000</v>
      </c>
      <c r="E50">
        <v>5.76</v>
      </c>
      <c r="F50">
        <v>44600000000</v>
      </c>
      <c r="G50">
        <v>41800000000</v>
      </c>
      <c r="H50">
        <v>48600000000</v>
      </c>
      <c r="I50">
        <v>29200000000</v>
      </c>
      <c r="J50">
        <v>169100000000</v>
      </c>
      <c r="K50">
        <v>10700</v>
      </c>
      <c r="L50">
        <v>5.8</v>
      </c>
      <c r="M50">
        <v>0.3</v>
      </c>
      <c r="N50">
        <v>1400</v>
      </c>
      <c r="O50">
        <v>26000</v>
      </c>
      <c r="P50">
        <v>79605</v>
      </c>
      <c r="Q50">
        <v>22530000000</v>
      </c>
      <c r="R50">
        <v>7.8</v>
      </c>
      <c r="S50">
        <v>8.8000000000000007</v>
      </c>
      <c r="T50">
        <v>2.4</v>
      </c>
      <c r="U50">
        <v>202429</v>
      </c>
      <c r="V50">
        <v>3575000</v>
      </c>
      <c r="W50">
        <v>23.9</v>
      </c>
      <c r="X50">
        <v>6200000</v>
      </c>
      <c r="Y50">
        <v>76.58</v>
      </c>
      <c r="Z50">
        <v>3420000000</v>
      </c>
      <c r="AA50">
        <v>3.8</v>
      </c>
      <c r="AB50">
        <v>6517000000</v>
      </c>
      <c r="AC50">
        <v>0</v>
      </c>
      <c r="AD50">
        <v>5337000000</v>
      </c>
      <c r="AE50">
        <v>1180000000</v>
      </c>
      <c r="AF50">
        <v>99050000000</v>
      </c>
      <c r="AG50">
        <v>240000</v>
      </c>
      <c r="AH50">
        <v>0</v>
      </c>
      <c r="AI50">
        <v>221500</v>
      </c>
      <c r="AJ50">
        <v>18500</v>
      </c>
      <c r="AK50">
        <v>150000000</v>
      </c>
      <c r="AL50">
        <v>15980912</v>
      </c>
      <c r="AM50">
        <v>12.8</v>
      </c>
      <c r="AN50">
        <v>6585</v>
      </c>
      <c r="AO50">
        <v>16020000000</v>
      </c>
      <c r="AP50">
        <v>3467000</v>
      </c>
      <c r="AQ50">
        <v>6445700</v>
      </c>
      <c r="AR50">
        <v>2.02</v>
      </c>
      <c r="AS50">
        <v>8.5</v>
      </c>
    </row>
    <row r="51" spans="1:45" x14ac:dyDescent="0.3">
      <c r="A51" t="s">
        <v>94</v>
      </c>
      <c r="B51">
        <v>9596960</v>
      </c>
      <c r="C51">
        <v>13.14</v>
      </c>
      <c r="D51">
        <v>30320000000</v>
      </c>
      <c r="E51">
        <v>6.94</v>
      </c>
      <c r="F51">
        <v>233300000000</v>
      </c>
      <c r="G51">
        <v>1630000000000</v>
      </c>
      <c r="H51">
        <v>1910000000000</v>
      </c>
      <c r="I51">
        <v>583100000000</v>
      </c>
      <c r="J51">
        <v>7262000000000</v>
      </c>
      <c r="K51">
        <v>5600</v>
      </c>
      <c r="L51">
        <v>9.1</v>
      </c>
      <c r="M51">
        <v>0.1</v>
      </c>
      <c r="N51">
        <v>44000</v>
      </c>
      <c r="O51">
        <v>840000</v>
      </c>
      <c r="P51">
        <v>1765222</v>
      </c>
      <c r="Q51">
        <v>552400000000</v>
      </c>
      <c r="R51">
        <v>17.100000000000001</v>
      </c>
      <c r="S51">
        <v>24.18</v>
      </c>
      <c r="T51">
        <v>4.0999999999999996</v>
      </c>
      <c r="U51">
        <v>160421</v>
      </c>
      <c r="V51">
        <v>94000000</v>
      </c>
      <c r="W51">
        <v>46</v>
      </c>
      <c r="X51">
        <v>760800000</v>
      </c>
      <c r="Y51">
        <v>72.27</v>
      </c>
      <c r="Z51">
        <v>67490000000</v>
      </c>
      <c r="AA51">
        <v>4.3</v>
      </c>
      <c r="AB51">
        <v>29180000000</v>
      </c>
      <c r="AC51">
        <v>0</v>
      </c>
      <c r="AD51">
        <v>0</v>
      </c>
      <c r="AE51">
        <v>35000000000</v>
      </c>
      <c r="AF51">
        <v>2230000000000</v>
      </c>
      <c r="AG51">
        <v>4956000</v>
      </c>
      <c r="AH51">
        <v>427800</v>
      </c>
      <c r="AI51">
        <v>2414000</v>
      </c>
      <c r="AJ51">
        <v>3392000</v>
      </c>
      <c r="AK51">
        <v>17740000000</v>
      </c>
      <c r="AL51">
        <v>1306313812</v>
      </c>
      <c r="AM51">
        <v>31.4</v>
      </c>
      <c r="AN51">
        <v>70058</v>
      </c>
      <c r="AO51">
        <v>609900000000</v>
      </c>
      <c r="AP51">
        <v>263000000</v>
      </c>
      <c r="AQ51">
        <v>269000000</v>
      </c>
      <c r="AR51">
        <v>1.72</v>
      </c>
      <c r="AS51">
        <v>9.8000000000000007</v>
      </c>
    </row>
    <row r="52" spans="1:45" x14ac:dyDescent="0.3">
      <c r="A52" t="s">
        <v>95</v>
      </c>
      <c r="B52">
        <v>135</v>
      </c>
      <c r="P52">
        <v>240</v>
      </c>
      <c r="AL52">
        <v>361</v>
      </c>
    </row>
    <row r="53" spans="1:45" x14ac:dyDescent="0.3">
      <c r="A53" t="s">
        <v>96</v>
      </c>
      <c r="B53">
        <v>6</v>
      </c>
    </row>
    <row r="54" spans="1:45" x14ac:dyDescent="0.3">
      <c r="A54" t="s">
        <v>97</v>
      </c>
      <c r="B54">
        <v>14</v>
      </c>
      <c r="P54">
        <v>15</v>
      </c>
      <c r="AL54">
        <v>628</v>
      </c>
      <c r="AP54">
        <v>287</v>
      </c>
      <c r="AS54">
        <v>60</v>
      </c>
    </row>
    <row r="55" spans="1:45" x14ac:dyDescent="0.3">
      <c r="A55" t="s">
        <v>98</v>
      </c>
      <c r="B55">
        <v>1138910</v>
      </c>
      <c r="C55">
        <v>20.82</v>
      </c>
      <c r="D55">
        <v>-1706000000</v>
      </c>
      <c r="E55">
        <v>5.59</v>
      </c>
      <c r="F55">
        <v>38700000000</v>
      </c>
      <c r="G55">
        <v>41140000000</v>
      </c>
      <c r="H55">
        <v>44870000000</v>
      </c>
      <c r="I55">
        <v>15500000000</v>
      </c>
      <c r="J55">
        <v>281100000000</v>
      </c>
      <c r="K55">
        <v>6600</v>
      </c>
      <c r="L55">
        <v>3.6</v>
      </c>
      <c r="M55">
        <v>0.7</v>
      </c>
      <c r="N55">
        <v>3600</v>
      </c>
      <c r="O55">
        <v>190000</v>
      </c>
      <c r="P55">
        <v>112998</v>
      </c>
      <c r="Q55">
        <v>15340000000</v>
      </c>
      <c r="R55">
        <v>4</v>
      </c>
      <c r="S55">
        <v>20.97</v>
      </c>
      <c r="T55">
        <v>5.9</v>
      </c>
      <c r="U55">
        <v>115158</v>
      </c>
      <c r="V55">
        <v>2732200</v>
      </c>
      <c r="W55">
        <v>15.8</v>
      </c>
      <c r="X55">
        <v>20700000</v>
      </c>
      <c r="Y55">
        <v>71.72</v>
      </c>
      <c r="Z55">
        <v>3300000000</v>
      </c>
      <c r="AA55">
        <v>3.4</v>
      </c>
      <c r="AB55">
        <v>5700000000</v>
      </c>
      <c r="AC55">
        <v>0</v>
      </c>
      <c r="AD55">
        <v>0</v>
      </c>
      <c r="AE55">
        <v>5700000000</v>
      </c>
      <c r="AF55">
        <v>132000000000</v>
      </c>
      <c r="AG55">
        <v>252000</v>
      </c>
      <c r="AJ55">
        <v>531100</v>
      </c>
      <c r="AK55">
        <v>1700000000</v>
      </c>
      <c r="AL55">
        <v>42954279</v>
      </c>
      <c r="AM55">
        <v>51.8</v>
      </c>
      <c r="AN55">
        <v>3304</v>
      </c>
      <c r="AO55">
        <v>11940000000</v>
      </c>
      <c r="AP55">
        <v>8768100</v>
      </c>
      <c r="AQ55">
        <v>6186200</v>
      </c>
      <c r="AR55">
        <v>2.56</v>
      </c>
      <c r="AS55">
        <v>13.6</v>
      </c>
    </row>
    <row r="56" spans="1:45" x14ac:dyDescent="0.3">
      <c r="A56" t="s">
        <v>99</v>
      </c>
      <c r="B56">
        <v>2170</v>
      </c>
      <c r="C56">
        <v>37.520000000000003</v>
      </c>
      <c r="E56">
        <v>8.4</v>
      </c>
      <c r="F56">
        <v>232000000</v>
      </c>
      <c r="G56">
        <v>22170000</v>
      </c>
      <c r="H56">
        <v>23840000</v>
      </c>
      <c r="I56">
        <v>28000000</v>
      </c>
      <c r="J56">
        <v>441000000</v>
      </c>
      <c r="K56">
        <v>700</v>
      </c>
      <c r="L56">
        <v>2</v>
      </c>
      <c r="M56">
        <v>0.12</v>
      </c>
      <c r="P56">
        <v>880</v>
      </c>
      <c r="Q56">
        <v>88000000</v>
      </c>
      <c r="R56">
        <v>-2</v>
      </c>
      <c r="S56">
        <v>74.930000000000007</v>
      </c>
      <c r="T56">
        <v>3.5</v>
      </c>
      <c r="U56">
        <v>11</v>
      </c>
      <c r="V56">
        <v>5000</v>
      </c>
      <c r="X56">
        <v>144500</v>
      </c>
      <c r="Y56">
        <v>61.96</v>
      </c>
      <c r="Z56">
        <v>11600000</v>
      </c>
      <c r="AA56">
        <v>3</v>
      </c>
      <c r="AG56">
        <v>700</v>
      </c>
      <c r="AJ56">
        <v>0</v>
      </c>
      <c r="AL56">
        <v>671247</v>
      </c>
      <c r="AP56">
        <v>13200</v>
      </c>
      <c r="AQ56">
        <v>2000</v>
      </c>
      <c r="AR56">
        <v>5.09</v>
      </c>
      <c r="AS56">
        <v>20</v>
      </c>
    </row>
    <row r="57" spans="1:45" x14ac:dyDescent="0.3">
      <c r="A57" t="s">
        <v>100</v>
      </c>
      <c r="B57">
        <v>2345410</v>
      </c>
      <c r="C57">
        <v>44.38</v>
      </c>
      <c r="E57">
        <v>14.43</v>
      </c>
      <c r="F57">
        <v>11600000000</v>
      </c>
      <c r="G57">
        <v>4168000000</v>
      </c>
      <c r="H57">
        <v>6086000000</v>
      </c>
      <c r="I57">
        <v>1417000000</v>
      </c>
      <c r="J57">
        <v>42740000000</v>
      </c>
      <c r="K57">
        <v>700</v>
      </c>
      <c r="L57">
        <v>7.5</v>
      </c>
      <c r="M57">
        <v>4.2</v>
      </c>
      <c r="N57">
        <v>100000</v>
      </c>
      <c r="O57">
        <v>1100000</v>
      </c>
      <c r="P57">
        <v>157000</v>
      </c>
      <c r="Q57">
        <v>933000000</v>
      </c>
      <c r="S57">
        <v>92.87</v>
      </c>
      <c r="T57">
        <v>14</v>
      </c>
      <c r="U57">
        <v>153</v>
      </c>
      <c r="V57">
        <v>50000</v>
      </c>
      <c r="X57">
        <v>14510000</v>
      </c>
      <c r="Y57">
        <v>49.35</v>
      </c>
      <c r="Z57">
        <v>93500000</v>
      </c>
      <c r="AA57">
        <v>1.5</v>
      </c>
      <c r="AF57">
        <v>104800000000</v>
      </c>
      <c r="AG57">
        <v>14000</v>
      </c>
      <c r="AJ57">
        <v>24000</v>
      </c>
      <c r="AK57">
        <v>1538000000</v>
      </c>
      <c r="AL57">
        <v>60085804</v>
      </c>
      <c r="AN57">
        <v>5138</v>
      </c>
      <c r="AP57">
        <v>10000</v>
      </c>
      <c r="AQ57">
        <v>1000000</v>
      </c>
      <c r="AR57">
        <v>6.54</v>
      </c>
    </row>
    <row r="58" spans="1:45" x14ac:dyDescent="0.3">
      <c r="A58" t="s">
        <v>101</v>
      </c>
      <c r="B58">
        <v>342000</v>
      </c>
      <c r="C58">
        <v>27.88</v>
      </c>
      <c r="D58">
        <v>266000000</v>
      </c>
      <c r="E58">
        <v>14.82</v>
      </c>
      <c r="F58">
        <v>5000000000</v>
      </c>
      <c r="G58">
        <v>573600000</v>
      </c>
      <c r="H58">
        <v>348000000</v>
      </c>
      <c r="I58">
        <v>2224000000</v>
      </c>
      <c r="J58">
        <v>2324000000</v>
      </c>
      <c r="K58">
        <v>800</v>
      </c>
      <c r="L58">
        <v>3.7</v>
      </c>
      <c r="M58">
        <v>4.9000000000000004</v>
      </c>
      <c r="N58">
        <v>9700</v>
      </c>
      <c r="O58">
        <v>90000</v>
      </c>
      <c r="P58">
        <v>12800</v>
      </c>
      <c r="Q58">
        <v>749300000</v>
      </c>
      <c r="R58">
        <v>0</v>
      </c>
      <c r="S58">
        <v>92.41</v>
      </c>
      <c r="T58">
        <v>1.8</v>
      </c>
      <c r="U58">
        <v>46</v>
      </c>
      <c r="V58">
        <v>15000</v>
      </c>
      <c r="W58">
        <v>25.8</v>
      </c>
      <c r="Y58">
        <v>48.97</v>
      </c>
      <c r="Z58">
        <v>126500000</v>
      </c>
      <c r="AA58">
        <v>2.8</v>
      </c>
      <c r="AB58">
        <v>0</v>
      </c>
      <c r="AC58">
        <v>0</v>
      </c>
      <c r="AD58">
        <v>0</v>
      </c>
      <c r="AE58">
        <v>0</v>
      </c>
      <c r="AF58">
        <v>495500000</v>
      </c>
      <c r="AG58">
        <v>5000</v>
      </c>
      <c r="AJ58">
        <v>227000</v>
      </c>
      <c r="AK58">
        <v>93500000</v>
      </c>
      <c r="AL58">
        <v>3039126</v>
      </c>
      <c r="AN58">
        <v>894</v>
      </c>
      <c r="AO58">
        <v>40420000</v>
      </c>
      <c r="AP58">
        <v>7000</v>
      </c>
      <c r="AQ58">
        <v>330000</v>
      </c>
      <c r="AR58">
        <v>3.54</v>
      </c>
    </row>
    <row r="59" spans="1:45" x14ac:dyDescent="0.3">
      <c r="A59" t="s">
        <v>102</v>
      </c>
      <c r="B59">
        <v>240</v>
      </c>
      <c r="F59">
        <v>141000000</v>
      </c>
      <c r="G59">
        <v>25110000</v>
      </c>
      <c r="H59">
        <v>27000000</v>
      </c>
      <c r="I59">
        <v>9100000</v>
      </c>
      <c r="J59">
        <v>105000000</v>
      </c>
      <c r="K59">
        <v>5000</v>
      </c>
      <c r="L59">
        <v>7.1</v>
      </c>
      <c r="P59">
        <v>320</v>
      </c>
      <c r="Q59">
        <v>50700000</v>
      </c>
      <c r="R59">
        <v>1</v>
      </c>
      <c r="T59">
        <v>3.2</v>
      </c>
      <c r="V59">
        <v>3600</v>
      </c>
      <c r="X59">
        <v>8000</v>
      </c>
      <c r="AG59">
        <v>450</v>
      </c>
      <c r="AJ59">
        <v>0</v>
      </c>
      <c r="AL59">
        <v>21388</v>
      </c>
      <c r="AP59">
        <v>6200</v>
      </c>
      <c r="AQ59">
        <v>1500</v>
      </c>
      <c r="AS59">
        <v>13</v>
      </c>
    </row>
    <row r="60" spans="1:45" x14ac:dyDescent="0.3">
      <c r="A60" t="s">
        <v>103</v>
      </c>
      <c r="B60">
        <v>51100</v>
      </c>
      <c r="C60">
        <v>18.600000000000001</v>
      </c>
      <c r="D60">
        <v>-980300000</v>
      </c>
      <c r="E60">
        <v>4.33</v>
      </c>
      <c r="F60">
        <v>5962000000</v>
      </c>
      <c r="G60">
        <v>5733000000</v>
      </c>
      <c r="H60">
        <v>6614000000</v>
      </c>
      <c r="I60">
        <v>6184000000</v>
      </c>
      <c r="J60">
        <v>37970000000</v>
      </c>
      <c r="K60">
        <v>9600</v>
      </c>
      <c r="L60">
        <v>3.9</v>
      </c>
      <c r="M60">
        <v>0.6</v>
      </c>
      <c r="N60">
        <v>900</v>
      </c>
      <c r="O60">
        <v>12000</v>
      </c>
      <c r="P60">
        <v>35303</v>
      </c>
      <c r="Q60">
        <v>7842000000</v>
      </c>
      <c r="R60">
        <v>3.1</v>
      </c>
      <c r="S60">
        <v>9.9499999999999993</v>
      </c>
      <c r="T60">
        <v>11.5</v>
      </c>
      <c r="U60">
        <v>10826</v>
      </c>
      <c r="V60">
        <v>800000</v>
      </c>
      <c r="W60">
        <v>19.2</v>
      </c>
      <c r="X60">
        <v>1810000</v>
      </c>
      <c r="Y60">
        <v>76.84</v>
      </c>
      <c r="Z60">
        <v>64200000</v>
      </c>
      <c r="AA60">
        <v>0.4</v>
      </c>
      <c r="AG60">
        <v>37000</v>
      </c>
      <c r="AJ60">
        <v>0</v>
      </c>
      <c r="AL60">
        <v>4016173</v>
      </c>
      <c r="AM60">
        <v>58</v>
      </c>
      <c r="AN60">
        <v>950</v>
      </c>
      <c r="AO60">
        <v>1736000000</v>
      </c>
      <c r="AP60">
        <v>1132000</v>
      </c>
      <c r="AQ60">
        <v>528047</v>
      </c>
      <c r="AR60">
        <v>2.2799999999999998</v>
      </c>
      <c r="AS60">
        <v>6.6</v>
      </c>
    </row>
    <row r="61" spans="1:45" x14ac:dyDescent="0.3">
      <c r="A61" t="s">
        <v>104</v>
      </c>
      <c r="B61">
        <v>322460</v>
      </c>
      <c r="C61">
        <v>35.51</v>
      </c>
      <c r="D61">
        <v>-421500000</v>
      </c>
      <c r="E61">
        <v>14.94</v>
      </c>
      <c r="F61">
        <v>11810000000</v>
      </c>
      <c r="G61">
        <v>2976000000</v>
      </c>
      <c r="H61">
        <v>4759000000</v>
      </c>
      <c r="I61">
        <v>5124000000</v>
      </c>
      <c r="J61">
        <v>24780000000</v>
      </c>
      <c r="K61">
        <v>1500</v>
      </c>
      <c r="L61">
        <v>-1</v>
      </c>
      <c r="M61">
        <v>7</v>
      </c>
      <c r="N61">
        <v>47000</v>
      </c>
      <c r="O61">
        <v>570000</v>
      </c>
      <c r="P61">
        <v>50400</v>
      </c>
      <c r="Q61">
        <v>3360000000</v>
      </c>
      <c r="R61">
        <v>15</v>
      </c>
      <c r="S61">
        <v>90.83</v>
      </c>
      <c r="T61">
        <v>1.4</v>
      </c>
      <c r="U61">
        <v>3795</v>
      </c>
      <c r="V61">
        <v>90000</v>
      </c>
      <c r="W61">
        <v>11.3</v>
      </c>
      <c r="X61">
        <v>6700000</v>
      </c>
      <c r="Y61">
        <v>48.62</v>
      </c>
      <c r="Z61">
        <v>180200000</v>
      </c>
      <c r="AA61">
        <v>1.2</v>
      </c>
      <c r="AB61">
        <v>1350000000</v>
      </c>
      <c r="AC61">
        <v>0</v>
      </c>
      <c r="AD61">
        <v>0</v>
      </c>
      <c r="AE61">
        <v>1350000000</v>
      </c>
      <c r="AF61">
        <v>14870000000</v>
      </c>
      <c r="AG61">
        <v>32000</v>
      </c>
      <c r="AJ61">
        <v>29300</v>
      </c>
      <c r="AK61">
        <v>220000000</v>
      </c>
      <c r="AL61">
        <v>17298040</v>
      </c>
      <c r="AM61">
        <v>74.8</v>
      </c>
      <c r="AN61">
        <v>660</v>
      </c>
      <c r="AO61">
        <v>1950000000</v>
      </c>
      <c r="AP61">
        <v>328000</v>
      </c>
      <c r="AQ61">
        <v>1236000</v>
      </c>
      <c r="AR61">
        <v>4.58</v>
      </c>
      <c r="AS61">
        <v>13</v>
      </c>
    </row>
    <row r="62" spans="1:45" x14ac:dyDescent="0.3">
      <c r="A62" t="s">
        <v>105</v>
      </c>
      <c r="B62">
        <v>56542</v>
      </c>
      <c r="C62">
        <v>9.57</v>
      </c>
      <c r="D62">
        <v>-1925000000</v>
      </c>
      <c r="E62">
        <v>11.38</v>
      </c>
      <c r="F62">
        <v>26400000000</v>
      </c>
      <c r="G62">
        <v>15200000000</v>
      </c>
      <c r="H62">
        <v>12510000000</v>
      </c>
      <c r="I62">
        <v>7845000000</v>
      </c>
      <c r="J62">
        <v>50330000000</v>
      </c>
      <c r="K62">
        <v>11200</v>
      </c>
      <c r="L62">
        <v>3.7</v>
      </c>
      <c r="M62">
        <v>0.1</v>
      </c>
      <c r="N62">
        <v>10</v>
      </c>
      <c r="O62">
        <v>200</v>
      </c>
      <c r="P62">
        <v>28344</v>
      </c>
      <c r="Q62">
        <v>16700000000</v>
      </c>
      <c r="R62">
        <v>2.7</v>
      </c>
      <c r="S62">
        <v>6.84</v>
      </c>
      <c r="T62">
        <v>2.5</v>
      </c>
      <c r="U62">
        <v>29644</v>
      </c>
      <c r="V62">
        <v>1014000</v>
      </c>
      <c r="W62">
        <v>28.6</v>
      </c>
      <c r="X62">
        <v>1710000</v>
      </c>
      <c r="Y62">
        <v>74.45</v>
      </c>
      <c r="Z62">
        <v>620000000</v>
      </c>
      <c r="AA62">
        <v>2.39</v>
      </c>
      <c r="AB62">
        <v>2840000000</v>
      </c>
      <c r="AC62">
        <v>0</v>
      </c>
      <c r="AD62">
        <v>1080000000</v>
      </c>
      <c r="AE62">
        <v>1760000000</v>
      </c>
      <c r="AF62">
        <v>34360000000</v>
      </c>
      <c r="AG62">
        <v>89000</v>
      </c>
      <c r="AJ62">
        <v>21000</v>
      </c>
      <c r="AK62">
        <v>93600000</v>
      </c>
      <c r="AL62">
        <v>4495904</v>
      </c>
      <c r="AM62">
        <v>41.7</v>
      </c>
      <c r="AN62">
        <v>2726</v>
      </c>
      <c r="AO62">
        <v>8563000000</v>
      </c>
      <c r="AP62">
        <v>1825000</v>
      </c>
      <c r="AQ62">
        <v>2553000</v>
      </c>
      <c r="AR62">
        <v>1.39</v>
      </c>
      <c r="AS62">
        <v>13.8</v>
      </c>
    </row>
    <row r="63" spans="1:45" x14ac:dyDescent="0.3">
      <c r="A63" t="s">
        <v>106</v>
      </c>
      <c r="B63">
        <v>110860</v>
      </c>
      <c r="C63">
        <v>12.03</v>
      </c>
      <c r="D63">
        <v>-185100000</v>
      </c>
      <c r="E63">
        <v>7.19</v>
      </c>
      <c r="F63">
        <v>12090000000</v>
      </c>
      <c r="G63">
        <v>13400000000</v>
      </c>
      <c r="H63">
        <v>14410000000</v>
      </c>
      <c r="I63">
        <v>2104000000</v>
      </c>
      <c r="J63">
        <v>33920000000</v>
      </c>
      <c r="K63">
        <v>3000</v>
      </c>
      <c r="L63">
        <v>3</v>
      </c>
      <c r="M63">
        <v>0.1</v>
      </c>
      <c r="N63">
        <v>200</v>
      </c>
      <c r="O63">
        <v>3300</v>
      </c>
      <c r="P63">
        <v>60858</v>
      </c>
      <c r="Q63">
        <v>5296000000</v>
      </c>
      <c r="R63">
        <v>1.4</v>
      </c>
      <c r="S63">
        <v>6.33</v>
      </c>
      <c r="T63">
        <v>3.1</v>
      </c>
      <c r="U63">
        <v>1529</v>
      </c>
      <c r="V63">
        <v>120000</v>
      </c>
      <c r="W63">
        <v>11.2</v>
      </c>
      <c r="X63">
        <v>4550000</v>
      </c>
      <c r="Y63">
        <v>77.23</v>
      </c>
      <c r="Z63">
        <v>572300000</v>
      </c>
      <c r="AA63">
        <v>1.8</v>
      </c>
      <c r="AB63">
        <v>600000000</v>
      </c>
      <c r="AC63">
        <v>0</v>
      </c>
      <c r="AD63">
        <v>0</v>
      </c>
      <c r="AE63">
        <v>600000000</v>
      </c>
      <c r="AF63">
        <v>42620000000</v>
      </c>
      <c r="AG63">
        <v>163000</v>
      </c>
      <c r="AJ63">
        <v>77900</v>
      </c>
      <c r="AK63">
        <v>532000000</v>
      </c>
      <c r="AL63">
        <v>11346670</v>
      </c>
      <c r="AN63">
        <v>4226</v>
      </c>
      <c r="AO63">
        <v>738600000</v>
      </c>
      <c r="AP63">
        <v>574400</v>
      </c>
      <c r="AQ63">
        <v>17900</v>
      </c>
      <c r="AR63">
        <v>1.66</v>
      </c>
      <c r="AS63">
        <v>2.5</v>
      </c>
    </row>
    <row r="64" spans="1:45" x14ac:dyDescent="0.3">
      <c r="A64" t="s">
        <v>107</v>
      </c>
      <c r="B64">
        <v>9250</v>
      </c>
      <c r="C64">
        <v>12.57</v>
      </c>
      <c r="D64">
        <v>-619900000</v>
      </c>
      <c r="E64">
        <v>7.64</v>
      </c>
      <c r="F64">
        <v>7327000000</v>
      </c>
      <c r="G64">
        <v>602000000</v>
      </c>
      <c r="H64">
        <v>4000000000</v>
      </c>
      <c r="I64">
        <v>49300000</v>
      </c>
      <c r="J64">
        <v>4540000000</v>
      </c>
      <c r="K64">
        <v>7135</v>
      </c>
      <c r="L64">
        <v>2.6</v>
      </c>
      <c r="M64">
        <v>0.1</v>
      </c>
      <c r="O64">
        <v>1000</v>
      </c>
      <c r="P64">
        <v>13943</v>
      </c>
      <c r="Q64">
        <v>415200000</v>
      </c>
      <c r="R64">
        <v>-0.3</v>
      </c>
      <c r="S64">
        <v>7.18</v>
      </c>
      <c r="T64">
        <v>2.4</v>
      </c>
      <c r="U64">
        <v>5901</v>
      </c>
      <c r="V64">
        <v>210000</v>
      </c>
      <c r="W64">
        <v>17.899999999999999</v>
      </c>
      <c r="X64">
        <v>95025</v>
      </c>
      <c r="Y64">
        <v>77.650000000000006</v>
      </c>
      <c r="Z64">
        <v>384000000</v>
      </c>
      <c r="AA64">
        <v>3.8</v>
      </c>
      <c r="AG64">
        <v>49000</v>
      </c>
      <c r="AJ64">
        <v>300</v>
      </c>
      <c r="AL64">
        <v>780133</v>
      </c>
      <c r="AM64">
        <v>74.900000000000006</v>
      </c>
      <c r="AO64">
        <v>941600000</v>
      </c>
      <c r="AP64">
        <v>86228</v>
      </c>
      <c r="AQ64">
        <v>143178</v>
      </c>
      <c r="AR64">
        <v>1.83</v>
      </c>
      <c r="AS64">
        <v>3.2</v>
      </c>
    </row>
    <row r="65" spans="1:45" x14ac:dyDescent="0.3">
      <c r="A65" t="s">
        <v>108</v>
      </c>
      <c r="B65">
        <v>78866</v>
      </c>
      <c r="C65">
        <v>9.07</v>
      </c>
      <c r="D65">
        <v>-5730000000</v>
      </c>
      <c r="E65">
        <v>10.54</v>
      </c>
      <c r="F65">
        <v>36280000000</v>
      </c>
      <c r="G65">
        <v>55330000000</v>
      </c>
      <c r="H65">
        <v>71750000000</v>
      </c>
      <c r="I65">
        <v>66510000000</v>
      </c>
      <c r="J65">
        <v>172200000000</v>
      </c>
      <c r="K65">
        <v>16800</v>
      </c>
      <c r="L65">
        <v>3.7</v>
      </c>
      <c r="M65">
        <v>0.1</v>
      </c>
      <c r="N65">
        <v>10</v>
      </c>
      <c r="O65">
        <v>2500</v>
      </c>
      <c r="P65">
        <v>127204</v>
      </c>
      <c r="Q65">
        <v>68190000000</v>
      </c>
      <c r="R65">
        <v>4.7</v>
      </c>
      <c r="S65">
        <v>3.93</v>
      </c>
      <c r="T65">
        <v>3.2</v>
      </c>
      <c r="U65">
        <v>295677</v>
      </c>
      <c r="V65">
        <v>2700000</v>
      </c>
      <c r="W65">
        <v>29</v>
      </c>
      <c r="X65">
        <v>5250000</v>
      </c>
      <c r="Y65">
        <v>76.02</v>
      </c>
      <c r="Z65">
        <v>2170000000</v>
      </c>
      <c r="AA65">
        <v>2.02</v>
      </c>
      <c r="AB65">
        <v>9892000000</v>
      </c>
      <c r="AC65">
        <v>1000000</v>
      </c>
      <c r="AD65">
        <v>9521000000</v>
      </c>
      <c r="AE65">
        <v>160000000</v>
      </c>
      <c r="AF65">
        <v>3057000000</v>
      </c>
      <c r="AG65">
        <v>175700</v>
      </c>
      <c r="AH65">
        <v>26670</v>
      </c>
      <c r="AI65">
        <v>192300</v>
      </c>
      <c r="AJ65">
        <v>7419</v>
      </c>
      <c r="AK65">
        <v>17250000</v>
      </c>
      <c r="AL65">
        <v>10241138</v>
      </c>
      <c r="AM65">
        <v>33.5</v>
      </c>
      <c r="AN65">
        <v>9520</v>
      </c>
      <c r="AO65">
        <v>32780000000</v>
      </c>
      <c r="AP65">
        <v>3626000</v>
      </c>
      <c r="AQ65">
        <v>9708700</v>
      </c>
      <c r="AR65">
        <v>1.2</v>
      </c>
      <c r="AS65">
        <v>10.6</v>
      </c>
    </row>
    <row r="66" spans="1:45" x14ac:dyDescent="0.3">
      <c r="A66" t="s">
        <v>109</v>
      </c>
      <c r="B66">
        <v>43094</v>
      </c>
      <c r="C66">
        <v>11.36</v>
      </c>
      <c r="D66">
        <v>6529000000</v>
      </c>
      <c r="E66">
        <v>10.43</v>
      </c>
      <c r="F66">
        <v>21700000000</v>
      </c>
      <c r="G66">
        <v>31630000000</v>
      </c>
      <c r="H66">
        <v>36380000000</v>
      </c>
      <c r="I66">
        <v>73060000000</v>
      </c>
      <c r="J66">
        <v>174400000000</v>
      </c>
      <c r="K66">
        <v>32200</v>
      </c>
      <c r="L66">
        <v>2.1</v>
      </c>
      <c r="M66">
        <v>0.2</v>
      </c>
      <c r="N66">
        <v>100</v>
      </c>
      <c r="O66">
        <v>5000</v>
      </c>
      <c r="P66">
        <v>71847</v>
      </c>
      <c r="Q66">
        <v>63450000000</v>
      </c>
      <c r="R66">
        <v>1.7</v>
      </c>
      <c r="S66">
        <v>4.5599999999999996</v>
      </c>
      <c r="T66">
        <v>1.4</v>
      </c>
      <c r="U66">
        <v>1219925</v>
      </c>
      <c r="V66">
        <v>2756000</v>
      </c>
      <c r="W66">
        <v>19.8</v>
      </c>
      <c r="X66">
        <v>2870000</v>
      </c>
      <c r="Y66">
        <v>77.62</v>
      </c>
      <c r="Z66">
        <v>3271600000</v>
      </c>
      <c r="AA66">
        <v>1.5</v>
      </c>
      <c r="AB66">
        <v>5280000000</v>
      </c>
      <c r="AC66">
        <v>3100000000</v>
      </c>
      <c r="AD66">
        <v>0</v>
      </c>
      <c r="AE66">
        <v>8380000000</v>
      </c>
      <c r="AF66">
        <v>81980000000</v>
      </c>
      <c r="AG66">
        <v>218000</v>
      </c>
      <c r="AH66">
        <v>332100</v>
      </c>
      <c r="AI66">
        <v>195000</v>
      </c>
      <c r="AJ66">
        <v>346200</v>
      </c>
      <c r="AK66">
        <v>1230000000</v>
      </c>
      <c r="AL66">
        <v>5432335</v>
      </c>
      <c r="AM66">
        <v>42.5</v>
      </c>
      <c r="AN66">
        <v>3002</v>
      </c>
      <c r="AO66">
        <v>37980000000</v>
      </c>
      <c r="AP66">
        <v>3610100</v>
      </c>
      <c r="AQ66">
        <v>4785300</v>
      </c>
      <c r="AR66">
        <v>1.74</v>
      </c>
      <c r="AS66">
        <v>6.2</v>
      </c>
    </row>
    <row r="67" spans="1:45" x14ac:dyDescent="0.3">
      <c r="A67" t="s">
        <v>110</v>
      </c>
      <c r="B67">
        <v>131</v>
      </c>
    </row>
    <row r="68" spans="1:45" x14ac:dyDescent="0.3">
      <c r="A68" t="s">
        <v>111</v>
      </c>
      <c r="B68">
        <v>23000</v>
      </c>
      <c r="C68">
        <v>39.979999999999997</v>
      </c>
      <c r="E68">
        <v>19.39</v>
      </c>
      <c r="F68">
        <v>366000000</v>
      </c>
      <c r="G68">
        <v>167400000</v>
      </c>
      <c r="H68">
        <v>180000000</v>
      </c>
      <c r="I68">
        <v>155000000</v>
      </c>
      <c r="J68">
        <v>619000000</v>
      </c>
      <c r="K68">
        <v>1300</v>
      </c>
      <c r="L68">
        <v>3.5</v>
      </c>
      <c r="M68">
        <v>2.9</v>
      </c>
      <c r="N68">
        <v>690</v>
      </c>
      <c r="O68">
        <v>9100</v>
      </c>
      <c r="P68">
        <v>2890</v>
      </c>
      <c r="Q68">
        <v>665000000</v>
      </c>
      <c r="R68">
        <v>3</v>
      </c>
      <c r="S68">
        <v>104.13</v>
      </c>
      <c r="T68">
        <v>2</v>
      </c>
      <c r="U68">
        <v>702</v>
      </c>
      <c r="V68">
        <v>6500</v>
      </c>
      <c r="X68">
        <v>282000</v>
      </c>
      <c r="Y68">
        <v>43.1</v>
      </c>
      <c r="Z68">
        <v>28600000</v>
      </c>
      <c r="AA68">
        <v>4.4000000000000004</v>
      </c>
      <c r="AG68">
        <v>11300</v>
      </c>
      <c r="AJ68">
        <v>0</v>
      </c>
      <c r="AL68">
        <v>476703</v>
      </c>
      <c r="AN68">
        <v>100</v>
      </c>
      <c r="AP68">
        <v>9500</v>
      </c>
      <c r="AQ68">
        <v>23000</v>
      </c>
      <c r="AR68">
        <v>5.4</v>
      </c>
      <c r="AS68">
        <v>50</v>
      </c>
    </row>
    <row r="69" spans="1:45" x14ac:dyDescent="0.3">
      <c r="A69" t="s">
        <v>112</v>
      </c>
      <c r="B69">
        <v>754</v>
      </c>
      <c r="C69">
        <v>15.73</v>
      </c>
      <c r="E69">
        <v>6.81</v>
      </c>
      <c r="F69">
        <v>161500000</v>
      </c>
      <c r="G69">
        <v>63620000</v>
      </c>
      <c r="H69">
        <v>68410000</v>
      </c>
      <c r="I69">
        <v>39000000</v>
      </c>
      <c r="J69">
        <v>384000000</v>
      </c>
      <c r="K69">
        <v>5500</v>
      </c>
      <c r="L69">
        <v>-1</v>
      </c>
      <c r="P69">
        <v>780</v>
      </c>
      <c r="Q69">
        <v>98200000</v>
      </c>
      <c r="R69">
        <v>-10</v>
      </c>
      <c r="S69">
        <v>14.15</v>
      </c>
      <c r="T69">
        <v>1</v>
      </c>
      <c r="U69">
        <v>681</v>
      </c>
      <c r="V69">
        <v>12500</v>
      </c>
      <c r="X69">
        <v>25000</v>
      </c>
      <c r="Y69">
        <v>74.650000000000006</v>
      </c>
      <c r="AG69">
        <v>600</v>
      </c>
      <c r="AJ69">
        <v>0</v>
      </c>
      <c r="AL69">
        <v>69029</v>
      </c>
      <c r="AP69">
        <v>23700</v>
      </c>
      <c r="AQ69">
        <v>9400</v>
      </c>
      <c r="AR69">
        <v>1.96</v>
      </c>
      <c r="AS69">
        <v>23</v>
      </c>
    </row>
    <row r="70" spans="1:45" x14ac:dyDescent="0.3">
      <c r="A70" t="s">
        <v>113</v>
      </c>
      <c r="B70">
        <v>48730</v>
      </c>
      <c r="C70">
        <v>23.28</v>
      </c>
      <c r="D70">
        <v>762200000</v>
      </c>
      <c r="E70">
        <v>7.35</v>
      </c>
      <c r="F70">
        <v>7745000000</v>
      </c>
      <c r="G70">
        <v>8912000000</v>
      </c>
      <c r="H70">
        <v>9583000000</v>
      </c>
      <c r="I70">
        <v>5446000000</v>
      </c>
      <c r="J70">
        <v>55680000000</v>
      </c>
      <c r="K70">
        <v>6300</v>
      </c>
      <c r="L70">
        <v>1.7</v>
      </c>
      <c r="M70">
        <v>1.7</v>
      </c>
      <c r="N70">
        <v>7900</v>
      </c>
      <c r="O70">
        <v>88000</v>
      </c>
      <c r="P70">
        <v>12600</v>
      </c>
      <c r="Q70">
        <v>8093000000</v>
      </c>
      <c r="R70">
        <v>2</v>
      </c>
      <c r="S70">
        <v>32.380000000000003</v>
      </c>
      <c r="T70">
        <v>55</v>
      </c>
      <c r="U70">
        <v>64197</v>
      </c>
      <c r="V70">
        <v>500000</v>
      </c>
      <c r="W70">
        <v>18.899999999999999</v>
      </c>
      <c r="Y70">
        <v>67.260000000000005</v>
      </c>
      <c r="Z70">
        <v>180000000</v>
      </c>
      <c r="AA70">
        <v>1.1000000000000001</v>
      </c>
      <c r="AG70">
        <v>129000</v>
      </c>
      <c r="AI70">
        <v>129900</v>
      </c>
      <c r="AJ70">
        <v>0</v>
      </c>
      <c r="AL70">
        <v>8950034</v>
      </c>
      <c r="AM70">
        <v>61.1</v>
      </c>
      <c r="AN70">
        <v>1743</v>
      </c>
      <c r="AO70">
        <v>426000000</v>
      </c>
      <c r="AP70">
        <v>901800</v>
      </c>
      <c r="AQ70">
        <v>2120400</v>
      </c>
      <c r="AR70">
        <v>2.86</v>
      </c>
      <c r="AS70">
        <v>17</v>
      </c>
    </row>
    <row r="71" spans="1:45" x14ac:dyDescent="0.3">
      <c r="A71" t="s">
        <v>114</v>
      </c>
      <c r="B71">
        <v>15007</v>
      </c>
      <c r="C71">
        <v>27.19</v>
      </c>
      <c r="E71">
        <v>6.3</v>
      </c>
      <c r="I71">
        <v>8000000</v>
      </c>
      <c r="J71">
        <v>370000000</v>
      </c>
      <c r="K71">
        <v>400</v>
      </c>
      <c r="L71">
        <v>1</v>
      </c>
      <c r="P71">
        <v>3800</v>
      </c>
      <c r="Q71">
        <v>167000000</v>
      </c>
      <c r="R71">
        <v>8.5</v>
      </c>
      <c r="S71">
        <v>47.41</v>
      </c>
      <c r="T71">
        <v>4</v>
      </c>
      <c r="Y71">
        <v>65.900000000000006</v>
      </c>
      <c r="Z71">
        <v>4400000</v>
      </c>
      <c r="AL71">
        <v>1040880</v>
      </c>
      <c r="AR71">
        <v>3.61</v>
      </c>
      <c r="AS71">
        <v>50</v>
      </c>
    </row>
    <row r="72" spans="1:45" x14ac:dyDescent="0.3">
      <c r="A72" t="s">
        <v>115</v>
      </c>
      <c r="B72">
        <v>283560</v>
      </c>
      <c r="C72">
        <v>22.67</v>
      </c>
      <c r="D72">
        <v>261100000</v>
      </c>
      <c r="E72">
        <v>4.24</v>
      </c>
      <c r="F72">
        <v>16810000000</v>
      </c>
      <c r="G72">
        <v>75580000000</v>
      </c>
      <c r="H72">
        <v>81270000000</v>
      </c>
      <c r="I72">
        <v>7560000000</v>
      </c>
      <c r="J72">
        <v>49510000000</v>
      </c>
      <c r="K72">
        <v>3700</v>
      </c>
      <c r="L72">
        <v>5.8</v>
      </c>
      <c r="M72">
        <v>0.3</v>
      </c>
      <c r="N72">
        <v>1700</v>
      </c>
      <c r="O72">
        <v>21000</v>
      </c>
      <c r="P72">
        <v>43197</v>
      </c>
      <c r="Q72">
        <v>7650000000</v>
      </c>
      <c r="R72">
        <v>10</v>
      </c>
      <c r="S72">
        <v>23.66</v>
      </c>
      <c r="T72">
        <v>2</v>
      </c>
      <c r="U72">
        <v>3188</v>
      </c>
      <c r="V72">
        <v>569700</v>
      </c>
      <c r="W72">
        <v>20.6</v>
      </c>
      <c r="X72">
        <v>4530000</v>
      </c>
      <c r="Y72">
        <v>76.209999999999994</v>
      </c>
      <c r="Z72">
        <v>655000000</v>
      </c>
      <c r="AA72">
        <v>2.2000000000000002</v>
      </c>
      <c r="AB72">
        <v>160000000</v>
      </c>
      <c r="AC72">
        <v>0</v>
      </c>
      <c r="AD72">
        <v>0</v>
      </c>
      <c r="AE72">
        <v>160000000</v>
      </c>
      <c r="AF72">
        <v>106500000000</v>
      </c>
      <c r="AG72">
        <v>129000</v>
      </c>
      <c r="AH72">
        <v>387000</v>
      </c>
      <c r="AJ72">
        <v>523000</v>
      </c>
      <c r="AK72">
        <v>4408000000</v>
      </c>
      <c r="AL72">
        <v>13363593</v>
      </c>
      <c r="AM72">
        <v>49.2</v>
      </c>
      <c r="AN72">
        <v>966</v>
      </c>
      <c r="AO72">
        <v>1436000000</v>
      </c>
      <c r="AP72">
        <v>1549000</v>
      </c>
      <c r="AQ72">
        <v>2394400</v>
      </c>
      <c r="AR72">
        <v>2.72</v>
      </c>
      <c r="AS72">
        <v>11.1</v>
      </c>
    </row>
    <row r="73" spans="1:45" x14ac:dyDescent="0.3">
      <c r="A73" t="s">
        <v>116</v>
      </c>
      <c r="B73">
        <v>1001450</v>
      </c>
      <c r="C73">
        <v>23.32</v>
      </c>
      <c r="D73">
        <v>2113000000</v>
      </c>
      <c r="E73">
        <v>5.26</v>
      </c>
      <c r="F73">
        <v>33750000000</v>
      </c>
      <c r="G73">
        <v>75580000000</v>
      </c>
      <c r="H73">
        <v>81270000000</v>
      </c>
      <c r="I73">
        <v>11000000000</v>
      </c>
      <c r="J73">
        <v>316300000000</v>
      </c>
      <c r="K73">
        <v>4200</v>
      </c>
      <c r="L73">
        <v>4.5</v>
      </c>
      <c r="M73">
        <v>0.1</v>
      </c>
      <c r="N73">
        <v>700</v>
      </c>
      <c r="O73">
        <v>12000</v>
      </c>
      <c r="P73">
        <v>64000</v>
      </c>
      <c r="Q73">
        <v>19210000000</v>
      </c>
      <c r="R73">
        <v>2.5</v>
      </c>
      <c r="S73">
        <v>32.590000000000003</v>
      </c>
      <c r="T73">
        <v>9.5</v>
      </c>
      <c r="U73">
        <v>3401</v>
      </c>
      <c r="V73">
        <v>2700000</v>
      </c>
      <c r="W73">
        <v>15.8</v>
      </c>
      <c r="X73">
        <v>20710000</v>
      </c>
      <c r="Y73">
        <v>71</v>
      </c>
      <c r="Z73">
        <v>2440000000</v>
      </c>
      <c r="AA73">
        <v>3.4</v>
      </c>
      <c r="AB73">
        <v>21200000000</v>
      </c>
      <c r="AC73">
        <v>0</v>
      </c>
      <c r="AD73">
        <v>0</v>
      </c>
      <c r="AE73">
        <v>21200000000</v>
      </c>
      <c r="AF73">
        <v>1264000000000</v>
      </c>
      <c r="AG73">
        <v>562000</v>
      </c>
      <c r="AJ73">
        <v>740000</v>
      </c>
      <c r="AK73">
        <v>2700000000</v>
      </c>
      <c r="AL73">
        <v>77505756</v>
      </c>
      <c r="AM73">
        <v>102.7</v>
      </c>
      <c r="AN73">
        <v>5063</v>
      </c>
      <c r="AO73">
        <v>14030000000</v>
      </c>
      <c r="AP73">
        <v>8735700</v>
      </c>
      <c r="AQ73">
        <v>5797500</v>
      </c>
      <c r="AR73">
        <v>2.88</v>
      </c>
      <c r="AS73">
        <v>10.9</v>
      </c>
    </row>
    <row r="74" spans="1:45" x14ac:dyDescent="0.3">
      <c r="A74" t="s">
        <v>117</v>
      </c>
      <c r="B74">
        <v>21040</v>
      </c>
      <c r="C74">
        <v>27.04</v>
      </c>
      <c r="D74">
        <v>-880500000</v>
      </c>
      <c r="E74">
        <v>5.85</v>
      </c>
      <c r="F74">
        <v>4792000000</v>
      </c>
      <c r="G74">
        <v>4450000000</v>
      </c>
      <c r="H74">
        <v>4158000000</v>
      </c>
      <c r="I74">
        <v>3249000000</v>
      </c>
      <c r="J74">
        <v>32350000000</v>
      </c>
      <c r="K74">
        <v>4900</v>
      </c>
      <c r="L74">
        <v>1.8</v>
      </c>
      <c r="M74">
        <v>0.7</v>
      </c>
      <c r="N74">
        <v>2200</v>
      </c>
      <c r="O74">
        <v>29000</v>
      </c>
      <c r="P74">
        <v>10029</v>
      </c>
      <c r="Q74">
        <v>5968000000</v>
      </c>
      <c r="R74">
        <v>0.7</v>
      </c>
      <c r="S74">
        <v>25.1</v>
      </c>
      <c r="T74">
        <v>5.4</v>
      </c>
      <c r="U74">
        <v>4084</v>
      </c>
      <c r="V74">
        <v>550000</v>
      </c>
      <c r="W74">
        <v>16.600000000000001</v>
      </c>
      <c r="X74">
        <v>2750000</v>
      </c>
      <c r="Y74">
        <v>71.22</v>
      </c>
      <c r="Z74">
        <v>157000000</v>
      </c>
      <c r="AA74">
        <v>1.1000000000000001</v>
      </c>
      <c r="AG74">
        <v>39000</v>
      </c>
      <c r="AJ74">
        <v>0</v>
      </c>
      <c r="AL74">
        <v>6704932</v>
      </c>
      <c r="AM74">
        <v>41.7</v>
      </c>
      <c r="AN74">
        <v>283</v>
      </c>
      <c r="AO74">
        <v>1888000000</v>
      </c>
      <c r="AP74">
        <v>752600</v>
      </c>
      <c r="AQ74">
        <v>1149800</v>
      </c>
      <c r="AR74">
        <v>3.16</v>
      </c>
      <c r="AS74">
        <v>6.3</v>
      </c>
    </row>
    <row r="75" spans="1:45" x14ac:dyDescent="0.3">
      <c r="A75" t="s">
        <v>118</v>
      </c>
      <c r="B75">
        <v>28051</v>
      </c>
      <c r="C75">
        <v>36.18</v>
      </c>
      <c r="D75">
        <v>-578600000</v>
      </c>
      <c r="E75">
        <v>12</v>
      </c>
      <c r="F75">
        <v>248000000</v>
      </c>
      <c r="G75">
        <v>24820000</v>
      </c>
      <c r="H75">
        <v>26690000</v>
      </c>
      <c r="I75">
        <v>2771000000</v>
      </c>
      <c r="J75">
        <v>1270000000</v>
      </c>
      <c r="K75">
        <v>2700</v>
      </c>
      <c r="L75">
        <v>20</v>
      </c>
      <c r="M75">
        <v>3.4</v>
      </c>
      <c r="N75">
        <v>370</v>
      </c>
      <c r="O75">
        <v>5900</v>
      </c>
      <c r="P75">
        <v>2880</v>
      </c>
      <c r="Q75">
        <v>1167000000</v>
      </c>
      <c r="R75">
        <v>30</v>
      </c>
      <c r="S75">
        <v>85.13</v>
      </c>
      <c r="T75">
        <v>8.5</v>
      </c>
      <c r="U75">
        <v>3</v>
      </c>
      <c r="V75">
        <v>1800</v>
      </c>
      <c r="W75">
        <v>50.8</v>
      </c>
      <c r="Y75">
        <v>55.56</v>
      </c>
      <c r="Z75">
        <v>126200000</v>
      </c>
      <c r="AA75">
        <v>2.5</v>
      </c>
      <c r="AB75">
        <v>20000000</v>
      </c>
      <c r="AC75">
        <v>0</v>
      </c>
      <c r="AD75">
        <v>0</v>
      </c>
      <c r="AE75">
        <v>20000000</v>
      </c>
      <c r="AF75">
        <v>68530000000</v>
      </c>
      <c r="AG75">
        <v>2000</v>
      </c>
      <c r="AJ75">
        <v>350000</v>
      </c>
      <c r="AK75">
        <v>563500000</v>
      </c>
      <c r="AL75">
        <v>535881</v>
      </c>
      <c r="AO75">
        <v>235200000</v>
      </c>
      <c r="AP75">
        <v>9600</v>
      </c>
      <c r="AQ75">
        <v>41500</v>
      </c>
      <c r="AR75">
        <v>4.62</v>
      </c>
      <c r="AS75">
        <v>30</v>
      </c>
    </row>
    <row r="76" spans="1:45" x14ac:dyDescent="0.3">
      <c r="A76" t="s">
        <v>119</v>
      </c>
      <c r="B76">
        <v>121320</v>
      </c>
      <c r="C76">
        <v>38.619999999999997</v>
      </c>
      <c r="D76">
        <v>-144900000</v>
      </c>
      <c r="E76">
        <v>13.53</v>
      </c>
      <c r="F76">
        <v>311000000</v>
      </c>
      <c r="G76">
        <v>229400000</v>
      </c>
      <c r="H76">
        <v>246600000</v>
      </c>
      <c r="I76">
        <v>64440000</v>
      </c>
      <c r="J76">
        <v>4154000000</v>
      </c>
      <c r="K76">
        <v>900</v>
      </c>
      <c r="L76">
        <v>2.5</v>
      </c>
      <c r="M76">
        <v>2.7</v>
      </c>
      <c r="N76">
        <v>6300</v>
      </c>
      <c r="O76">
        <v>60000</v>
      </c>
      <c r="P76">
        <v>4010</v>
      </c>
      <c r="Q76">
        <v>622000000</v>
      </c>
      <c r="S76">
        <v>74.87</v>
      </c>
      <c r="T76">
        <v>10</v>
      </c>
      <c r="U76">
        <v>1047</v>
      </c>
      <c r="V76">
        <v>9500</v>
      </c>
      <c r="W76">
        <v>26.3</v>
      </c>
      <c r="Y76">
        <v>52.16</v>
      </c>
      <c r="Z76">
        <v>151000000</v>
      </c>
      <c r="AA76">
        <v>13.4</v>
      </c>
      <c r="AG76">
        <v>6000</v>
      </c>
      <c r="AJ76">
        <v>0</v>
      </c>
      <c r="AL76">
        <v>4561599</v>
      </c>
      <c r="AN76">
        <v>306</v>
      </c>
      <c r="AO76">
        <v>30870000</v>
      </c>
      <c r="AP76">
        <v>38100</v>
      </c>
      <c r="AR76">
        <v>5.61</v>
      </c>
    </row>
    <row r="77" spans="1:45" x14ac:dyDescent="0.3">
      <c r="A77" t="s">
        <v>120</v>
      </c>
      <c r="B77">
        <v>45226</v>
      </c>
      <c r="C77">
        <v>9.91</v>
      </c>
      <c r="D77">
        <v>-1169000000</v>
      </c>
      <c r="E77">
        <v>13.21</v>
      </c>
      <c r="F77">
        <v>8373000000</v>
      </c>
      <c r="G77">
        <v>6358000000</v>
      </c>
      <c r="H77">
        <v>8301000000</v>
      </c>
      <c r="I77">
        <v>5701000000</v>
      </c>
      <c r="J77">
        <v>19230000000</v>
      </c>
      <c r="K77">
        <v>14300</v>
      </c>
      <c r="L77">
        <v>6</v>
      </c>
      <c r="M77">
        <v>1.1000000000000001</v>
      </c>
      <c r="N77">
        <v>200</v>
      </c>
      <c r="O77">
        <v>7800</v>
      </c>
      <c r="P77">
        <v>55944</v>
      </c>
      <c r="Q77">
        <v>7318000000</v>
      </c>
      <c r="R77">
        <v>5</v>
      </c>
      <c r="S77">
        <v>7.87</v>
      </c>
      <c r="T77">
        <v>3</v>
      </c>
      <c r="U77">
        <v>82142</v>
      </c>
      <c r="V77">
        <v>444000</v>
      </c>
      <c r="W77">
        <v>28.2</v>
      </c>
      <c r="X77">
        <v>660000</v>
      </c>
      <c r="Y77">
        <v>71.77</v>
      </c>
      <c r="Z77">
        <v>155000000</v>
      </c>
      <c r="AA77">
        <v>2</v>
      </c>
      <c r="AB77">
        <v>1270000000</v>
      </c>
      <c r="AC77">
        <v>0</v>
      </c>
      <c r="AD77">
        <v>1270000000</v>
      </c>
      <c r="AE77">
        <v>0</v>
      </c>
      <c r="AG77">
        <v>24000</v>
      </c>
      <c r="AJ77">
        <v>5100</v>
      </c>
      <c r="AL77">
        <v>1332893</v>
      </c>
      <c r="AM77">
        <v>5.4</v>
      </c>
      <c r="AN77">
        <v>958</v>
      </c>
      <c r="AO77">
        <v>1503000000</v>
      </c>
      <c r="AP77">
        <v>475000</v>
      </c>
      <c r="AQ77">
        <v>881000</v>
      </c>
      <c r="AR77">
        <v>1.39</v>
      </c>
      <c r="AS77">
        <v>9.6</v>
      </c>
    </row>
    <row r="78" spans="1:45" x14ac:dyDescent="0.3">
      <c r="A78" t="s">
        <v>121</v>
      </c>
      <c r="B78">
        <v>1127127</v>
      </c>
      <c r="C78">
        <v>38.61</v>
      </c>
      <c r="D78">
        <v>-464400000</v>
      </c>
      <c r="E78">
        <v>15.06</v>
      </c>
      <c r="F78">
        <v>2900000000</v>
      </c>
      <c r="G78">
        <v>1998000000</v>
      </c>
      <c r="H78">
        <v>2149000000</v>
      </c>
      <c r="I78">
        <v>562800000</v>
      </c>
      <c r="J78">
        <v>54890000000</v>
      </c>
      <c r="K78">
        <v>800</v>
      </c>
      <c r="L78">
        <v>11.6</v>
      </c>
      <c r="M78">
        <v>4.4000000000000004</v>
      </c>
      <c r="N78">
        <v>120000</v>
      </c>
      <c r="O78">
        <v>1500000</v>
      </c>
      <c r="P78">
        <v>33297</v>
      </c>
      <c r="Q78">
        <v>2104000000</v>
      </c>
      <c r="R78">
        <v>6.7</v>
      </c>
      <c r="S78">
        <v>95.32</v>
      </c>
      <c r="T78">
        <v>2.4</v>
      </c>
      <c r="U78">
        <v>9</v>
      </c>
      <c r="V78">
        <v>75000</v>
      </c>
      <c r="W78">
        <v>17.8</v>
      </c>
      <c r="Y78">
        <v>48.83</v>
      </c>
      <c r="Z78">
        <v>337100000</v>
      </c>
      <c r="AA78">
        <v>4.5999999999999996</v>
      </c>
      <c r="AF78">
        <v>12460000000</v>
      </c>
      <c r="AG78">
        <v>23000</v>
      </c>
      <c r="AJ78">
        <v>0</v>
      </c>
      <c r="AK78">
        <v>214000</v>
      </c>
      <c r="AL78">
        <v>73053286</v>
      </c>
      <c r="AN78">
        <v>681</v>
      </c>
      <c r="AO78">
        <v>923100000</v>
      </c>
      <c r="AP78">
        <v>435000</v>
      </c>
      <c r="AQ78">
        <v>97800</v>
      </c>
      <c r="AR78">
        <v>5.33</v>
      </c>
    </row>
    <row r="79" spans="1:45" x14ac:dyDescent="0.3">
      <c r="A79" t="s">
        <v>122</v>
      </c>
      <c r="B79">
        <v>28</v>
      </c>
    </row>
    <row r="80" spans="1:45" x14ac:dyDescent="0.3">
      <c r="A80" t="s">
        <v>123</v>
      </c>
      <c r="B80">
        <v>3976372</v>
      </c>
      <c r="C80">
        <v>10.1</v>
      </c>
      <c r="E80">
        <v>10.1</v>
      </c>
      <c r="G80">
        <v>2661000000000</v>
      </c>
      <c r="H80">
        <v>2888000000000</v>
      </c>
      <c r="I80">
        <v>1109000000000</v>
      </c>
      <c r="J80">
        <v>11650000000000</v>
      </c>
      <c r="K80">
        <v>26900</v>
      </c>
      <c r="L80">
        <v>2.4</v>
      </c>
      <c r="P80">
        <v>4634810</v>
      </c>
      <c r="Q80">
        <v>1123000000000</v>
      </c>
      <c r="R80">
        <v>2.4</v>
      </c>
      <c r="S80">
        <v>5.2</v>
      </c>
      <c r="T80">
        <v>2.1</v>
      </c>
      <c r="U80">
        <v>22000414</v>
      </c>
      <c r="V80">
        <v>206032067</v>
      </c>
      <c r="W80">
        <v>19.5</v>
      </c>
      <c r="X80">
        <v>215000000</v>
      </c>
      <c r="Y80">
        <v>78.2</v>
      </c>
      <c r="AB80">
        <v>467700000000</v>
      </c>
      <c r="AC80">
        <v>78100000000</v>
      </c>
      <c r="AD80">
        <v>297800000000</v>
      </c>
      <c r="AE80">
        <v>242600000000</v>
      </c>
      <c r="AF80">
        <v>3256000000000</v>
      </c>
      <c r="AG80">
        <v>14540000</v>
      </c>
      <c r="AH80">
        <v>5322000</v>
      </c>
      <c r="AI80">
        <v>15690000</v>
      </c>
      <c r="AJ80">
        <v>2648000</v>
      </c>
      <c r="AK80">
        <v>28210000000</v>
      </c>
      <c r="AL80">
        <v>457030418</v>
      </c>
      <c r="AN80">
        <v>222293</v>
      </c>
      <c r="AP80">
        <v>238763162</v>
      </c>
      <c r="AQ80">
        <v>314644700</v>
      </c>
      <c r="AR80">
        <v>1.48</v>
      </c>
      <c r="AS80">
        <v>9.5</v>
      </c>
    </row>
    <row r="81" spans="1:45" x14ac:dyDescent="0.3">
      <c r="A81" t="s">
        <v>124</v>
      </c>
      <c r="B81">
        <v>12173</v>
      </c>
      <c r="G81">
        <v>17720000</v>
      </c>
      <c r="H81">
        <v>19060000</v>
      </c>
      <c r="I81">
        <v>82000000</v>
      </c>
      <c r="J81">
        <v>75000000</v>
      </c>
      <c r="K81">
        <v>25000</v>
      </c>
      <c r="P81">
        <v>440</v>
      </c>
      <c r="Q81">
        <v>53000000</v>
      </c>
      <c r="T81">
        <v>3.6</v>
      </c>
      <c r="X81">
        <v>1100</v>
      </c>
      <c r="AG81">
        <v>200</v>
      </c>
      <c r="AJ81">
        <v>0</v>
      </c>
      <c r="AL81">
        <v>2967</v>
      </c>
      <c r="AP81">
        <v>2400</v>
      </c>
      <c r="AQ81">
        <v>0</v>
      </c>
    </row>
    <row r="82" spans="1:45" x14ac:dyDescent="0.3">
      <c r="A82" t="s">
        <v>125</v>
      </c>
      <c r="B82">
        <v>1399</v>
      </c>
      <c r="C82">
        <v>13.97</v>
      </c>
      <c r="E82">
        <v>8.69</v>
      </c>
      <c r="F82">
        <v>64000000</v>
      </c>
      <c r="G82">
        <v>204600000</v>
      </c>
      <c r="H82">
        <v>220000000</v>
      </c>
      <c r="I82">
        <v>408000000</v>
      </c>
      <c r="J82">
        <v>1000000000</v>
      </c>
      <c r="K82">
        <v>22000</v>
      </c>
      <c r="L82">
        <v>10</v>
      </c>
      <c r="P82">
        <v>463</v>
      </c>
      <c r="Q82">
        <v>466000000</v>
      </c>
      <c r="R82">
        <v>8</v>
      </c>
      <c r="S82">
        <v>6.24</v>
      </c>
      <c r="T82">
        <v>5.0999999999999996</v>
      </c>
      <c r="V82">
        <v>25000</v>
      </c>
      <c r="X82">
        <v>24250</v>
      </c>
      <c r="Y82">
        <v>79.209999999999994</v>
      </c>
      <c r="AG82">
        <v>4500</v>
      </c>
      <c r="AJ82">
        <v>0</v>
      </c>
      <c r="AL82">
        <v>46962</v>
      </c>
      <c r="AP82">
        <v>23000</v>
      </c>
      <c r="AQ82">
        <v>30700</v>
      </c>
      <c r="AR82">
        <v>2.2000000000000002</v>
      </c>
      <c r="AS82">
        <v>1</v>
      </c>
    </row>
    <row r="83" spans="1:45" x14ac:dyDescent="0.3">
      <c r="A83" t="s">
        <v>126</v>
      </c>
      <c r="B83">
        <v>18270</v>
      </c>
      <c r="C83">
        <v>22.73</v>
      </c>
      <c r="E83">
        <v>5.65</v>
      </c>
      <c r="F83">
        <v>188100000</v>
      </c>
      <c r="G83">
        <v>697500000</v>
      </c>
      <c r="H83">
        <v>750000000</v>
      </c>
      <c r="I83">
        <v>609000000</v>
      </c>
      <c r="J83">
        <v>5173000000</v>
      </c>
      <c r="K83">
        <v>5900</v>
      </c>
      <c r="L83">
        <v>3.6</v>
      </c>
      <c r="M83">
        <v>0.1</v>
      </c>
      <c r="N83">
        <v>200</v>
      </c>
      <c r="O83">
        <v>600</v>
      </c>
      <c r="P83">
        <v>3440</v>
      </c>
      <c r="Q83">
        <v>835000000</v>
      </c>
      <c r="S83">
        <v>12.62</v>
      </c>
      <c r="T83">
        <v>1.6</v>
      </c>
      <c r="U83">
        <v>493</v>
      </c>
      <c r="V83">
        <v>55000</v>
      </c>
      <c r="X83">
        <v>137000</v>
      </c>
      <c r="Y83">
        <v>69.53</v>
      </c>
      <c r="Z83">
        <v>36000000</v>
      </c>
      <c r="AA83">
        <v>2.2000000000000002</v>
      </c>
      <c r="AG83">
        <v>5700</v>
      </c>
      <c r="AJ83">
        <v>0</v>
      </c>
      <c r="AL83">
        <v>893354</v>
      </c>
      <c r="AN83">
        <v>597</v>
      </c>
      <c r="AP83">
        <v>102000</v>
      </c>
      <c r="AQ83">
        <v>109900</v>
      </c>
      <c r="AR83">
        <v>2.75</v>
      </c>
      <c r="AS83">
        <v>7.6</v>
      </c>
    </row>
    <row r="84" spans="1:45" x14ac:dyDescent="0.3">
      <c r="A84" t="s">
        <v>127</v>
      </c>
      <c r="B84">
        <v>338145</v>
      </c>
      <c r="C84">
        <v>10.5</v>
      </c>
      <c r="D84">
        <v>11390000000</v>
      </c>
      <c r="E84">
        <v>9.7899999999999991</v>
      </c>
      <c r="F84">
        <v>30000000000</v>
      </c>
      <c r="G84">
        <v>78580000000</v>
      </c>
      <c r="H84">
        <v>71590000000</v>
      </c>
      <c r="I84">
        <v>61040000000</v>
      </c>
      <c r="J84">
        <v>151200000000</v>
      </c>
      <c r="K84">
        <v>29000</v>
      </c>
      <c r="L84">
        <v>3</v>
      </c>
      <c r="M84">
        <v>0.1</v>
      </c>
      <c r="N84">
        <v>100</v>
      </c>
      <c r="O84">
        <v>1500</v>
      </c>
      <c r="P84">
        <v>78197</v>
      </c>
      <c r="Q84">
        <v>45170000000</v>
      </c>
      <c r="R84">
        <v>2</v>
      </c>
      <c r="S84">
        <v>3.57</v>
      </c>
      <c r="T84">
        <v>0.7</v>
      </c>
      <c r="U84">
        <v>1219173</v>
      </c>
      <c r="V84">
        <v>2650000</v>
      </c>
      <c r="W84">
        <v>18.3</v>
      </c>
      <c r="X84">
        <v>2660000</v>
      </c>
      <c r="Y84">
        <v>78.349999999999994</v>
      </c>
      <c r="Z84">
        <v>1800000000</v>
      </c>
      <c r="AA84">
        <v>2</v>
      </c>
      <c r="AB84">
        <v>4557000000</v>
      </c>
      <c r="AC84">
        <v>0</v>
      </c>
      <c r="AD84">
        <v>4567000000</v>
      </c>
      <c r="AE84">
        <v>0</v>
      </c>
      <c r="AG84">
        <v>211400</v>
      </c>
      <c r="AH84">
        <v>101000</v>
      </c>
      <c r="AI84">
        <v>318300</v>
      </c>
      <c r="AJ84">
        <v>0</v>
      </c>
      <c r="AL84">
        <v>5223442</v>
      </c>
      <c r="AM84">
        <v>46.8</v>
      </c>
      <c r="AN84">
        <v>5851</v>
      </c>
      <c r="AO84">
        <v>11170000000</v>
      </c>
      <c r="AP84">
        <v>2548000</v>
      </c>
      <c r="AQ84">
        <v>4700000</v>
      </c>
      <c r="AR84">
        <v>1.73</v>
      </c>
      <c r="AS84">
        <v>8.9</v>
      </c>
    </row>
    <row r="85" spans="1:45" x14ac:dyDescent="0.3">
      <c r="A85" t="s">
        <v>128</v>
      </c>
      <c r="B85">
        <v>547030</v>
      </c>
      <c r="C85">
        <v>12.15</v>
      </c>
      <c r="D85">
        <v>-305000000</v>
      </c>
      <c r="E85">
        <v>9.08</v>
      </c>
      <c r="G85">
        <v>414700000000</v>
      </c>
      <c r="H85">
        <v>528600000000</v>
      </c>
      <c r="I85">
        <v>419000000000</v>
      </c>
      <c r="J85">
        <v>1737000000000</v>
      </c>
      <c r="K85">
        <v>28700</v>
      </c>
      <c r="L85">
        <v>2.1</v>
      </c>
      <c r="M85">
        <v>0.4</v>
      </c>
      <c r="N85">
        <v>1000</v>
      </c>
      <c r="O85">
        <v>120000</v>
      </c>
      <c r="P85">
        <v>893100</v>
      </c>
      <c r="Q85">
        <v>419700000000</v>
      </c>
      <c r="R85">
        <v>1.7</v>
      </c>
      <c r="S85">
        <v>4.26</v>
      </c>
      <c r="T85">
        <v>2.2999999999999998</v>
      </c>
      <c r="U85">
        <v>2396761</v>
      </c>
      <c r="V85">
        <v>21900000</v>
      </c>
      <c r="W85">
        <v>19.2</v>
      </c>
      <c r="X85">
        <v>27700000</v>
      </c>
      <c r="Y85">
        <v>79.599999999999994</v>
      </c>
      <c r="Z85">
        <v>45238100000</v>
      </c>
      <c r="AA85">
        <v>2.6</v>
      </c>
      <c r="AB85">
        <v>42010000000</v>
      </c>
      <c r="AC85">
        <v>1725000000</v>
      </c>
      <c r="AD85">
        <v>40260000000</v>
      </c>
      <c r="AE85">
        <v>1898000000</v>
      </c>
      <c r="AF85">
        <v>12860000000</v>
      </c>
      <c r="AG85">
        <v>2026000</v>
      </c>
      <c r="AH85">
        <v>409600</v>
      </c>
      <c r="AI85">
        <v>2281000</v>
      </c>
      <c r="AJ85">
        <v>34920</v>
      </c>
      <c r="AK85">
        <v>144300000</v>
      </c>
      <c r="AL85">
        <v>60656178</v>
      </c>
      <c r="AM85">
        <v>67.7</v>
      </c>
      <c r="AN85">
        <v>32175</v>
      </c>
      <c r="AO85">
        <v>70760000000</v>
      </c>
      <c r="AP85">
        <v>33905400</v>
      </c>
      <c r="AQ85">
        <v>41683100</v>
      </c>
      <c r="AR85">
        <v>1.85</v>
      </c>
      <c r="AS85">
        <v>10.1</v>
      </c>
    </row>
    <row r="86" spans="1:45" x14ac:dyDescent="0.3">
      <c r="A86" t="s">
        <v>129</v>
      </c>
      <c r="B86">
        <v>91000</v>
      </c>
      <c r="C86">
        <v>20.7</v>
      </c>
      <c r="E86">
        <v>4.8499999999999996</v>
      </c>
      <c r="F86">
        <v>1200000000</v>
      </c>
      <c r="G86">
        <v>427900000</v>
      </c>
      <c r="H86">
        <v>460100000</v>
      </c>
      <c r="I86">
        <v>155000000</v>
      </c>
      <c r="J86">
        <v>1551000000</v>
      </c>
      <c r="K86">
        <v>8300</v>
      </c>
      <c r="P86">
        <v>817</v>
      </c>
      <c r="Q86">
        <v>625000000</v>
      </c>
      <c r="S86">
        <v>12.07</v>
      </c>
      <c r="T86">
        <v>1.5</v>
      </c>
      <c r="V86">
        <v>3200</v>
      </c>
      <c r="X86">
        <v>58800</v>
      </c>
      <c r="Y86">
        <v>77.09</v>
      </c>
      <c r="AG86">
        <v>6500</v>
      </c>
      <c r="AJ86">
        <v>0</v>
      </c>
      <c r="AL86">
        <v>195506</v>
      </c>
      <c r="AP86">
        <v>51000</v>
      </c>
      <c r="AQ86">
        <v>138200</v>
      </c>
      <c r="AR86">
        <v>3.01</v>
      </c>
      <c r="AS86">
        <v>22</v>
      </c>
    </row>
    <row r="87" spans="1:45" x14ac:dyDescent="0.3">
      <c r="A87" t="s">
        <v>130</v>
      </c>
      <c r="B87">
        <v>4167</v>
      </c>
      <c r="C87">
        <v>16.93</v>
      </c>
      <c r="E87">
        <v>4.63</v>
      </c>
      <c r="G87">
        <v>353400000</v>
      </c>
      <c r="H87">
        <v>380000000</v>
      </c>
      <c r="I87">
        <v>244000000</v>
      </c>
      <c r="J87">
        <v>4580000000</v>
      </c>
      <c r="K87">
        <v>17500</v>
      </c>
      <c r="P87">
        <v>2590</v>
      </c>
      <c r="Q87">
        <v>1341000000</v>
      </c>
      <c r="S87">
        <v>8.44</v>
      </c>
      <c r="T87">
        <v>1.5</v>
      </c>
      <c r="U87">
        <v>5123</v>
      </c>
      <c r="V87">
        <v>35000</v>
      </c>
      <c r="X87">
        <v>70000</v>
      </c>
      <c r="Y87">
        <v>75.900000000000006</v>
      </c>
      <c r="AG87">
        <v>4750</v>
      </c>
      <c r="AJ87">
        <v>0</v>
      </c>
      <c r="AL87">
        <v>270485</v>
      </c>
      <c r="AP87">
        <v>52500</v>
      </c>
      <c r="AQ87">
        <v>90000</v>
      </c>
      <c r="AR87">
        <v>2.04</v>
      </c>
      <c r="AS87">
        <v>11.8</v>
      </c>
    </row>
    <row r="88" spans="1:45" x14ac:dyDescent="0.3">
      <c r="A88" t="s">
        <v>131</v>
      </c>
      <c r="B88">
        <v>7829</v>
      </c>
    </row>
    <row r="89" spans="1:45" x14ac:dyDescent="0.3">
      <c r="A89" t="s">
        <v>132</v>
      </c>
      <c r="B89">
        <v>267667</v>
      </c>
      <c r="C89">
        <v>36.24</v>
      </c>
      <c r="D89">
        <v>196800000</v>
      </c>
      <c r="E89">
        <v>11.72</v>
      </c>
      <c r="F89">
        <v>3804000000</v>
      </c>
      <c r="G89">
        <v>1080000000</v>
      </c>
      <c r="H89">
        <v>1161000000</v>
      </c>
      <c r="I89">
        <v>3710000000</v>
      </c>
      <c r="J89">
        <v>7966000000</v>
      </c>
      <c r="K89">
        <v>5900</v>
      </c>
      <c r="L89">
        <v>1.9</v>
      </c>
      <c r="M89">
        <v>8.1</v>
      </c>
      <c r="N89">
        <v>3000</v>
      </c>
      <c r="O89">
        <v>48000</v>
      </c>
      <c r="P89">
        <v>8464</v>
      </c>
      <c r="Q89">
        <v>1225000000</v>
      </c>
      <c r="R89">
        <v>1.6</v>
      </c>
      <c r="S89">
        <v>53.64</v>
      </c>
      <c r="T89">
        <v>1.5</v>
      </c>
      <c r="U89">
        <v>93</v>
      </c>
      <c r="V89">
        <v>35000</v>
      </c>
      <c r="W89">
        <v>21.8</v>
      </c>
      <c r="X89">
        <v>650000</v>
      </c>
      <c r="Y89">
        <v>55.75</v>
      </c>
      <c r="Z89">
        <v>184800000</v>
      </c>
      <c r="AA89">
        <v>2</v>
      </c>
      <c r="AB89">
        <v>80000000</v>
      </c>
      <c r="AC89">
        <v>0</v>
      </c>
      <c r="AD89">
        <v>0</v>
      </c>
      <c r="AE89">
        <v>80000000</v>
      </c>
      <c r="AF89">
        <v>66470000000</v>
      </c>
      <c r="AG89">
        <v>13000</v>
      </c>
      <c r="AJ89">
        <v>264900</v>
      </c>
      <c r="AK89">
        <v>2022000000</v>
      </c>
      <c r="AL89">
        <v>1389201</v>
      </c>
      <c r="AM89">
        <v>29.3</v>
      </c>
      <c r="AN89">
        <v>814</v>
      </c>
      <c r="AO89">
        <v>268600000</v>
      </c>
      <c r="AP89">
        <v>38400</v>
      </c>
      <c r="AQ89">
        <v>300000</v>
      </c>
      <c r="AR89">
        <v>4.7699999999999996</v>
      </c>
      <c r="AS89">
        <v>21</v>
      </c>
    </row>
    <row r="90" spans="1:45" x14ac:dyDescent="0.3">
      <c r="A90" t="s">
        <v>133</v>
      </c>
      <c r="B90">
        <v>11300</v>
      </c>
      <c r="C90">
        <v>39.86</v>
      </c>
      <c r="D90">
        <v>-16400000</v>
      </c>
      <c r="E90">
        <v>11.81</v>
      </c>
      <c r="F90">
        <v>476000000</v>
      </c>
      <c r="G90">
        <v>83990000</v>
      </c>
      <c r="H90">
        <v>90310000</v>
      </c>
      <c r="I90">
        <v>114400000</v>
      </c>
      <c r="J90">
        <v>2799000000</v>
      </c>
      <c r="K90">
        <v>1800</v>
      </c>
      <c r="L90">
        <v>6</v>
      </c>
      <c r="M90">
        <v>1.2</v>
      </c>
      <c r="N90">
        <v>600</v>
      </c>
      <c r="O90">
        <v>6800</v>
      </c>
      <c r="P90">
        <v>2700</v>
      </c>
      <c r="Q90">
        <v>180900000</v>
      </c>
      <c r="S90">
        <v>72.02</v>
      </c>
      <c r="T90">
        <v>7</v>
      </c>
      <c r="U90">
        <v>568</v>
      </c>
      <c r="V90">
        <v>25000</v>
      </c>
      <c r="W90">
        <v>25.3</v>
      </c>
      <c r="X90">
        <v>400000</v>
      </c>
      <c r="Y90">
        <v>55.2</v>
      </c>
      <c r="Z90">
        <v>1000000</v>
      </c>
      <c r="AA90">
        <v>0.3</v>
      </c>
      <c r="AG90">
        <v>1900</v>
      </c>
      <c r="AJ90">
        <v>0</v>
      </c>
      <c r="AL90">
        <v>1593256</v>
      </c>
      <c r="AO90">
        <v>113100000</v>
      </c>
      <c r="AP90">
        <v>38400</v>
      </c>
      <c r="AQ90">
        <v>100000</v>
      </c>
      <c r="AR90">
        <v>5.38</v>
      </c>
    </row>
    <row r="91" spans="1:45" x14ac:dyDescent="0.3">
      <c r="A91" t="s">
        <v>134</v>
      </c>
      <c r="B91">
        <v>360</v>
      </c>
      <c r="C91">
        <v>40.03</v>
      </c>
      <c r="E91">
        <v>3.87</v>
      </c>
      <c r="F91">
        <v>108000000</v>
      </c>
      <c r="I91">
        <v>205000000</v>
      </c>
      <c r="J91">
        <v>768000000</v>
      </c>
      <c r="K91">
        <v>600</v>
      </c>
      <c r="L91">
        <v>4.5</v>
      </c>
      <c r="Q91">
        <v>1900000000</v>
      </c>
      <c r="S91">
        <v>22.93</v>
      </c>
      <c r="T91">
        <v>2.2000000000000002</v>
      </c>
      <c r="V91">
        <v>60000</v>
      </c>
      <c r="X91">
        <v>725000</v>
      </c>
      <c r="Y91">
        <v>71.790000000000006</v>
      </c>
      <c r="AL91">
        <v>1376289</v>
      </c>
      <c r="AP91">
        <v>95729</v>
      </c>
      <c r="AQ91">
        <v>320000</v>
      </c>
      <c r="AR91">
        <v>5.91</v>
      </c>
      <c r="AS91">
        <v>50</v>
      </c>
    </row>
    <row r="92" spans="1:45" x14ac:dyDescent="0.3">
      <c r="A92" t="s">
        <v>135</v>
      </c>
      <c r="B92">
        <v>69700</v>
      </c>
      <c r="C92">
        <v>10.25</v>
      </c>
      <c r="D92">
        <v>-632900000</v>
      </c>
      <c r="E92">
        <v>9.09</v>
      </c>
      <c r="F92">
        <v>1800000000</v>
      </c>
      <c r="G92">
        <v>6811000000</v>
      </c>
      <c r="H92">
        <v>6732000000</v>
      </c>
      <c r="I92">
        <v>909400000</v>
      </c>
      <c r="J92">
        <v>14450000000</v>
      </c>
      <c r="K92">
        <v>3100</v>
      </c>
      <c r="L92">
        <v>9.5</v>
      </c>
      <c r="M92">
        <v>0.1</v>
      </c>
      <c r="N92">
        <v>200</v>
      </c>
      <c r="O92">
        <v>3000</v>
      </c>
      <c r="P92">
        <v>20229</v>
      </c>
      <c r="Q92">
        <v>1806000000</v>
      </c>
      <c r="R92">
        <v>3</v>
      </c>
      <c r="S92">
        <v>18.59</v>
      </c>
      <c r="T92">
        <v>5.5</v>
      </c>
      <c r="U92">
        <v>5160</v>
      </c>
      <c r="V92">
        <v>150500</v>
      </c>
      <c r="W92">
        <v>18.5</v>
      </c>
      <c r="X92">
        <v>2100000</v>
      </c>
      <c r="Y92">
        <v>75.88</v>
      </c>
      <c r="Z92">
        <v>23000000</v>
      </c>
      <c r="AA92">
        <v>0.59</v>
      </c>
      <c r="AB92">
        <v>1160000000</v>
      </c>
      <c r="AC92">
        <v>0</v>
      </c>
      <c r="AD92">
        <v>1100000000</v>
      </c>
      <c r="AE92">
        <v>60000000</v>
      </c>
      <c r="AG92">
        <v>31500</v>
      </c>
      <c r="AJ92">
        <v>2000</v>
      </c>
      <c r="AL92">
        <v>4677401</v>
      </c>
      <c r="AN92">
        <v>1612</v>
      </c>
      <c r="AO92">
        <v>231400000</v>
      </c>
      <c r="AP92">
        <v>650500</v>
      </c>
      <c r="AQ92">
        <v>522300</v>
      </c>
      <c r="AR92">
        <v>1.41</v>
      </c>
      <c r="AS92">
        <v>17</v>
      </c>
    </row>
    <row r="93" spans="1:45" x14ac:dyDescent="0.3">
      <c r="A93" t="s">
        <v>136</v>
      </c>
      <c r="B93">
        <v>357021</v>
      </c>
      <c r="C93">
        <v>8.33</v>
      </c>
      <c r="D93">
        <v>73590000000</v>
      </c>
      <c r="E93">
        <v>10.55</v>
      </c>
      <c r="G93">
        <v>519500000000</v>
      </c>
      <c r="H93">
        <v>560000000000</v>
      </c>
      <c r="I93">
        <v>893300000000</v>
      </c>
      <c r="J93">
        <v>2362000000000</v>
      </c>
      <c r="K93">
        <v>28700</v>
      </c>
      <c r="L93">
        <v>1.7</v>
      </c>
      <c r="M93">
        <v>0.1</v>
      </c>
      <c r="N93">
        <v>1000</v>
      </c>
      <c r="O93">
        <v>43000</v>
      </c>
      <c r="P93">
        <v>230735</v>
      </c>
      <c r="Q93">
        <v>716700000000</v>
      </c>
      <c r="R93">
        <v>2.2000000000000002</v>
      </c>
      <c r="S93">
        <v>4.16</v>
      </c>
      <c r="T93">
        <v>1.6</v>
      </c>
      <c r="U93">
        <v>2686119</v>
      </c>
      <c r="V93">
        <v>39000000</v>
      </c>
      <c r="W93">
        <v>17.600000000000001</v>
      </c>
      <c r="X93">
        <v>42630000</v>
      </c>
      <c r="Y93">
        <v>78.650000000000006</v>
      </c>
      <c r="Z93">
        <v>35063000000</v>
      </c>
      <c r="AA93">
        <v>1.5</v>
      </c>
      <c r="AB93">
        <v>99550000000</v>
      </c>
      <c r="AC93">
        <v>7731000000</v>
      </c>
      <c r="AD93">
        <v>85020000000</v>
      </c>
      <c r="AE93">
        <v>21000000000</v>
      </c>
      <c r="AF93">
        <v>293000000000</v>
      </c>
      <c r="AG93">
        <v>2891000</v>
      </c>
      <c r="AH93">
        <v>12990</v>
      </c>
      <c r="AI93">
        <v>2135000</v>
      </c>
      <c r="AJ93">
        <v>74100</v>
      </c>
      <c r="AK93">
        <v>395800000</v>
      </c>
      <c r="AL93">
        <v>82431390</v>
      </c>
      <c r="AM93">
        <v>65.8</v>
      </c>
      <c r="AN93">
        <v>46039</v>
      </c>
      <c r="AO93">
        <v>96840000000</v>
      </c>
      <c r="AP93">
        <v>54350000</v>
      </c>
      <c r="AQ93">
        <v>64800000</v>
      </c>
      <c r="AR93">
        <v>1.39</v>
      </c>
      <c r="AS93">
        <v>10.6</v>
      </c>
    </row>
    <row r="94" spans="1:45" x14ac:dyDescent="0.3">
      <c r="A94" t="s">
        <v>137</v>
      </c>
      <c r="B94">
        <v>239460</v>
      </c>
      <c r="C94">
        <v>23.97</v>
      </c>
      <c r="D94">
        <v>83870000</v>
      </c>
      <c r="E94">
        <v>10.84</v>
      </c>
      <c r="F94">
        <v>7396000000</v>
      </c>
      <c r="G94">
        <v>6137000000</v>
      </c>
      <c r="H94">
        <v>6922000000</v>
      </c>
      <c r="I94">
        <v>3010000000</v>
      </c>
      <c r="J94">
        <v>48270000000</v>
      </c>
      <c r="K94">
        <v>2300</v>
      </c>
      <c r="L94">
        <v>5.4</v>
      </c>
      <c r="M94">
        <v>3.1</v>
      </c>
      <c r="N94">
        <v>30000</v>
      </c>
      <c r="O94">
        <v>350000</v>
      </c>
      <c r="P94">
        <v>46176</v>
      </c>
      <c r="Q94">
        <v>3699000000</v>
      </c>
      <c r="R94">
        <v>3.8</v>
      </c>
      <c r="S94">
        <v>51.43</v>
      </c>
      <c r="T94">
        <v>13</v>
      </c>
      <c r="U94">
        <v>407</v>
      </c>
      <c r="V94">
        <v>170000</v>
      </c>
      <c r="W94">
        <v>19.7</v>
      </c>
      <c r="X94">
        <v>10240000</v>
      </c>
      <c r="Y94">
        <v>56</v>
      </c>
      <c r="Z94">
        <v>49200000</v>
      </c>
      <c r="AA94">
        <v>0.6</v>
      </c>
      <c r="AF94">
        <v>11890000000</v>
      </c>
      <c r="AG94">
        <v>38000</v>
      </c>
      <c r="AJ94">
        <v>7000</v>
      </c>
      <c r="AK94">
        <v>8255000</v>
      </c>
      <c r="AL94">
        <v>21029853</v>
      </c>
      <c r="AN94">
        <v>953</v>
      </c>
      <c r="AO94">
        <v>1267000000</v>
      </c>
      <c r="AP94">
        <v>302300</v>
      </c>
      <c r="AQ94">
        <v>799900</v>
      </c>
      <c r="AR94">
        <v>3.02</v>
      </c>
      <c r="AS94">
        <v>20</v>
      </c>
    </row>
    <row r="95" spans="1:45" x14ac:dyDescent="0.3">
      <c r="A95" t="s">
        <v>138</v>
      </c>
      <c r="B95">
        <v>7</v>
      </c>
      <c r="C95">
        <v>10.87</v>
      </c>
      <c r="E95">
        <v>9.18</v>
      </c>
      <c r="G95">
        <v>96760000</v>
      </c>
      <c r="H95">
        <v>104000000</v>
      </c>
      <c r="I95">
        <v>136000000</v>
      </c>
      <c r="J95">
        <v>769000000</v>
      </c>
      <c r="K95">
        <v>27900</v>
      </c>
      <c r="P95">
        <v>29</v>
      </c>
      <c r="Q95">
        <v>1743000000</v>
      </c>
      <c r="S95">
        <v>5.13</v>
      </c>
      <c r="T95">
        <v>1.5</v>
      </c>
      <c r="V95">
        <v>6200</v>
      </c>
      <c r="X95">
        <v>14800</v>
      </c>
      <c r="Y95">
        <v>79.67</v>
      </c>
      <c r="AG95">
        <v>42000</v>
      </c>
      <c r="AJ95">
        <v>0</v>
      </c>
      <c r="AL95">
        <v>27884</v>
      </c>
      <c r="AP95">
        <v>24512</v>
      </c>
      <c r="AQ95">
        <v>9797</v>
      </c>
      <c r="AR95">
        <v>1.65</v>
      </c>
      <c r="AS95">
        <v>2</v>
      </c>
    </row>
    <row r="96" spans="1:45" x14ac:dyDescent="0.3">
      <c r="A96" t="s">
        <v>139</v>
      </c>
      <c r="B96">
        <v>5</v>
      </c>
    </row>
    <row r="97" spans="1:45" x14ac:dyDescent="0.3">
      <c r="A97" t="s">
        <v>140</v>
      </c>
      <c r="B97">
        <v>131940</v>
      </c>
      <c r="C97">
        <v>9.7200000000000006</v>
      </c>
      <c r="D97">
        <v>-8000000000</v>
      </c>
      <c r="E97">
        <v>10.15</v>
      </c>
      <c r="F97">
        <v>67230000000</v>
      </c>
      <c r="G97">
        <v>47420000000</v>
      </c>
      <c r="H97">
        <v>47220000000</v>
      </c>
      <c r="I97">
        <v>15500000000</v>
      </c>
      <c r="J97">
        <v>226400000000</v>
      </c>
      <c r="K97">
        <v>21300</v>
      </c>
      <c r="L97">
        <v>3.7</v>
      </c>
      <c r="M97">
        <v>0.2</v>
      </c>
      <c r="N97">
        <v>100</v>
      </c>
      <c r="O97">
        <v>9100</v>
      </c>
      <c r="P97">
        <v>117000</v>
      </c>
      <c r="Q97">
        <v>54280000000</v>
      </c>
      <c r="R97">
        <v>4.0999999999999996</v>
      </c>
      <c r="S97">
        <v>5.53</v>
      </c>
      <c r="T97">
        <v>2.9</v>
      </c>
      <c r="U97">
        <v>208977</v>
      </c>
      <c r="V97">
        <v>1718400</v>
      </c>
      <c r="W97">
        <v>27</v>
      </c>
      <c r="X97">
        <v>4400000</v>
      </c>
      <c r="Y97">
        <v>79.09</v>
      </c>
      <c r="Z97">
        <v>5890000000</v>
      </c>
      <c r="AA97">
        <v>4.3</v>
      </c>
      <c r="AB97">
        <v>2021000000</v>
      </c>
      <c r="AC97">
        <v>0</v>
      </c>
      <c r="AD97">
        <v>2018000000</v>
      </c>
      <c r="AE97">
        <v>35000000</v>
      </c>
      <c r="AF97">
        <v>254900000</v>
      </c>
      <c r="AG97">
        <v>405700</v>
      </c>
      <c r="AH97">
        <v>84720</v>
      </c>
      <c r="AI97">
        <v>468300</v>
      </c>
      <c r="AJ97">
        <v>5992</v>
      </c>
      <c r="AK97">
        <v>4500000</v>
      </c>
      <c r="AL97">
        <v>10668354</v>
      </c>
      <c r="AM97">
        <v>112</v>
      </c>
      <c r="AN97">
        <v>2571</v>
      </c>
      <c r="AO97">
        <v>7300000000</v>
      </c>
      <c r="AP97">
        <v>5205100</v>
      </c>
      <c r="AQ97">
        <v>8936200</v>
      </c>
      <c r="AR97">
        <v>1.33</v>
      </c>
      <c r="AS97">
        <v>10</v>
      </c>
    </row>
    <row r="98" spans="1:45" x14ac:dyDescent="0.3">
      <c r="A98" t="s">
        <v>141</v>
      </c>
      <c r="B98">
        <v>2166086</v>
      </c>
      <c r="C98">
        <v>15.93</v>
      </c>
      <c r="E98">
        <v>7.77</v>
      </c>
      <c r="F98">
        <v>25000000</v>
      </c>
      <c r="G98">
        <v>227900000</v>
      </c>
      <c r="H98">
        <v>245000000</v>
      </c>
      <c r="I98">
        <v>388000000</v>
      </c>
      <c r="J98">
        <v>1100000000</v>
      </c>
      <c r="K98">
        <v>20000</v>
      </c>
      <c r="L98">
        <v>1.8</v>
      </c>
      <c r="O98">
        <v>100</v>
      </c>
      <c r="Q98">
        <v>445000000</v>
      </c>
      <c r="S98">
        <v>15.82</v>
      </c>
      <c r="T98">
        <v>1.6</v>
      </c>
      <c r="U98">
        <v>2642</v>
      </c>
      <c r="V98">
        <v>20000</v>
      </c>
      <c r="X98">
        <v>24500</v>
      </c>
      <c r="Y98">
        <v>69.650000000000006</v>
      </c>
      <c r="AG98">
        <v>3700</v>
      </c>
      <c r="AJ98">
        <v>0</v>
      </c>
      <c r="AL98">
        <v>56375</v>
      </c>
      <c r="AP98">
        <v>26000</v>
      </c>
      <c r="AQ98">
        <v>16747</v>
      </c>
      <c r="AR98">
        <v>2.41</v>
      </c>
      <c r="AS98">
        <v>10</v>
      </c>
    </row>
    <row r="99" spans="1:45" x14ac:dyDescent="0.3">
      <c r="A99" t="s">
        <v>142</v>
      </c>
      <c r="B99">
        <v>344</v>
      </c>
      <c r="C99">
        <v>22.3</v>
      </c>
      <c r="E99">
        <v>7.17</v>
      </c>
      <c r="F99">
        <v>196000000</v>
      </c>
      <c r="G99">
        <v>138600000</v>
      </c>
      <c r="H99">
        <v>149000000</v>
      </c>
      <c r="I99">
        <v>46000000</v>
      </c>
      <c r="J99">
        <v>440000000</v>
      </c>
      <c r="K99">
        <v>5000</v>
      </c>
      <c r="L99">
        <v>2.5</v>
      </c>
      <c r="P99">
        <v>1040</v>
      </c>
      <c r="Q99">
        <v>208000000</v>
      </c>
      <c r="R99">
        <v>0.7</v>
      </c>
      <c r="S99">
        <v>14.62</v>
      </c>
      <c r="T99">
        <v>2.8</v>
      </c>
      <c r="U99">
        <v>18</v>
      </c>
      <c r="V99">
        <v>15000</v>
      </c>
      <c r="X99">
        <v>42300</v>
      </c>
      <c r="Y99">
        <v>64.53</v>
      </c>
      <c r="AG99">
        <v>1000</v>
      </c>
      <c r="AJ99">
        <v>0</v>
      </c>
      <c r="AL99">
        <v>89502</v>
      </c>
      <c r="AP99">
        <v>33500</v>
      </c>
      <c r="AQ99">
        <v>7600</v>
      </c>
      <c r="AR99">
        <v>2.37</v>
      </c>
      <c r="AS99">
        <v>12.5</v>
      </c>
    </row>
    <row r="100" spans="1:45" x14ac:dyDescent="0.3">
      <c r="A100" t="s">
        <v>143</v>
      </c>
      <c r="B100">
        <v>1780</v>
      </c>
      <c r="C100">
        <v>15.42</v>
      </c>
      <c r="E100">
        <v>6.06</v>
      </c>
      <c r="G100">
        <v>1079000000</v>
      </c>
      <c r="H100">
        <v>1160000000</v>
      </c>
      <c r="I100">
        <v>140000000</v>
      </c>
      <c r="J100">
        <v>3513000000</v>
      </c>
      <c r="K100">
        <v>7900</v>
      </c>
      <c r="P100">
        <v>947</v>
      </c>
      <c r="Q100">
        <v>1700000000</v>
      </c>
      <c r="S100">
        <v>8.6</v>
      </c>
      <c r="V100">
        <v>20000</v>
      </c>
      <c r="X100">
        <v>125900</v>
      </c>
      <c r="Y100">
        <v>77.900000000000006</v>
      </c>
      <c r="AG100">
        <v>13000</v>
      </c>
      <c r="AJ100">
        <v>0</v>
      </c>
      <c r="AL100">
        <v>448713</v>
      </c>
      <c r="AP100">
        <v>210000</v>
      </c>
      <c r="AQ100">
        <v>323500</v>
      </c>
      <c r="AR100">
        <v>1.91</v>
      </c>
      <c r="AS100">
        <v>27.8</v>
      </c>
    </row>
    <row r="101" spans="1:45" x14ac:dyDescent="0.3">
      <c r="A101" t="s">
        <v>144</v>
      </c>
      <c r="B101">
        <v>549</v>
      </c>
      <c r="C101">
        <v>19.03</v>
      </c>
      <c r="E101">
        <v>4.41</v>
      </c>
      <c r="G101">
        <v>776600000</v>
      </c>
      <c r="H101">
        <v>835000000</v>
      </c>
      <c r="I101">
        <v>38000000</v>
      </c>
      <c r="J101">
        <v>3200000000</v>
      </c>
      <c r="K101">
        <v>21000</v>
      </c>
      <c r="P101">
        <v>977</v>
      </c>
      <c r="Q101">
        <v>462000000</v>
      </c>
      <c r="S101">
        <v>6.94</v>
      </c>
      <c r="T101">
        <v>0</v>
      </c>
      <c r="V101">
        <v>50000</v>
      </c>
      <c r="X101">
        <v>60000</v>
      </c>
      <c r="Y101">
        <v>78.400000000000006</v>
      </c>
      <c r="AG101">
        <v>20000</v>
      </c>
      <c r="AJ101">
        <v>0</v>
      </c>
      <c r="AL101">
        <v>168564</v>
      </c>
      <c r="AP101">
        <v>84134</v>
      </c>
      <c r="AQ101">
        <v>32600</v>
      </c>
      <c r="AR101">
        <v>2.6</v>
      </c>
      <c r="AS101">
        <v>15</v>
      </c>
    </row>
    <row r="102" spans="1:45" x14ac:dyDescent="0.3">
      <c r="A102" t="s">
        <v>145</v>
      </c>
      <c r="B102">
        <v>108890</v>
      </c>
      <c r="C102">
        <v>34.11</v>
      </c>
      <c r="D102">
        <v>-1381000000</v>
      </c>
      <c r="E102">
        <v>6.81</v>
      </c>
      <c r="F102">
        <v>5969000000</v>
      </c>
      <c r="G102">
        <v>5760000000</v>
      </c>
      <c r="H102">
        <v>6608000000</v>
      </c>
      <c r="I102">
        <v>2911000000</v>
      </c>
      <c r="J102">
        <v>59470000000</v>
      </c>
      <c r="K102">
        <v>4200</v>
      </c>
      <c r="L102">
        <v>2.6</v>
      </c>
      <c r="M102">
        <v>1.1000000000000001</v>
      </c>
      <c r="N102">
        <v>5800</v>
      </c>
      <c r="O102">
        <v>78000</v>
      </c>
      <c r="P102">
        <v>14118</v>
      </c>
      <c r="Q102">
        <v>7770000000</v>
      </c>
      <c r="R102">
        <v>4.0999999999999996</v>
      </c>
      <c r="S102">
        <v>35.93</v>
      </c>
      <c r="T102">
        <v>7.2</v>
      </c>
      <c r="U102">
        <v>20360</v>
      </c>
      <c r="V102">
        <v>400000</v>
      </c>
      <c r="W102">
        <v>14.9</v>
      </c>
      <c r="X102">
        <v>3680000</v>
      </c>
      <c r="Y102">
        <v>65.14</v>
      </c>
      <c r="Z102">
        <v>201900000</v>
      </c>
      <c r="AA102">
        <v>0.8</v>
      </c>
      <c r="AF102">
        <v>1543000000</v>
      </c>
      <c r="AG102">
        <v>61000</v>
      </c>
      <c r="AH102">
        <v>3104</v>
      </c>
      <c r="AJ102">
        <v>25000</v>
      </c>
      <c r="AK102">
        <v>263000000</v>
      </c>
      <c r="AL102">
        <v>14655189</v>
      </c>
      <c r="AM102">
        <v>32</v>
      </c>
      <c r="AN102">
        <v>886</v>
      </c>
      <c r="AO102">
        <v>3084000000</v>
      </c>
      <c r="AP102">
        <v>846000</v>
      </c>
      <c r="AQ102">
        <v>1577100</v>
      </c>
      <c r="AR102">
        <v>4.53</v>
      </c>
      <c r="AS102">
        <v>7.5</v>
      </c>
    </row>
    <row r="103" spans="1:45" x14ac:dyDescent="0.3">
      <c r="A103" t="s">
        <v>146</v>
      </c>
      <c r="B103">
        <v>78</v>
      </c>
      <c r="C103">
        <v>9.01</v>
      </c>
      <c r="E103">
        <v>9.9499999999999993</v>
      </c>
      <c r="J103">
        <v>2590000000</v>
      </c>
      <c r="K103">
        <v>40000</v>
      </c>
      <c r="L103">
        <v>3</v>
      </c>
      <c r="S103">
        <v>4.71</v>
      </c>
      <c r="T103">
        <v>4.9000000000000004</v>
      </c>
      <c r="X103">
        <v>32290</v>
      </c>
      <c r="Y103">
        <v>80.3</v>
      </c>
      <c r="AL103">
        <v>65228</v>
      </c>
      <c r="AP103">
        <v>55000</v>
      </c>
      <c r="AQ103">
        <v>31500</v>
      </c>
      <c r="AR103">
        <v>1.38</v>
      </c>
      <c r="AS103">
        <v>0.5</v>
      </c>
    </row>
    <row r="104" spans="1:45" x14ac:dyDescent="0.3">
      <c r="A104" t="s">
        <v>147</v>
      </c>
      <c r="B104">
        <v>245857</v>
      </c>
      <c r="C104">
        <v>42.03</v>
      </c>
      <c r="D104">
        <v>-308300000</v>
      </c>
      <c r="E104">
        <v>15.38</v>
      </c>
      <c r="F104">
        <v>3250000000</v>
      </c>
      <c r="G104">
        <v>795200000</v>
      </c>
      <c r="H104">
        <v>855000000</v>
      </c>
      <c r="I104">
        <v>709200000</v>
      </c>
      <c r="J104">
        <v>19500000000</v>
      </c>
      <c r="K104">
        <v>2100</v>
      </c>
      <c r="L104">
        <v>1</v>
      </c>
      <c r="M104">
        <v>3.2</v>
      </c>
      <c r="N104">
        <v>9000</v>
      </c>
      <c r="O104">
        <v>140000</v>
      </c>
      <c r="P104">
        <v>30500</v>
      </c>
      <c r="Q104">
        <v>641500000</v>
      </c>
      <c r="R104">
        <v>3.2</v>
      </c>
      <c r="S104">
        <v>90.37</v>
      </c>
      <c r="T104">
        <v>18</v>
      </c>
      <c r="U104">
        <v>380</v>
      </c>
      <c r="V104">
        <v>40000</v>
      </c>
      <c r="W104">
        <v>21</v>
      </c>
      <c r="X104">
        <v>3000000</v>
      </c>
      <c r="Y104">
        <v>49.86</v>
      </c>
      <c r="Z104">
        <v>56700000</v>
      </c>
      <c r="AA104">
        <v>1.7</v>
      </c>
      <c r="AG104">
        <v>8600</v>
      </c>
      <c r="AJ104">
        <v>0</v>
      </c>
      <c r="AL104">
        <v>9467866</v>
      </c>
      <c r="AN104">
        <v>837</v>
      </c>
      <c r="AO104">
        <v>201700000</v>
      </c>
      <c r="AP104">
        <v>26200</v>
      </c>
      <c r="AQ104">
        <v>111500</v>
      </c>
      <c r="AR104">
        <v>5.83</v>
      </c>
    </row>
    <row r="105" spans="1:45" x14ac:dyDescent="0.3">
      <c r="A105" t="s">
        <v>148</v>
      </c>
      <c r="B105">
        <v>36120</v>
      </c>
      <c r="C105">
        <v>37.65</v>
      </c>
      <c r="E105">
        <v>16.53</v>
      </c>
      <c r="F105">
        <v>941500000</v>
      </c>
      <c r="G105">
        <v>51150000</v>
      </c>
      <c r="H105">
        <v>55000000</v>
      </c>
      <c r="I105">
        <v>54000000</v>
      </c>
      <c r="J105">
        <v>1008000000</v>
      </c>
      <c r="K105">
        <v>700</v>
      </c>
      <c r="L105">
        <v>2.6</v>
      </c>
      <c r="M105">
        <v>10</v>
      </c>
      <c r="N105">
        <v>1200</v>
      </c>
      <c r="O105">
        <v>17000</v>
      </c>
      <c r="P105">
        <v>4400</v>
      </c>
      <c r="Q105">
        <v>104000000</v>
      </c>
      <c r="R105">
        <v>2.6</v>
      </c>
      <c r="S105">
        <v>107.17</v>
      </c>
      <c r="T105">
        <v>4</v>
      </c>
      <c r="U105">
        <v>2</v>
      </c>
      <c r="V105">
        <v>19000</v>
      </c>
      <c r="X105">
        <v>480000</v>
      </c>
      <c r="Y105">
        <v>46.97</v>
      </c>
      <c r="Z105">
        <v>8900000</v>
      </c>
      <c r="AA105">
        <v>3.1</v>
      </c>
      <c r="AG105">
        <v>2500</v>
      </c>
      <c r="AJ105">
        <v>0</v>
      </c>
      <c r="AL105">
        <v>1416027</v>
      </c>
      <c r="AP105">
        <v>10600</v>
      </c>
      <c r="AQ105">
        <v>1300</v>
      </c>
      <c r="AR105">
        <v>4.93</v>
      </c>
    </row>
    <row r="106" spans="1:45" x14ac:dyDescent="0.3">
      <c r="A106" t="s">
        <v>149</v>
      </c>
      <c r="B106">
        <v>214970</v>
      </c>
      <c r="C106">
        <v>18.45</v>
      </c>
      <c r="D106">
        <v>-129400000</v>
      </c>
      <c r="E106">
        <v>8.32</v>
      </c>
      <c r="F106">
        <v>1200000000</v>
      </c>
      <c r="G106">
        <v>751400000</v>
      </c>
      <c r="H106">
        <v>808000000</v>
      </c>
      <c r="I106">
        <v>570200000</v>
      </c>
      <c r="J106">
        <v>2899000000</v>
      </c>
      <c r="K106">
        <v>3800</v>
      </c>
      <c r="L106">
        <v>1.9</v>
      </c>
      <c r="M106">
        <v>2.5</v>
      </c>
      <c r="N106">
        <v>1100</v>
      </c>
      <c r="O106">
        <v>11000</v>
      </c>
      <c r="P106">
        <v>7970</v>
      </c>
      <c r="Q106">
        <v>650100000</v>
      </c>
      <c r="R106">
        <v>7.1</v>
      </c>
      <c r="S106">
        <v>33.26</v>
      </c>
      <c r="T106">
        <v>4.5</v>
      </c>
      <c r="U106">
        <v>613</v>
      </c>
      <c r="V106">
        <v>125000</v>
      </c>
      <c r="W106">
        <v>34.5</v>
      </c>
      <c r="X106">
        <v>418000</v>
      </c>
      <c r="Y106">
        <v>65.5</v>
      </c>
      <c r="Z106">
        <v>6500000</v>
      </c>
      <c r="AA106">
        <v>0.9</v>
      </c>
      <c r="AG106">
        <v>11000</v>
      </c>
      <c r="AJ106">
        <v>0</v>
      </c>
      <c r="AL106">
        <v>765283</v>
      </c>
      <c r="AN106">
        <v>187</v>
      </c>
      <c r="AO106">
        <v>280600000</v>
      </c>
      <c r="AP106">
        <v>80400</v>
      </c>
      <c r="AQ106">
        <v>87300</v>
      </c>
      <c r="AR106">
        <v>2.0499999999999998</v>
      </c>
    </row>
    <row r="107" spans="1:45" x14ac:dyDescent="0.3">
      <c r="A107" t="s">
        <v>150</v>
      </c>
      <c r="B107">
        <v>27750</v>
      </c>
      <c r="C107">
        <v>36.590000000000003</v>
      </c>
      <c r="D107">
        <v>-27630000</v>
      </c>
      <c r="E107">
        <v>12.34</v>
      </c>
      <c r="F107">
        <v>1200000000</v>
      </c>
      <c r="G107">
        <v>574700000</v>
      </c>
      <c r="H107">
        <v>618000000</v>
      </c>
      <c r="I107">
        <v>338100000</v>
      </c>
      <c r="J107">
        <v>12050000000</v>
      </c>
      <c r="K107">
        <v>1500</v>
      </c>
      <c r="L107">
        <v>-3.5</v>
      </c>
      <c r="M107">
        <v>5.6</v>
      </c>
      <c r="N107">
        <v>24000</v>
      </c>
      <c r="O107">
        <v>280000</v>
      </c>
      <c r="P107">
        <v>4160</v>
      </c>
      <c r="Q107">
        <v>1085000000</v>
      </c>
      <c r="S107">
        <v>73.45</v>
      </c>
      <c r="T107">
        <v>22</v>
      </c>
      <c r="V107">
        <v>80000</v>
      </c>
      <c r="X107">
        <v>3600000</v>
      </c>
      <c r="Y107">
        <v>52.92</v>
      </c>
      <c r="Z107">
        <v>26000000</v>
      </c>
      <c r="AA107">
        <v>0.9</v>
      </c>
      <c r="AG107">
        <v>11000</v>
      </c>
      <c r="AJ107">
        <v>0</v>
      </c>
      <c r="AL107">
        <v>8121622</v>
      </c>
      <c r="AO107">
        <v>80640000</v>
      </c>
      <c r="AP107">
        <v>130000</v>
      </c>
      <c r="AQ107">
        <v>140000</v>
      </c>
      <c r="AR107">
        <v>5.0199999999999996</v>
      </c>
    </row>
    <row r="108" spans="1:45" x14ac:dyDescent="0.3">
      <c r="A108" t="s">
        <v>151</v>
      </c>
      <c r="B108">
        <v>412</v>
      </c>
    </row>
    <row r="109" spans="1:45" x14ac:dyDescent="0.3">
      <c r="A109" t="s">
        <v>152</v>
      </c>
      <c r="B109">
        <v>0</v>
      </c>
      <c r="U109">
        <v>9</v>
      </c>
      <c r="AL109">
        <v>921</v>
      </c>
    </row>
    <row r="110" spans="1:45" x14ac:dyDescent="0.3">
      <c r="A110" t="s">
        <v>153</v>
      </c>
      <c r="B110">
        <v>112090</v>
      </c>
      <c r="C110">
        <v>30.38</v>
      </c>
      <c r="D110">
        <v>258300000</v>
      </c>
      <c r="E110">
        <v>6.87</v>
      </c>
      <c r="F110">
        <v>5365000000</v>
      </c>
      <c r="G110">
        <v>3771000000</v>
      </c>
      <c r="H110">
        <v>3626000000</v>
      </c>
      <c r="I110">
        <v>1457000000</v>
      </c>
      <c r="J110">
        <v>18790000000</v>
      </c>
      <c r="K110">
        <v>2800</v>
      </c>
      <c r="L110">
        <v>4.2</v>
      </c>
      <c r="M110">
        <v>1.8</v>
      </c>
      <c r="N110">
        <v>4100</v>
      </c>
      <c r="O110">
        <v>63000</v>
      </c>
      <c r="P110">
        <v>13603</v>
      </c>
      <c r="Q110">
        <v>3332000000</v>
      </c>
      <c r="R110">
        <v>7.7</v>
      </c>
      <c r="S110">
        <v>29.32</v>
      </c>
      <c r="T110">
        <v>7</v>
      </c>
      <c r="U110">
        <v>1944</v>
      </c>
      <c r="V110">
        <v>168600</v>
      </c>
      <c r="W110">
        <v>24.1</v>
      </c>
      <c r="X110">
        <v>2470000</v>
      </c>
      <c r="Y110">
        <v>65.599999999999994</v>
      </c>
      <c r="Z110">
        <v>100600000</v>
      </c>
      <c r="AA110">
        <v>1.4</v>
      </c>
      <c r="AG110">
        <v>29000</v>
      </c>
      <c r="AJ110">
        <v>0</v>
      </c>
      <c r="AL110">
        <v>6975204</v>
      </c>
      <c r="AM110">
        <v>74.099999999999994</v>
      </c>
      <c r="AN110">
        <v>699</v>
      </c>
      <c r="AO110">
        <v>1464000000</v>
      </c>
      <c r="AP110">
        <v>322500</v>
      </c>
      <c r="AQ110">
        <v>326500</v>
      </c>
      <c r="AR110">
        <v>3.87</v>
      </c>
      <c r="AS110">
        <v>28.5</v>
      </c>
    </row>
    <row r="111" spans="1:45" x14ac:dyDescent="0.3">
      <c r="A111" t="s">
        <v>154</v>
      </c>
      <c r="B111">
        <v>1092</v>
      </c>
      <c r="C111">
        <v>7.23</v>
      </c>
      <c r="D111">
        <v>14850000000</v>
      </c>
      <c r="E111">
        <v>5.98</v>
      </c>
      <c r="F111">
        <v>417600000000</v>
      </c>
      <c r="G111">
        <v>38450000000</v>
      </c>
      <c r="H111">
        <v>35510000000</v>
      </c>
      <c r="I111">
        <v>268100000000</v>
      </c>
      <c r="J111">
        <v>234500000000</v>
      </c>
      <c r="K111">
        <v>34200</v>
      </c>
      <c r="L111">
        <v>7.9</v>
      </c>
      <c r="M111">
        <v>0.1</v>
      </c>
      <c r="N111">
        <v>200</v>
      </c>
      <c r="O111">
        <v>2600</v>
      </c>
      <c r="P111">
        <v>1831</v>
      </c>
      <c r="Q111">
        <v>275900000000</v>
      </c>
      <c r="R111">
        <v>1</v>
      </c>
      <c r="S111">
        <v>2.97</v>
      </c>
      <c r="T111">
        <v>-0.3</v>
      </c>
      <c r="U111">
        <v>591993</v>
      </c>
      <c r="V111">
        <v>3212800</v>
      </c>
      <c r="W111">
        <v>22.7</v>
      </c>
      <c r="X111">
        <v>3540000</v>
      </c>
      <c r="Y111">
        <v>81.39</v>
      </c>
      <c r="AB111">
        <v>680900000</v>
      </c>
      <c r="AC111">
        <v>0</v>
      </c>
      <c r="AD111">
        <v>680900000</v>
      </c>
      <c r="AG111">
        <v>257000</v>
      </c>
      <c r="AJ111">
        <v>0</v>
      </c>
      <c r="AL111">
        <v>6898686</v>
      </c>
      <c r="AM111">
        <v>2.1</v>
      </c>
      <c r="AO111">
        <v>123600000000</v>
      </c>
      <c r="AP111">
        <v>3801300</v>
      </c>
      <c r="AQ111">
        <v>7241400</v>
      </c>
      <c r="AR111">
        <v>0.91</v>
      </c>
      <c r="AS111">
        <v>6.7</v>
      </c>
    </row>
    <row r="112" spans="1:45" x14ac:dyDescent="0.3">
      <c r="A112" t="s">
        <v>155</v>
      </c>
      <c r="B112">
        <v>2</v>
      </c>
    </row>
    <row r="113" spans="1:45" x14ac:dyDescent="0.3">
      <c r="A113" t="s">
        <v>156</v>
      </c>
      <c r="B113">
        <v>93030</v>
      </c>
      <c r="C113">
        <v>9.76</v>
      </c>
      <c r="D113">
        <v>-7941000000</v>
      </c>
      <c r="E113">
        <v>13.19</v>
      </c>
      <c r="F113">
        <v>57000000000</v>
      </c>
      <c r="G113">
        <v>35990000000</v>
      </c>
      <c r="H113">
        <v>34070000000</v>
      </c>
      <c r="I113">
        <v>54620000000</v>
      </c>
      <c r="J113">
        <v>149300000000</v>
      </c>
      <c r="K113">
        <v>14900</v>
      </c>
      <c r="L113">
        <v>3.9</v>
      </c>
      <c r="M113">
        <v>0.1</v>
      </c>
      <c r="N113">
        <v>100</v>
      </c>
      <c r="O113">
        <v>2800</v>
      </c>
      <c r="P113">
        <v>159568</v>
      </c>
      <c r="Q113">
        <v>58680000000</v>
      </c>
      <c r="R113">
        <v>9.6</v>
      </c>
      <c r="S113">
        <v>8.57</v>
      </c>
      <c r="T113">
        <v>7</v>
      </c>
      <c r="U113">
        <v>383071</v>
      </c>
      <c r="V113">
        <v>1600000</v>
      </c>
      <c r="W113">
        <v>22.8</v>
      </c>
      <c r="X113">
        <v>4170000</v>
      </c>
      <c r="Y113">
        <v>72.400000000000006</v>
      </c>
      <c r="Z113">
        <v>1080000000</v>
      </c>
      <c r="AA113">
        <v>1.75</v>
      </c>
      <c r="AB113">
        <v>13370000000</v>
      </c>
      <c r="AC113">
        <v>4000000</v>
      </c>
      <c r="AD113">
        <v>9587000000</v>
      </c>
      <c r="AE113">
        <v>3231000000</v>
      </c>
      <c r="AF113">
        <v>50450000000</v>
      </c>
      <c r="AG113">
        <v>140700</v>
      </c>
      <c r="AH113">
        <v>47180</v>
      </c>
      <c r="AI113">
        <v>136600</v>
      </c>
      <c r="AJ113">
        <v>41190</v>
      </c>
      <c r="AK113">
        <v>110700000</v>
      </c>
      <c r="AL113">
        <v>10006835</v>
      </c>
      <c r="AM113">
        <v>58.3</v>
      </c>
      <c r="AN113">
        <v>7937</v>
      </c>
      <c r="AO113">
        <v>14800000000</v>
      </c>
      <c r="AP113">
        <v>3666400</v>
      </c>
      <c r="AQ113">
        <v>6862800</v>
      </c>
      <c r="AR113">
        <v>1.32</v>
      </c>
      <c r="AS113">
        <v>5.9</v>
      </c>
    </row>
    <row r="114" spans="1:45" x14ac:dyDescent="0.3">
      <c r="A114" t="s">
        <v>157</v>
      </c>
      <c r="B114">
        <v>103000</v>
      </c>
      <c r="C114">
        <v>13.73</v>
      </c>
      <c r="D114">
        <v>-570000000</v>
      </c>
      <c r="E114">
        <v>6.68</v>
      </c>
      <c r="F114">
        <v>3073000000</v>
      </c>
      <c r="G114">
        <v>7692000000</v>
      </c>
      <c r="H114">
        <v>8271000000</v>
      </c>
      <c r="I114">
        <v>2902000000</v>
      </c>
      <c r="J114">
        <v>9373000000</v>
      </c>
      <c r="K114">
        <v>31900</v>
      </c>
      <c r="L114">
        <v>1.8</v>
      </c>
      <c r="M114">
        <v>0.2</v>
      </c>
      <c r="N114">
        <v>100</v>
      </c>
      <c r="O114">
        <v>220</v>
      </c>
      <c r="P114">
        <v>13004</v>
      </c>
      <c r="Q114">
        <v>3307000000</v>
      </c>
      <c r="R114">
        <v>8.8000000000000007</v>
      </c>
      <c r="S114">
        <v>3.31</v>
      </c>
      <c r="T114">
        <v>4</v>
      </c>
      <c r="U114">
        <v>122175</v>
      </c>
      <c r="V114">
        <v>195000</v>
      </c>
      <c r="W114">
        <v>23.8</v>
      </c>
      <c r="X114">
        <v>158100</v>
      </c>
      <c r="Y114">
        <v>80.19</v>
      </c>
      <c r="AG114">
        <v>16300</v>
      </c>
      <c r="AH114">
        <v>0</v>
      </c>
      <c r="AI114">
        <v>15470</v>
      </c>
      <c r="AJ114">
        <v>0</v>
      </c>
      <c r="AL114">
        <v>296737</v>
      </c>
      <c r="AM114">
        <v>35.9</v>
      </c>
      <c r="AO114">
        <v>935000000</v>
      </c>
      <c r="AP114">
        <v>190700</v>
      </c>
      <c r="AQ114">
        <v>279100</v>
      </c>
      <c r="AR114">
        <v>1.92</v>
      </c>
      <c r="AS114">
        <v>3.1</v>
      </c>
    </row>
    <row r="115" spans="1:45" x14ac:dyDescent="0.3">
      <c r="A115" t="s">
        <v>158</v>
      </c>
      <c r="B115">
        <v>3287590</v>
      </c>
      <c r="C115">
        <v>22.32</v>
      </c>
      <c r="D115">
        <v>4897000000</v>
      </c>
      <c r="E115">
        <v>8.2799999999999994</v>
      </c>
      <c r="F115">
        <v>117200000000</v>
      </c>
      <c r="G115">
        <v>510100000000</v>
      </c>
      <c r="H115">
        <v>547200000000</v>
      </c>
      <c r="I115">
        <v>69180000000</v>
      </c>
      <c r="J115">
        <v>3319000000000</v>
      </c>
      <c r="K115">
        <v>3100</v>
      </c>
      <c r="L115">
        <v>6.2</v>
      </c>
      <c r="M115">
        <v>0.9</v>
      </c>
      <c r="N115">
        <v>310000</v>
      </c>
      <c r="O115">
        <v>5100000</v>
      </c>
      <c r="P115">
        <v>2525989</v>
      </c>
      <c r="Q115">
        <v>89330000000</v>
      </c>
      <c r="R115">
        <v>7.4</v>
      </c>
      <c r="S115">
        <v>56.29</v>
      </c>
      <c r="T115">
        <v>4.2</v>
      </c>
      <c r="U115">
        <v>86871</v>
      </c>
      <c r="V115">
        <v>18481000</v>
      </c>
      <c r="W115">
        <v>23.8</v>
      </c>
      <c r="X115">
        <v>482200000</v>
      </c>
      <c r="Y115">
        <v>64.349999999999994</v>
      </c>
      <c r="Z115">
        <v>16970000000</v>
      </c>
      <c r="AA115">
        <v>2.5</v>
      </c>
      <c r="AB115">
        <v>22750000000</v>
      </c>
      <c r="AC115">
        <v>0</v>
      </c>
      <c r="AD115">
        <v>0</v>
      </c>
      <c r="AE115">
        <v>22750000000</v>
      </c>
      <c r="AF115">
        <v>542400000000</v>
      </c>
      <c r="AG115">
        <v>2130000</v>
      </c>
      <c r="AJ115">
        <v>780000</v>
      </c>
      <c r="AK115">
        <v>5700000000</v>
      </c>
      <c r="AL115">
        <v>1080264388</v>
      </c>
      <c r="AM115">
        <v>59.7</v>
      </c>
      <c r="AN115">
        <v>63140</v>
      </c>
      <c r="AO115">
        <v>126000000000</v>
      </c>
      <c r="AP115">
        <v>48917000</v>
      </c>
      <c r="AQ115">
        <v>26154400</v>
      </c>
      <c r="AR115">
        <v>2.78</v>
      </c>
      <c r="AS115">
        <v>9.1999999999999993</v>
      </c>
    </row>
    <row r="116" spans="1:45" x14ac:dyDescent="0.3">
      <c r="A116" t="s">
        <v>159</v>
      </c>
      <c r="B116">
        <v>1919440</v>
      </c>
      <c r="C116">
        <v>20.71</v>
      </c>
      <c r="D116">
        <v>7338000000</v>
      </c>
      <c r="E116">
        <v>6.25</v>
      </c>
      <c r="F116">
        <v>141500000000</v>
      </c>
      <c r="G116">
        <v>92350000000</v>
      </c>
      <c r="H116">
        <v>110200000000</v>
      </c>
      <c r="I116">
        <v>69860000000</v>
      </c>
      <c r="J116">
        <v>827400000000</v>
      </c>
      <c r="K116">
        <v>3500</v>
      </c>
      <c r="L116">
        <v>4.9000000000000004</v>
      </c>
      <c r="M116">
        <v>0.1</v>
      </c>
      <c r="N116">
        <v>2400</v>
      </c>
      <c r="O116">
        <v>110000</v>
      </c>
      <c r="P116">
        <v>342700</v>
      </c>
      <c r="Q116">
        <v>45070000000</v>
      </c>
      <c r="R116">
        <v>10.5</v>
      </c>
      <c r="S116">
        <v>35.6</v>
      </c>
      <c r="T116">
        <v>6.1</v>
      </c>
      <c r="U116">
        <v>62036</v>
      </c>
      <c r="V116">
        <v>8000000</v>
      </c>
      <c r="W116">
        <v>16.600000000000001</v>
      </c>
      <c r="X116">
        <v>111500000</v>
      </c>
      <c r="Y116">
        <v>69.569999999999993</v>
      </c>
      <c r="Z116">
        <v>1300000000</v>
      </c>
      <c r="AA116">
        <v>3</v>
      </c>
      <c r="AB116">
        <v>55300000000</v>
      </c>
      <c r="AC116">
        <v>39700000000</v>
      </c>
      <c r="AD116">
        <v>0</v>
      </c>
      <c r="AE116">
        <v>77600000000</v>
      </c>
      <c r="AF116">
        <v>2549000000000</v>
      </c>
      <c r="AG116">
        <v>1183000</v>
      </c>
      <c r="AH116">
        <v>518100</v>
      </c>
      <c r="AI116">
        <v>370500</v>
      </c>
      <c r="AJ116">
        <v>971000</v>
      </c>
      <c r="AK116">
        <v>4900000000</v>
      </c>
      <c r="AL116">
        <v>241973879</v>
      </c>
      <c r="AM116">
        <v>56.2</v>
      </c>
      <c r="AN116">
        <v>6458</v>
      </c>
      <c r="AO116">
        <v>35820000000</v>
      </c>
      <c r="AP116">
        <v>7750000</v>
      </c>
      <c r="AQ116">
        <v>11700000</v>
      </c>
      <c r="AR116">
        <v>2.44</v>
      </c>
      <c r="AS116">
        <v>9.1999999999999993</v>
      </c>
    </row>
    <row r="117" spans="1:45" x14ac:dyDescent="0.3">
      <c r="A117" t="s">
        <v>160</v>
      </c>
      <c r="B117">
        <v>1648000</v>
      </c>
      <c r="C117">
        <v>16.829999999999998</v>
      </c>
      <c r="D117">
        <v>2100000000</v>
      </c>
      <c r="E117">
        <v>5.55</v>
      </c>
      <c r="F117">
        <v>13400000000</v>
      </c>
      <c r="G117">
        <v>119900000000</v>
      </c>
      <c r="H117">
        <v>129000000000</v>
      </c>
      <c r="I117">
        <v>38790000000</v>
      </c>
      <c r="J117">
        <v>516700000000</v>
      </c>
      <c r="K117">
        <v>7700</v>
      </c>
      <c r="L117">
        <v>6.3</v>
      </c>
      <c r="M117">
        <v>0.1</v>
      </c>
      <c r="N117">
        <v>800</v>
      </c>
      <c r="O117">
        <v>31000</v>
      </c>
      <c r="P117">
        <v>167157</v>
      </c>
      <c r="Q117">
        <v>31300000000</v>
      </c>
      <c r="R117">
        <v>3.5</v>
      </c>
      <c r="S117">
        <v>41.58</v>
      </c>
      <c r="T117">
        <v>15.5</v>
      </c>
      <c r="U117">
        <v>5269</v>
      </c>
      <c r="V117">
        <v>4300000</v>
      </c>
      <c r="W117">
        <v>31.3</v>
      </c>
      <c r="X117">
        <v>23000000</v>
      </c>
      <c r="Y117">
        <v>69.959999999999994</v>
      </c>
      <c r="Z117">
        <v>4300000000</v>
      </c>
      <c r="AA117">
        <v>3.3</v>
      </c>
      <c r="AB117">
        <v>72400000000</v>
      </c>
      <c r="AC117">
        <v>3400000000</v>
      </c>
      <c r="AD117">
        <v>4920000000</v>
      </c>
      <c r="AE117">
        <v>79000000000</v>
      </c>
      <c r="AF117">
        <v>26700000000000</v>
      </c>
      <c r="AG117">
        <v>1400000</v>
      </c>
      <c r="AH117">
        <v>2500000</v>
      </c>
      <c r="AJ117">
        <v>3962000</v>
      </c>
      <c r="AK117">
        <v>130800000000</v>
      </c>
      <c r="AL117">
        <v>68017860</v>
      </c>
      <c r="AM117">
        <v>27</v>
      </c>
      <c r="AN117">
        <v>7203</v>
      </c>
      <c r="AO117">
        <v>29870000000</v>
      </c>
      <c r="AP117">
        <v>14571100</v>
      </c>
      <c r="AQ117">
        <v>3376500</v>
      </c>
      <c r="AR117">
        <v>1.82</v>
      </c>
      <c r="AS117">
        <v>11.2</v>
      </c>
    </row>
    <row r="118" spans="1:45" x14ac:dyDescent="0.3">
      <c r="A118" t="s">
        <v>161</v>
      </c>
      <c r="B118">
        <v>437072</v>
      </c>
      <c r="C118">
        <v>32.5</v>
      </c>
      <c r="D118">
        <v>-560000000</v>
      </c>
      <c r="E118">
        <v>5.49</v>
      </c>
      <c r="F118">
        <v>125000000000</v>
      </c>
      <c r="G118">
        <v>33700000000</v>
      </c>
      <c r="H118">
        <v>32600000000</v>
      </c>
      <c r="I118">
        <v>10100000000</v>
      </c>
      <c r="J118">
        <v>89800000000</v>
      </c>
      <c r="K118">
        <v>3500</v>
      </c>
      <c r="L118">
        <v>52.3</v>
      </c>
      <c r="M118">
        <v>0.1</v>
      </c>
      <c r="O118">
        <v>500</v>
      </c>
      <c r="P118">
        <v>45550</v>
      </c>
      <c r="Q118">
        <v>9900000000</v>
      </c>
      <c r="S118">
        <v>50.25</v>
      </c>
      <c r="T118">
        <v>25.4</v>
      </c>
      <c r="V118">
        <v>25000</v>
      </c>
      <c r="X118">
        <v>6700000</v>
      </c>
      <c r="Y118">
        <v>68.7</v>
      </c>
      <c r="Z118">
        <v>1300000000</v>
      </c>
      <c r="AB118">
        <v>2350000000</v>
      </c>
      <c r="AC118">
        <v>0</v>
      </c>
      <c r="AD118">
        <v>0</v>
      </c>
      <c r="AE118">
        <v>2350000000</v>
      </c>
      <c r="AF118">
        <v>3149000000000</v>
      </c>
      <c r="AG118">
        <v>383000</v>
      </c>
      <c r="AH118">
        <v>1490000</v>
      </c>
      <c r="AJ118">
        <v>2250000</v>
      </c>
      <c r="AK118">
        <v>112500000000</v>
      </c>
      <c r="AL118">
        <v>26074906</v>
      </c>
      <c r="AN118">
        <v>1963</v>
      </c>
      <c r="AP118">
        <v>675000</v>
      </c>
      <c r="AQ118">
        <v>20000</v>
      </c>
      <c r="AR118">
        <v>4.28</v>
      </c>
      <c r="AS118">
        <v>25</v>
      </c>
    </row>
    <row r="119" spans="1:45" x14ac:dyDescent="0.3">
      <c r="A119" t="s">
        <v>162</v>
      </c>
      <c r="B119">
        <v>70280</v>
      </c>
      <c r="C119">
        <v>14.47</v>
      </c>
      <c r="D119">
        <v>-2881000000</v>
      </c>
      <c r="E119">
        <v>7.85</v>
      </c>
      <c r="F119">
        <v>11000000000</v>
      </c>
      <c r="G119">
        <v>21780000000</v>
      </c>
      <c r="H119">
        <v>22880000000</v>
      </c>
      <c r="I119">
        <v>103800000000</v>
      </c>
      <c r="J119">
        <v>126400000000</v>
      </c>
      <c r="K119">
        <v>31900</v>
      </c>
      <c r="L119">
        <v>5.0999999999999996</v>
      </c>
      <c r="M119">
        <v>0.1</v>
      </c>
      <c r="N119">
        <v>100</v>
      </c>
      <c r="O119">
        <v>2800</v>
      </c>
      <c r="P119">
        <v>95736</v>
      </c>
      <c r="Q119">
        <v>60650000000</v>
      </c>
      <c r="R119">
        <v>7</v>
      </c>
      <c r="S119">
        <v>5.39</v>
      </c>
      <c r="T119">
        <v>2.2000000000000002</v>
      </c>
      <c r="U119">
        <v>162228</v>
      </c>
      <c r="V119">
        <v>1260000</v>
      </c>
      <c r="W119">
        <v>23.8</v>
      </c>
      <c r="X119">
        <v>1920000</v>
      </c>
      <c r="Y119">
        <v>77.56</v>
      </c>
      <c r="Z119">
        <v>700000000</v>
      </c>
      <c r="AA119">
        <v>0.9</v>
      </c>
      <c r="AB119">
        <v>4199000000</v>
      </c>
      <c r="AC119">
        <v>0</v>
      </c>
      <c r="AD119">
        <v>3384000000</v>
      </c>
      <c r="AE119">
        <v>815000000</v>
      </c>
      <c r="AF119">
        <v>9911000000</v>
      </c>
      <c r="AG119">
        <v>174400</v>
      </c>
      <c r="AH119">
        <v>27450</v>
      </c>
      <c r="AI119">
        <v>178600</v>
      </c>
      <c r="AJ119">
        <v>0</v>
      </c>
      <c r="AK119">
        <v>0</v>
      </c>
      <c r="AL119">
        <v>4015676</v>
      </c>
      <c r="AM119">
        <v>31.2</v>
      </c>
      <c r="AN119">
        <v>3312</v>
      </c>
      <c r="AO119">
        <v>4152000000</v>
      </c>
      <c r="AP119">
        <v>1955000</v>
      </c>
      <c r="AQ119">
        <v>3400000</v>
      </c>
      <c r="AR119">
        <v>1.87</v>
      </c>
      <c r="AS119">
        <v>4.3</v>
      </c>
    </row>
    <row r="120" spans="1:45" x14ac:dyDescent="0.3">
      <c r="A120" t="s">
        <v>163</v>
      </c>
      <c r="B120">
        <v>20770</v>
      </c>
      <c r="C120">
        <v>18.21</v>
      </c>
      <c r="D120">
        <v>211900000</v>
      </c>
      <c r="E120">
        <v>6.18</v>
      </c>
      <c r="F120">
        <v>74460000000</v>
      </c>
      <c r="G120">
        <v>38300000000</v>
      </c>
      <c r="H120">
        <v>42670000000</v>
      </c>
      <c r="I120">
        <v>34410000000</v>
      </c>
      <c r="J120">
        <v>129000000000</v>
      </c>
      <c r="K120">
        <v>20800</v>
      </c>
      <c r="L120">
        <v>3.9</v>
      </c>
      <c r="M120">
        <v>0.1</v>
      </c>
      <c r="N120">
        <v>100</v>
      </c>
      <c r="O120">
        <v>3000</v>
      </c>
      <c r="P120">
        <v>16903</v>
      </c>
      <c r="Q120">
        <v>36840000000</v>
      </c>
      <c r="R120">
        <v>4.5</v>
      </c>
      <c r="S120">
        <v>7.03</v>
      </c>
      <c r="T120">
        <v>0</v>
      </c>
      <c r="U120">
        <v>437516</v>
      </c>
      <c r="V120">
        <v>2000000</v>
      </c>
      <c r="W120">
        <v>17.600000000000001</v>
      </c>
      <c r="X120">
        <v>2680000</v>
      </c>
      <c r="Y120">
        <v>79.319999999999993</v>
      </c>
      <c r="Z120">
        <v>9110000000</v>
      </c>
      <c r="AA120">
        <v>8.6999999999999993</v>
      </c>
      <c r="AB120">
        <v>10000000</v>
      </c>
      <c r="AC120">
        <v>0</v>
      </c>
      <c r="AD120">
        <v>0</v>
      </c>
      <c r="AE120">
        <v>10000000</v>
      </c>
      <c r="AF120">
        <v>20810000000</v>
      </c>
      <c r="AG120">
        <v>260000</v>
      </c>
      <c r="AJ120">
        <v>80</v>
      </c>
      <c r="AK120">
        <v>1920000</v>
      </c>
      <c r="AL120">
        <v>6276883</v>
      </c>
      <c r="AM120">
        <v>104.5</v>
      </c>
      <c r="AN120">
        <v>640</v>
      </c>
      <c r="AO120">
        <v>28480000000</v>
      </c>
      <c r="AP120">
        <v>3006000</v>
      </c>
      <c r="AQ120">
        <v>6334000</v>
      </c>
      <c r="AR120">
        <v>2.44</v>
      </c>
      <c r="AS120">
        <v>10.7</v>
      </c>
    </row>
    <row r="121" spans="1:45" x14ac:dyDescent="0.3">
      <c r="A121" t="s">
        <v>164</v>
      </c>
      <c r="B121">
        <v>301230</v>
      </c>
      <c r="C121">
        <v>8.89</v>
      </c>
      <c r="D121">
        <v>-21100000000</v>
      </c>
      <c r="E121">
        <v>10.3</v>
      </c>
      <c r="F121">
        <v>913900000000</v>
      </c>
      <c r="G121">
        <v>293900000000</v>
      </c>
      <c r="H121">
        <v>261600000000</v>
      </c>
      <c r="I121">
        <v>336400000000</v>
      </c>
      <c r="J121">
        <v>1609000000000</v>
      </c>
      <c r="K121">
        <v>27700</v>
      </c>
      <c r="L121">
        <v>1.3</v>
      </c>
      <c r="M121">
        <v>0.5</v>
      </c>
      <c r="N121">
        <v>1000</v>
      </c>
      <c r="O121">
        <v>140000</v>
      </c>
      <c r="P121">
        <v>479688</v>
      </c>
      <c r="Q121">
        <v>329300000000</v>
      </c>
      <c r="R121">
        <v>0.7</v>
      </c>
      <c r="S121">
        <v>5.94</v>
      </c>
      <c r="T121">
        <v>2.2999999999999998</v>
      </c>
      <c r="U121">
        <v>1437511</v>
      </c>
      <c r="V121">
        <v>18500000</v>
      </c>
      <c r="W121">
        <v>19.3</v>
      </c>
      <c r="X121">
        <v>24270000</v>
      </c>
      <c r="Y121">
        <v>79.680000000000007</v>
      </c>
      <c r="Z121">
        <v>28182800000</v>
      </c>
      <c r="AA121">
        <v>1.8</v>
      </c>
      <c r="AB121">
        <v>71180000000</v>
      </c>
      <c r="AC121">
        <v>61000000</v>
      </c>
      <c r="AD121">
        <v>54780000000</v>
      </c>
      <c r="AE121">
        <v>15490000000</v>
      </c>
      <c r="AF121">
        <v>209700000000</v>
      </c>
      <c r="AG121">
        <v>1866000</v>
      </c>
      <c r="AH121">
        <v>456600</v>
      </c>
      <c r="AI121">
        <v>2158000</v>
      </c>
      <c r="AJ121">
        <v>79460</v>
      </c>
      <c r="AK121">
        <v>586600000</v>
      </c>
      <c r="AL121">
        <v>58103033</v>
      </c>
      <c r="AM121">
        <v>105.6</v>
      </c>
      <c r="AN121">
        <v>19507</v>
      </c>
      <c r="AO121">
        <v>61500000000</v>
      </c>
      <c r="AP121">
        <v>26596000</v>
      </c>
      <c r="AQ121">
        <v>55918000</v>
      </c>
      <c r="AR121">
        <v>1.28</v>
      </c>
      <c r="AS121">
        <v>8.6</v>
      </c>
    </row>
    <row r="122" spans="1:45" x14ac:dyDescent="0.3">
      <c r="A122" t="s">
        <v>165</v>
      </c>
      <c r="B122">
        <v>10991</v>
      </c>
      <c r="C122">
        <v>16.559999999999999</v>
      </c>
      <c r="D122">
        <v>-830700000</v>
      </c>
      <c r="E122">
        <v>5.37</v>
      </c>
      <c r="F122">
        <v>5964000000</v>
      </c>
      <c r="G122">
        <v>5849000000</v>
      </c>
      <c r="H122">
        <v>6289000000</v>
      </c>
      <c r="I122">
        <v>1679000000</v>
      </c>
      <c r="J122">
        <v>11130000000</v>
      </c>
      <c r="K122">
        <v>4100</v>
      </c>
      <c r="L122">
        <v>1.9</v>
      </c>
      <c r="M122">
        <v>1.2</v>
      </c>
      <c r="N122">
        <v>900</v>
      </c>
      <c r="O122">
        <v>22000</v>
      </c>
      <c r="P122">
        <v>18700</v>
      </c>
      <c r="Q122">
        <v>3624000000</v>
      </c>
      <c r="R122">
        <v>-2</v>
      </c>
      <c r="S122">
        <v>12.36</v>
      </c>
      <c r="T122">
        <v>12.4</v>
      </c>
      <c r="U122">
        <v>1480</v>
      </c>
      <c r="V122">
        <v>600000</v>
      </c>
      <c r="W122">
        <v>32</v>
      </c>
      <c r="X122">
        <v>1140000</v>
      </c>
      <c r="Y122">
        <v>76.290000000000006</v>
      </c>
      <c r="Z122">
        <v>31200000</v>
      </c>
      <c r="AA122">
        <v>0.4</v>
      </c>
      <c r="AG122">
        <v>66000</v>
      </c>
      <c r="AJ122">
        <v>0</v>
      </c>
      <c r="AL122">
        <v>2731832</v>
      </c>
      <c r="AM122">
        <v>146.1</v>
      </c>
      <c r="AN122">
        <v>272</v>
      </c>
      <c r="AO122">
        <v>1400000000</v>
      </c>
      <c r="AP122">
        <v>444400</v>
      </c>
      <c r="AQ122">
        <v>1400000</v>
      </c>
      <c r="AR122">
        <v>1.95</v>
      </c>
      <c r="AS122">
        <v>15</v>
      </c>
    </row>
    <row r="123" spans="1:45" x14ac:dyDescent="0.3">
      <c r="A123" t="s">
        <v>166</v>
      </c>
      <c r="B123">
        <v>373</v>
      </c>
    </row>
    <row r="124" spans="1:45" x14ac:dyDescent="0.3">
      <c r="A124" t="s">
        <v>167</v>
      </c>
      <c r="B124">
        <v>377835</v>
      </c>
      <c r="C124">
        <v>9.4700000000000006</v>
      </c>
      <c r="D124">
        <v>170200000000</v>
      </c>
      <c r="E124">
        <v>8.9499999999999993</v>
      </c>
      <c r="G124">
        <v>971000000000</v>
      </c>
      <c r="H124">
        <v>1044000000000</v>
      </c>
      <c r="I124">
        <v>538800000000</v>
      </c>
      <c r="J124">
        <v>3745000000000</v>
      </c>
      <c r="K124">
        <v>29400</v>
      </c>
      <c r="L124">
        <v>2.9</v>
      </c>
      <c r="M124">
        <v>0.1</v>
      </c>
      <c r="N124">
        <v>500</v>
      </c>
      <c r="O124">
        <v>12000</v>
      </c>
      <c r="P124">
        <v>1171647</v>
      </c>
      <c r="Q124">
        <v>401800000000</v>
      </c>
      <c r="R124">
        <v>6.6</v>
      </c>
      <c r="S124">
        <v>3.26</v>
      </c>
      <c r="T124">
        <v>-0.1</v>
      </c>
      <c r="U124">
        <v>12962065</v>
      </c>
      <c r="V124">
        <v>57200000</v>
      </c>
      <c r="W124">
        <v>24</v>
      </c>
      <c r="X124">
        <v>66970000</v>
      </c>
      <c r="Y124">
        <v>81.150000000000006</v>
      </c>
      <c r="Z124">
        <v>45841000000</v>
      </c>
      <c r="AA124">
        <v>1</v>
      </c>
      <c r="AB124">
        <v>80420000000</v>
      </c>
      <c r="AC124">
        <v>0</v>
      </c>
      <c r="AD124">
        <v>77730000000</v>
      </c>
      <c r="AE124">
        <v>2519000000</v>
      </c>
      <c r="AF124">
        <v>20020000000</v>
      </c>
      <c r="AG124">
        <v>5290000</v>
      </c>
      <c r="AH124">
        <v>93360</v>
      </c>
      <c r="AI124">
        <v>5449000</v>
      </c>
      <c r="AJ124">
        <v>17330</v>
      </c>
      <c r="AK124">
        <v>29290000</v>
      </c>
      <c r="AL124">
        <v>127417244</v>
      </c>
      <c r="AM124">
        <v>164.3</v>
      </c>
      <c r="AN124">
        <v>23705</v>
      </c>
      <c r="AO124">
        <v>664600000000</v>
      </c>
      <c r="AP124">
        <v>71149000</v>
      </c>
      <c r="AQ124">
        <v>86658600</v>
      </c>
      <c r="AR124">
        <v>1.39</v>
      </c>
      <c r="AS124">
        <v>4.7</v>
      </c>
    </row>
    <row r="125" spans="1:45" x14ac:dyDescent="0.3">
      <c r="A125" t="s">
        <v>168</v>
      </c>
      <c r="B125">
        <v>5</v>
      </c>
    </row>
    <row r="126" spans="1:45" x14ac:dyDescent="0.3">
      <c r="A126" t="s">
        <v>169</v>
      </c>
      <c r="B126">
        <v>116</v>
      </c>
      <c r="C126">
        <v>9.66</v>
      </c>
      <c r="E126">
        <v>9.19</v>
      </c>
      <c r="G126">
        <v>630100000</v>
      </c>
      <c r="J126">
        <v>3600000000</v>
      </c>
      <c r="K126">
        <v>40000</v>
      </c>
      <c r="P126">
        <v>577</v>
      </c>
      <c r="S126">
        <v>5.24</v>
      </c>
      <c r="T126">
        <v>5.3</v>
      </c>
      <c r="X126">
        <v>52790</v>
      </c>
      <c r="Y126">
        <v>79.239999999999995</v>
      </c>
      <c r="AL126">
        <v>90812</v>
      </c>
      <c r="AP126">
        <v>73900</v>
      </c>
      <c r="AQ126">
        <v>61400</v>
      </c>
      <c r="AR126">
        <v>1.57</v>
      </c>
      <c r="AS126">
        <v>0.9</v>
      </c>
    </row>
    <row r="127" spans="1:45" x14ac:dyDescent="0.3">
      <c r="A127" t="s">
        <v>170</v>
      </c>
      <c r="B127">
        <v>3</v>
      </c>
      <c r="AL127">
        <v>361</v>
      </c>
    </row>
    <row r="128" spans="1:45" x14ac:dyDescent="0.3">
      <c r="A128" t="s">
        <v>171</v>
      </c>
      <c r="B128">
        <v>92300</v>
      </c>
      <c r="C128">
        <v>21.76</v>
      </c>
      <c r="D128">
        <v>203200000</v>
      </c>
      <c r="E128">
        <v>2.63</v>
      </c>
      <c r="F128">
        <v>7320000000</v>
      </c>
      <c r="G128">
        <v>7094000000</v>
      </c>
      <c r="H128">
        <v>7307000000</v>
      </c>
      <c r="I128">
        <v>3200000000</v>
      </c>
      <c r="J128">
        <v>25500000000</v>
      </c>
      <c r="K128">
        <v>4500</v>
      </c>
      <c r="L128">
        <v>5.0999999999999996</v>
      </c>
      <c r="M128">
        <v>0.1</v>
      </c>
      <c r="N128">
        <v>500</v>
      </c>
      <c r="O128">
        <v>600</v>
      </c>
      <c r="P128">
        <v>7301</v>
      </c>
      <c r="Q128">
        <v>7600000000</v>
      </c>
      <c r="R128">
        <v>5</v>
      </c>
      <c r="S128">
        <v>17.350000000000001</v>
      </c>
      <c r="T128">
        <v>3.2</v>
      </c>
      <c r="U128">
        <v>3160</v>
      </c>
      <c r="V128">
        <v>457000</v>
      </c>
      <c r="W128">
        <v>11.6</v>
      </c>
      <c r="X128">
        <v>1410000</v>
      </c>
      <c r="Y128">
        <v>78.239999999999995</v>
      </c>
      <c r="Z128">
        <v>1460000000</v>
      </c>
      <c r="AA128">
        <v>14.6</v>
      </c>
      <c r="AB128">
        <v>290000000</v>
      </c>
      <c r="AC128">
        <v>0</v>
      </c>
      <c r="AD128">
        <v>0</v>
      </c>
      <c r="AE128">
        <v>290000000</v>
      </c>
      <c r="AF128">
        <v>3256000000</v>
      </c>
      <c r="AG128">
        <v>103000</v>
      </c>
      <c r="AH128">
        <v>0</v>
      </c>
      <c r="AI128">
        <v>100000</v>
      </c>
      <c r="AJ128">
        <v>40</v>
      </c>
      <c r="AK128">
        <v>445000</v>
      </c>
      <c r="AL128">
        <v>5759732</v>
      </c>
      <c r="AM128">
        <v>85.8</v>
      </c>
      <c r="AN128">
        <v>505</v>
      </c>
      <c r="AO128">
        <v>5457000000</v>
      </c>
      <c r="AP128">
        <v>622600</v>
      </c>
      <c r="AQ128">
        <v>1325300</v>
      </c>
      <c r="AR128">
        <v>2.71</v>
      </c>
      <c r="AS128">
        <v>15</v>
      </c>
    </row>
    <row r="129" spans="1:45" x14ac:dyDescent="0.3">
      <c r="A129" t="s">
        <v>172</v>
      </c>
      <c r="B129">
        <v>4</v>
      </c>
    </row>
    <row r="130" spans="1:45" x14ac:dyDescent="0.3">
      <c r="A130" t="s">
        <v>173</v>
      </c>
      <c r="B130">
        <v>2717300</v>
      </c>
      <c r="C130">
        <v>15.78</v>
      </c>
      <c r="D130">
        <v>-39020000</v>
      </c>
      <c r="E130">
        <v>9.4600000000000009</v>
      </c>
      <c r="F130">
        <v>26030000000</v>
      </c>
      <c r="G130">
        <v>62210000000</v>
      </c>
      <c r="H130">
        <v>66820000000</v>
      </c>
      <c r="I130">
        <v>18470000000</v>
      </c>
      <c r="J130">
        <v>118400000000</v>
      </c>
      <c r="K130">
        <v>7800</v>
      </c>
      <c r="L130">
        <v>9.1</v>
      </c>
      <c r="M130">
        <v>0.2</v>
      </c>
      <c r="N130">
        <v>200</v>
      </c>
      <c r="O130">
        <v>16500</v>
      </c>
      <c r="P130">
        <v>82980</v>
      </c>
      <c r="Q130">
        <v>13070000000</v>
      </c>
      <c r="R130">
        <v>10.6</v>
      </c>
      <c r="S130">
        <v>29.21</v>
      </c>
      <c r="T130">
        <v>6.9</v>
      </c>
      <c r="U130">
        <v>21984</v>
      </c>
      <c r="V130">
        <v>250000</v>
      </c>
      <c r="W130">
        <v>23.9</v>
      </c>
      <c r="X130">
        <v>7950000</v>
      </c>
      <c r="Y130">
        <v>66.55</v>
      </c>
      <c r="Z130">
        <v>221800000</v>
      </c>
      <c r="AA130">
        <v>0.9</v>
      </c>
      <c r="AB130">
        <v>14300000000</v>
      </c>
      <c r="AC130">
        <v>11010000000</v>
      </c>
      <c r="AD130">
        <v>8696000000</v>
      </c>
      <c r="AE130">
        <v>11600000000</v>
      </c>
      <c r="AF130">
        <v>1800000000000</v>
      </c>
      <c r="AG130">
        <v>189400</v>
      </c>
      <c r="AH130">
        <v>890000</v>
      </c>
      <c r="AI130">
        <v>47000</v>
      </c>
      <c r="AJ130">
        <v>1200000</v>
      </c>
      <c r="AK130">
        <v>26000000000</v>
      </c>
      <c r="AL130">
        <v>15185844</v>
      </c>
      <c r="AM130">
        <v>13.7</v>
      </c>
      <c r="AN130">
        <v>13601</v>
      </c>
      <c r="AO130">
        <v>14350000000</v>
      </c>
      <c r="AP130">
        <v>2081900</v>
      </c>
      <c r="AQ130">
        <v>1027000</v>
      </c>
      <c r="AR130">
        <v>1.89</v>
      </c>
      <c r="AS130">
        <v>8</v>
      </c>
    </row>
    <row r="131" spans="1:45" x14ac:dyDescent="0.3">
      <c r="A131" t="s">
        <v>174</v>
      </c>
      <c r="B131">
        <v>582650</v>
      </c>
      <c r="C131">
        <v>40.130000000000003</v>
      </c>
      <c r="D131">
        <v>-459200000</v>
      </c>
      <c r="E131">
        <v>14.65</v>
      </c>
      <c r="F131">
        <v>6792000000</v>
      </c>
      <c r="G131">
        <v>4337000000</v>
      </c>
      <c r="H131">
        <v>4475000000</v>
      </c>
      <c r="I131">
        <v>2589000000</v>
      </c>
      <c r="J131">
        <v>34680000000</v>
      </c>
      <c r="K131">
        <v>1100</v>
      </c>
      <c r="L131">
        <v>2.2000000000000002</v>
      </c>
      <c r="M131">
        <v>6.7</v>
      </c>
      <c r="N131">
        <v>150000</v>
      </c>
      <c r="O131">
        <v>1200000</v>
      </c>
      <c r="P131">
        <v>63942</v>
      </c>
      <c r="Q131">
        <v>4190000000</v>
      </c>
      <c r="R131">
        <v>2.6</v>
      </c>
      <c r="S131">
        <v>61.47</v>
      </c>
      <c r="T131">
        <v>9</v>
      </c>
      <c r="U131">
        <v>8325</v>
      </c>
      <c r="V131">
        <v>400000</v>
      </c>
      <c r="W131">
        <v>14.7</v>
      </c>
      <c r="X131">
        <v>11400000</v>
      </c>
      <c r="Y131">
        <v>47.99</v>
      </c>
      <c r="Z131">
        <v>177100000</v>
      </c>
      <c r="AA131">
        <v>1.3</v>
      </c>
      <c r="AG131">
        <v>57000</v>
      </c>
      <c r="AJ131">
        <v>0</v>
      </c>
      <c r="AL131">
        <v>33829590</v>
      </c>
      <c r="AM131">
        <v>74.3</v>
      </c>
      <c r="AN131">
        <v>2778</v>
      </c>
      <c r="AO131">
        <v>1500000000</v>
      </c>
      <c r="AP131">
        <v>328400</v>
      </c>
      <c r="AQ131">
        <v>1590800</v>
      </c>
      <c r="AR131">
        <v>4.96</v>
      </c>
      <c r="AS131">
        <v>40</v>
      </c>
    </row>
    <row r="132" spans="1:45" x14ac:dyDescent="0.3">
      <c r="A132" t="s">
        <v>175</v>
      </c>
      <c r="B132">
        <v>1</v>
      </c>
    </row>
    <row r="133" spans="1:45" x14ac:dyDescent="0.3">
      <c r="A133" t="s">
        <v>176</v>
      </c>
      <c r="B133">
        <v>811</v>
      </c>
      <c r="C133">
        <v>30.86</v>
      </c>
      <c r="E133">
        <v>8.3699999999999992</v>
      </c>
      <c r="F133">
        <v>10000000</v>
      </c>
      <c r="G133">
        <v>6510000</v>
      </c>
      <c r="H133">
        <v>7000000</v>
      </c>
      <c r="I133">
        <v>35000000</v>
      </c>
      <c r="J133">
        <v>79000000</v>
      </c>
      <c r="K133">
        <v>800</v>
      </c>
      <c r="L133">
        <v>1.5</v>
      </c>
      <c r="P133">
        <v>670</v>
      </c>
      <c r="Q133">
        <v>83000000</v>
      </c>
      <c r="R133">
        <v>0.7</v>
      </c>
      <c r="S133">
        <v>48.52</v>
      </c>
      <c r="T133">
        <v>2.5</v>
      </c>
      <c r="V133">
        <v>2000</v>
      </c>
      <c r="X133">
        <v>7870</v>
      </c>
      <c r="Y133">
        <v>61.71</v>
      </c>
      <c r="AG133">
        <v>190</v>
      </c>
      <c r="AJ133">
        <v>0</v>
      </c>
      <c r="AL133">
        <v>103092</v>
      </c>
      <c r="AP133">
        <v>4500</v>
      </c>
      <c r="AQ133">
        <v>500</v>
      </c>
      <c r="AR133">
        <v>4.2</v>
      </c>
      <c r="AS133">
        <v>2</v>
      </c>
    </row>
    <row r="134" spans="1:45" x14ac:dyDescent="0.3">
      <c r="A134" t="s">
        <v>177</v>
      </c>
      <c r="B134">
        <v>120540</v>
      </c>
      <c r="C134">
        <v>16.09</v>
      </c>
      <c r="E134">
        <v>7.05</v>
      </c>
      <c r="F134">
        <v>12000000000</v>
      </c>
      <c r="G134">
        <v>31260000000</v>
      </c>
      <c r="H134">
        <v>33620000000</v>
      </c>
      <c r="I134">
        <v>1200000000</v>
      </c>
      <c r="J134">
        <v>30880000000</v>
      </c>
      <c r="K134">
        <v>1400</v>
      </c>
      <c r="L134">
        <v>1</v>
      </c>
      <c r="P134">
        <v>31200</v>
      </c>
      <c r="Q134">
        <v>2100000000</v>
      </c>
      <c r="S134">
        <v>24.04</v>
      </c>
      <c r="X134">
        <v>9600000</v>
      </c>
      <c r="Y134">
        <v>71.37</v>
      </c>
      <c r="Z134">
        <v>5217400000</v>
      </c>
      <c r="AG134">
        <v>85000</v>
      </c>
      <c r="AI134">
        <v>11500</v>
      </c>
      <c r="AJ134">
        <v>0</v>
      </c>
      <c r="AL134">
        <v>22912177</v>
      </c>
      <c r="AN134">
        <v>5214</v>
      </c>
      <c r="AP134">
        <v>1100000</v>
      </c>
      <c r="AR134">
        <v>2.15</v>
      </c>
    </row>
    <row r="135" spans="1:45" x14ac:dyDescent="0.3">
      <c r="A135" t="s">
        <v>178</v>
      </c>
      <c r="B135">
        <v>98480</v>
      </c>
      <c r="C135">
        <v>10.08</v>
      </c>
      <c r="D135">
        <v>26780000000</v>
      </c>
      <c r="E135">
        <v>6.26</v>
      </c>
      <c r="F135">
        <v>160000000000</v>
      </c>
      <c r="G135">
        <v>293600000000</v>
      </c>
      <c r="H135">
        <v>322500000000</v>
      </c>
      <c r="I135">
        <v>250600000000</v>
      </c>
      <c r="J135">
        <v>925100000000</v>
      </c>
      <c r="K135">
        <v>19200</v>
      </c>
      <c r="L135">
        <v>4.5999999999999996</v>
      </c>
      <c r="M135">
        <v>0.1</v>
      </c>
      <c r="N135">
        <v>200</v>
      </c>
      <c r="O135">
        <v>8300</v>
      </c>
      <c r="P135">
        <v>86990</v>
      </c>
      <c r="Q135">
        <v>214200000000</v>
      </c>
      <c r="R135">
        <v>10.1</v>
      </c>
      <c r="S135">
        <v>7.05</v>
      </c>
      <c r="T135">
        <v>3.6</v>
      </c>
      <c r="U135">
        <v>694206</v>
      </c>
      <c r="V135">
        <v>29220000</v>
      </c>
      <c r="W135">
        <v>28.7</v>
      </c>
      <c r="X135">
        <v>22900000</v>
      </c>
      <c r="Y135">
        <v>75.819999999999993</v>
      </c>
      <c r="Z135">
        <v>16180000000</v>
      </c>
      <c r="AA135">
        <v>2.8</v>
      </c>
      <c r="AB135">
        <v>20920000000</v>
      </c>
      <c r="AC135">
        <v>0</v>
      </c>
      <c r="AD135">
        <v>21110000000</v>
      </c>
      <c r="AE135">
        <v>0</v>
      </c>
      <c r="AG135">
        <v>2070000</v>
      </c>
      <c r="AH135">
        <v>630100</v>
      </c>
      <c r="AI135">
        <v>2263000</v>
      </c>
      <c r="AJ135">
        <v>0</v>
      </c>
      <c r="AL135">
        <v>48422644</v>
      </c>
      <c r="AM135">
        <v>21.3</v>
      </c>
      <c r="AN135">
        <v>3125</v>
      </c>
      <c r="AO135">
        <v>199100000000</v>
      </c>
      <c r="AP135">
        <v>22877000</v>
      </c>
      <c r="AQ135">
        <v>33591800</v>
      </c>
      <c r="AR135">
        <v>1.26</v>
      </c>
      <c r="AS135">
        <v>3.6</v>
      </c>
    </row>
    <row r="136" spans="1:45" x14ac:dyDescent="0.3">
      <c r="A136" t="s">
        <v>179</v>
      </c>
      <c r="B136">
        <v>17820</v>
      </c>
      <c r="C136">
        <v>21.88</v>
      </c>
      <c r="D136">
        <v>12040000000</v>
      </c>
      <c r="E136">
        <v>2.42</v>
      </c>
      <c r="F136">
        <v>15020000000</v>
      </c>
      <c r="G136">
        <v>30160000000</v>
      </c>
      <c r="H136">
        <v>32430000000</v>
      </c>
      <c r="I136">
        <v>27420000000</v>
      </c>
      <c r="J136">
        <v>48000000000</v>
      </c>
      <c r="K136">
        <v>21300</v>
      </c>
      <c r="L136">
        <v>6.8</v>
      </c>
      <c r="M136">
        <v>0.12</v>
      </c>
      <c r="P136">
        <v>4450</v>
      </c>
      <c r="Q136">
        <v>11120000000</v>
      </c>
      <c r="R136">
        <v>-5</v>
      </c>
      <c r="S136">
        <v>9.9499999999999993</v>
      </c>
      <c r="T136">
        <v>2.2999999999999998</v>
      </c>
      <c r="U136">
        <v>3437</v>
      </c>
      <c r="V136">
        <v>567000</v>
      </c>
      <c r="W136">
        <v>8</v>
      </c>
      <c r="X136">
        <v>1420000</v>
      </c>
      <c r="Y136">
        <v>77.03</v>
      </c>
      <c r="Z136">
        <v>2584500000</v>
      </c>
      <c r="AA136">
        <v>5.3</v>
      </c>
      <c r="AB136">
        <v>8700000000</v>
      </c>
      <c r="AC136">
        <v>0</v>
      </c>
      <c r="AD136">
        <v>0</v>
      </c>
      <c r="AE136">
        <v>8700000000</v>
      </c>
      <c r="AF136">
        <v>1548000000000</v>
      </c>
      <c r="AG136">
        <v>293000</v>
      </c>
      <c r="AH136">
        <v>1970000</v>
      </c>
      <c r="AJ136">
        <v>2319000</v>
      </c>
      <c r="AK136">
        <v>96500000000</v>
      </c>
      <c r="AL136">
        <v>2335648</v>
      </c>
      <c r="AM136">
        <v>29.6</v>
      </c>
      <c r="AO136">
        <v>7333000000</v>
      </c>
      <c r="AP136">
        <v>486900</v>
      </c>
      <c r="AQ136">
        <v>1420000</v>
      </c>
      <c r="AR136">
        <v>2.97</v>
      </c>
      <c r="AS136">
        <v>2.2000000000000002</v>
      </c>
    </row>
    <row r="137" spans="1:45" x14ac:dyDescent="0.3">
      <c r="A137" t="s">
        <v>180</v>
      </c>
      <c r="B137">
        <v>198500</v>
      </c>
      <c r="C137">
        <v>22.48</v>
      </c>
      <c r="D137">
        <v>-87920000</v>
      </c>
      <c r="E137">
        <v>7.13</v>
      </c>
      <c r="F137">
        <v>1970000000</v>
      </c>
      <c r="G137">
        <v>10210000000</v>
      </c>
      <c r="H137">
        <v>11720000000</v>
      </c>
      <c r="I137">
        <v>646700000</v>
      </c>
      <c r="J137">
        <v>8495000000</v>
      </c>
      <c r="K137">
        <v>1700</v>
      </c>
      <c r="L137">
        <v>6</v>
      </c>
      <c r="M137">
        <v>0.1</v>
      </c>
      <c r="N137">
        <v>200</v>
      </c>
      <c r="O137">
        <v>3900</v>
      </c>
      <c r="P137">
        <v>18500</v>
      </c>
      <c r="Q137">
        <v>775100000</v>
      </c>
      <c r="R137">
        <v>6</v>
      </c>
      <c r="S137">
        <v>35.64</v>
      </c>
      <c r="T137">
        <v>3.2</v>
      </c>
      <c r="U137">
        <v>12299</v>
      </c>
      <c r="V137">
        <v>152000</v>
      </c>
      <c r="W137">
        <v>17</v>
      </c>
      <c r="X137">
        <v>2700000</v>
      </c>
      <c r="Y137">
        <v>68.16</v>
      </c>
      <c r="Z137">
        <v>19200000</v>
      </c>
      <c r="AA137">
        <v>1.4</v>
      </c>
      <c r="AB137">
        <v>2016000000</v>
      </c>
      <c r="AC137">
        <v>0</v>
      </c>
      <c r="AD137">
        <v>2000000000</v>
      </c>
      <c r="AE137">
        <v>16000000</v>
      </c>
      <c r="AG137">
        <v>20000</v>
      </c>
      <c r="AJ137">
        <v>2000</v>
      </c>
      <c r="AL137">
        <v>5146281</v>
      </c>
      <c r="AN137">
        <v>470</v>
      </c>
      <c r="AO137">
        <v>498700000</v>
      </c>
      <c r="AP137">
        <v>394800</v>
      </c>
      <c r="AQ137">
        <v>53100</v>
      </c>
      <c r="AR137">
        <v>2.7</v>
      </c>
      <c r="AS137">
        <v>18</v>
      </c>
    </row>
    <row r="138" spans="1:45" x14ac:dyDescent="0.3">
      <c r="A138" t="s">
        <v>181</v>
      </c>
      <c r="B138">
        <v>236800</v>
      </c>
      <c r="C138">
        <v>35.99</v>
      </c>
      <c r="D138">
        <v>-80760000</v>
      </c>
      <c r="E138">
        <v>11.83</v>
      </c>
      <c r="F138">
        <v>2490000000</v>
      </c>
      <c r="G138">
        <v>3036000000</v>
      </c>
      <c r="H138">
        <v>3560000000</v>
      </c>
      <c r="I138">
        <v>365500000</v>
      </c>
      <c r="J138">
        <v>11280000000</v>
      </c>
      <c r="K138">
        <v>1900</v>
      </c>
      <c r="L138">
        <v>6</v>
      </c>
      <c r="M138">
        <v>0.1</v>
      </c>
      <c r="N138">
        <v>200</v>
      </c>
      <c r="O138">
        <v>1700</v>
      </c>
      <c r="P138">
        <v>21716</v>
      </c>
      <c r="Q138">
        <v>579500000</v>
      </c>
      <c r="R138">
        <v>9.6999999999999993</v>
      </c>
      <c r="S138">
        <v>85.22</v>
      </c>
      <c r="T138">
        <v>12.3</v>
      </c>
      <c r="U138">
        <v>937</v>
      </c>
      <c r="V138">
        <v>15000</v>
      </c>
      <c r="X138">
        <v>2600000</v>
      </c>
      <c r="Y138">
        <v>55.08</v>
      </c>
      <c r="Z138">
        <v>10700000</v>
      </c>
      <c r="AA138">
        <v>0.5</v>
      </c>
      <c r="AG138">
        <v>2750</v>
      </c>
      <c r="AJ138">
        <v>0</v>
      </c>
      <c r="AL138">
        <v>6217141</v>
      </c>
      <c r="AO138">
        <v>193100000</v>
      </c>
      <c r="AP138">
        <v>61900</v>
      </c>
      <c r="AQ138">
        <v>55200</v>
      </c>
      <c r="AR138">
        <v>4.7699999999999996</v>
      </c>
      <c r="AS138">
        <v>5.7</v>
      </c>
    </row>
    <row r="139" spans="1:45" x14ac:dyDescent="0.3">
      <c r="A139" t="s">
        <v>182</v>
      </c>
      <c r="B139">
        <v>64589</v>
      </c>
      <c r="C139">
        <v>9.0399999999999991</v>
      </c>
      <c r="D139">
        <v>-1251000000</v>
      </c>
      <c r="E139">
        <v>13.7</v>
      </c>
      <c r="F139">
        <v>7368000000</v>
      </c>
      <c r="G139">
        <v>5829000000</v>
      </c>
      <c r="H139">
        <v>4547000000</v>
      </c>
      <c r="I139">
        <v>3569000000</v>
      </c>
      <c r="J139">
        <v>26530000000</v>
      </c>
      <c r="K139">
        <v>11500</v>
      </c>
      <c r="L139">
        <v>7.6</v>
      </c>
      <c r="M139">
        <v>0.6</v>
      </c>
      <c r="N139">
        <v>500</v>
      </c>
      <c r="O139">
        <v>7600</v>
      </c>
      <c r="P139">
        <v>60472</v>
      </c>
      <c r="Q139">
        <v>5970000000</v>
      </c>
      <c r="R139">
        <v>8.5</v>
      </c>
      <c r="S139">
        <v>9.5500000000000007</v>
      </c>
      <c r="T139">
        <v>6</v>
      </c>
      <c r="U139">
        <v>51758</v>
      </c>
      <c r="V139">
        <v>936000</v>
      </c>
      <c r="W139">
        <v>26.1</v>
      </c>
      <c r="X139">
        <v>1170000</v>
      </c>
      <c r="Y139">
        <v>71.05</v>
      </c>
      <c r="Z139">
        <v>87000000</v>
      </c>
      <c r="AA139">
        <v>1.2</v>
      </c>
      <c r="AB139">
        <v>1700000000</v>
      </c>
      <c r="AC139">
        <v>0</v>
      </c>
      <c r="AD139">
        <v>1700000000</v>
      </c>
      <c r="AE139">
        <v>0</v>
      </c>
      <c r="AG139">
        <v>44000</v>
      </c>
      <c r="AJ139">
        <v>0</v>
      </c>
      <c r="AL139">
        <v>2290237</v>
      </c>
      <c r="AM139">
        <v>11.8</v>
      </c>
      <c r="AN139">
        <v>2303</v>
      </c>
      <c r="AO139">
        <v>1650000000</v>
      </c>
      <c r="AP139">
        <v>653900</v>
      </c>
      <c r="AQ139">
        <v>1219600</v>
      </c>
      <c r="AR139">
        <v>1.26</v>
      </c>
      <c r="AS139">
        <v>8.8000000000000007</v>
      </c>
    </row>
    <row r="140" spans="1:45" x14ac:dyDescent="0.3">
      <c r="A140" t="s">
        <v>183</v>
      </c>
      <c r="B140">
        <v>10400</v>
      </c>
      <c r="C140">
        <v>18.88</v>
      </c>
      <c r="D140">
        <v>-2389000000</v>
      </c>
      <c r="E140">
        <v>6.24</v>
      </c>
      <c r="F140">
        <v>15840000000</v>
      </c>
      <c r="G140">
        <v>8591000000</v>
      </c>
      <c r="H140">
        <v>8066000000</v>
      </c>
      <c r="I140">
        <v>1783000000</v>
      </c>
      <c r="J140">
        <v>18830000000</v>
      </c>
      <c r="K140">
        <v>5000</v>
      </c>
      <c r="L140">
        <v>4</v>
      </c>
      <c r="M140">
        <v>0.1</v>
      </c>
      <c r="N140">
        <v>200</v>
      </c>
      <c r="O140">
        <v>2800</v>
      </c>
      <c r="P140">
        <v>7300</v>
      </c>
      <c r="Q140">
        <v>8162000000</v>
      </c>
      <c r="S140">
        <v>24.52</v>
      </c>
      <c r="T140">
        <v>2</v>
      </c>
      <c r="U140">
        <v>6998</v>
      </c>
      <c r="V140">
        <v>400000</v>
      </c>
      <c r="W140">
        <v>26</v>
      </c>
      <c r="X140">
        <v>2600000</v>
      </c>
      <c r="Y140">
        <v>72.63</v>
      </c>
      <c r="Z140">
        <v>540600000</v>
      </c>
      <c r="AA140">
        <v>3.1</v>
      </c>
      <c r="AG140">
        <v>107000</v>
      </c>
      <c r="AJ140">
        <v>0</v>
      </c>
      <c r="AL140">
        <v>3826018</v>
      </c>
      <c r="AM140">
        <v>177.9</v>
      </c>
      <c r="AN140">
        <v>401</v>
      </c>
      <c r="AO140">
        <v>16300000000</v>
      </c>
      <c r="AP140">
        <v>678800</v>
      </c>
      <c r="AQ140">
        <v>775100</v>
      </c>
      <c r="AR140">
        <v>1.92</v>
      </c>
      <c r="AS140">
        <v>18</v>
      </c>
    </row>
    <row r="141" spans="1:45" x14ac:dyDescent="0.3">
      <c r="A141" t="s">
        <v>184</v>
      </c>
      <c r="B141">
        <v>30355</v>
      </c>
      <c r="C141">
        <v>26.53</v>
      </c>
      <c r="D141">
        <v>-108300000</v>
      </c>
      <c r="E141">
        <v>25.03</v>
      </c>
      <c r="F141">
        <v>735000000</v>
      </c>
      <c r="G141">
        <v>308000000</v>
      </c>
      <c r="H141">
        <v>314000000</v>
      </c>
      <c r="I141">
        <v>484500000</v>
      </c>
      <c r="J141">
        <v>5892000000</v>
      </c>
      <c r="K141">
        <v>3200</v>
      </c>
      <c r="L141">
        <v>3.3</v>
      </c>
      <c r="M141">
        <v>28.9</v>
      </c>
      <c r="N141">
        <v>29000</v>
      </c>
      <c r="O141">
        <v>320000</v>
      </c>
      <c r="P141">
        <v>5940</v>
      </c>
      <c r="Q141">
        <v>730900000</v>
      </c>
      <c r="R141">
        <v>15.5</v>
      </c>
      <c r="S141">
        <v>84.23</v>
      </c>
      <c r="T141">
        <v>5.3</v>
      </c>
      <c r="U141">
        <v>119</v>
      </c>
      <c r="V141">
        <v>21000</v>
      </c>
      <c r="W141">
        <v>39.6</v>
      </c>
      <c r="X141">
        <v>838000</v>
      </c>
      <c r="Y141">
        <v>36.68</v>
      </c>
      <c r="Z141">
        <v>32300000</v>
      </c>
      <c r="AA141">
        <v>2.2999999999999998</v>
      </c>
      <c r="AG141">
        <v>1500</v>
      </c>
      <c r="AJ141">
        <v>0</v>
      </c>
      <c r="AL141">
        <v>1867035</v>
      </c>
      <c r="AO141">
        <v>402200000</v>
      </c>
      <c r="AP141">
        <v>28600</v>
      </c>
      <c r="AQ141">
        <v>92000</v>
      </c>
      <c r="AR141">
        <v>3.35</v>
      </c>
      <c r="AS141">
        <v>45</v>
      </c>
    </row>
    <row r="142" spans="1:45" x14ac:dyDescent="0.3">
      <c r="A142" t="s">
        <v>185</v>
      </c>
      <c r="B142">
        <v>111370</v>
      </c>
      <c r="C142">
        <v>44.22</v>
      </c>
      <c r="E142">
        <v>17.87</v>
      </c>
      <c r="F142">
        <v>2100000000</v>
      </c>
      <c r="G142">
        <v>454600000</v>
      </c>
      <c r="H142">
        <v>488800000</v>
      </c>
      <c r="I142">
        <v>1079000000</v>
      </c>
      <c r="J142">
        <v>2903000000</v>
      </c>
      <c r="K142">
        <v>900</v>
      </c>
      <c r="L142">
        <v>21.8</v>
      </c>
      <c r="M142">
        <v>5.9</v>
      </c>
      <c r="N142">
        <v>7200</v>
      </c>
      <c r="O142">
        <v>100000</v>
      </c>
      <c r="P142">
        <v>10600</v>
      </c>
      <c r="Q142">
        <v>5051000000</v>
      </c>
      <c r="S142">
        <v>128.87</v>
      </c>
      <c r="T142">
        <v>15</v>
      </c>
      <c r="U142">
        <v>14</v>
      </c>
      <c r="V142">
        <v>1000</v>
      </c>
      <c r="Y142">
        <v>47.69</v>
      </c>
      <c r="Z142">
        <v>1500000</v>
      </c>
      <c r="AA142">
        <v>0.2</v>
      </c>
      <c r="AG142">
        <v>3100</v>
      </c>
      <c r="AJ142">
        <v>0</v>
      </c>
      <c r="AL142">
        <v>3482211</v>
      </c>
      <c r="AN142">
        <v>490</v>
      </c>
      <c r="AP142">
        <v>7000</v>
      </c>
      <c r="AQ142">
        <v>2000</v>
      </c>
      <c r="AR142">
        <v>6.09</v>
      </c>
      <c r="AS142">
        <v>85</v>
      </c>
    </row>
    <row r="143" spans="1:45" x14ac:dyDescent="0.3">
      <c r="A143" t="s">
        <v>186</v>
      </c>
      <c r="B143">
        <v>1759540</v>
      </c>
      <c r="C143">
        <v>26.82</v>
      </c>
      <c r="D143">
        <v>9895000000</v>
      </c>
      <c r="E143">
        <v>3.48</v>
      </c>
      <c r="F143">
        <v>4069000000</v>
      </c>
      <c r="G143">
        <v>19430000000</v>
      </c>
      <c r="H143">
        <v>20890000000</v>
      </c>
      <c r="I143">
        <v>18650000000</v>
      </c>
      <c r="J143">
        <v>37480000000</v>
      </c>
      <c r="K143">
        <v>6700</v>
      </c>
      <c r="L143">
        <v>4.9000000000000004</v>
      </c>
      <c r="M143">
        <v>0.3</v>
      </c>
      <c r="O143">
        <v>10000</v>
      </c>
      <c r="P143">
        <v>83200</v>
      </c>
      <c r="Q143">
        <v>7224000000</v>
      </c>
      <c r="S143">
        <v>24.6</v>
      </c>
      <c r="T143">
        <v>2.9</v>
      </c>
      <c r="U143">
        <v>67</v>
      </c>
      <c r="V143">
        <v>160000</v>
      </c>
      <c r="W143">
        <v>9.9</v>
      </c>
      <c r="X143">
        <v>1590000</v>
      </c>
      <c r="Y143">
        <v>76.5</v>
      </c>
      <c r="Z143">
        <v>1300000000</v>
      </c>
      <c r="AA143">
        <v>3.9</v>
      </c>
      <c r="AB143">
        <v>5410000000</v>
      </c>
      <c r="AC143">
        <v>770000000</v>
      </c>
      <c r="AD143">
        <v>0</v>
      </c>
      <c r="AE143">
        <v>6180000000</v>
      </c>
      <c r="AF143">
        <v>1321000000000</v>
      </c>
      <c r="AG143">
        <v>216000</v>
      </c>
      <c r="AJ143">
        <v>1518000</v>
      </c>
      <c r="AK143">
        <v>38000000000</v>
      </c>
      <c r="AL143">
        <v>5765563</v>
      </c>
      <c r="AM143">
        <v>8.8000000000000007</v>
      </c>
      <c r="AO143">
        <v>24180000000</v>
      </c>
      <c r="AP143">
        <v>750000</v>
      </c>
      <c r="AQ143">
        <v>100000</v>
      </c>
      <c r="AR143">
        <v>3.34</v>
      </c>
      <c r="AS143">
        <v>30</v>
      </c>
    </row>
    <row r="144" spans="1:45" x14ac:dyDescent="0.3">
      <c r="A144" t="s">
        <v>187</v>
      </c>
      <c r="B144">
        <v>160</v>
      </c>
      <c r="C144">
        <v>10.41</v>
      </c>
      <c r="E144">
        <v>7.06</v>
      </c>
      <c r="F144">
        <v>0</v>
      </c>
      <c r="I144">
        <v>2470000000</v>
      </c>
      <c r="J144">
        <v>825000000</v>
      </c>
      <c r="K144">
        <v>25000</v>
      </c>
      <c r="L144">
        <v>11</v>
      </c>
      <c r="P144">
        <v>250</v>
      </c>
      <c r="Q144">
        <v>917300000</v>
      </c>
      <c r="S144">
        <v>4.7</v>
      </c>
      <c r="T144">
        <v>1</v>
      </c>
      <c r="U144">
        <v>3727</v>
      </c>
      <c r="V144">
        <v>20000</v>
      </c>
      <c r="X144">
        <v>29000</v>
      </c>
      <c r="Y144">
        <v>79.55</v>
      </c>
      <c r="AL144">
        <v>33717</v>
      </c>
      <c r="AP144">
        <v>19900</v>
      </c>
      <c r="AQ144">
        <v>11400</v>
      </c>
      <c r="AR144">
        <v>1.51</v>
      </c>
      <c r="AS144">
        <v>1.3</v>
      </c>
    </row>
    <row r="145" spans="1:45" x14ac:dyDescent="0.3">
      <c r="A145" t="s">
        <v>188</v>
      </c>
      <c r="B145">
        <v>65200</v>
      </c>
      <c r="C145">
        <v>8.6199999999999992</v>
      </c>
      <c r="D145">
        <v>-1600000000</v>
      </c>
      <c r="E145">
        <v>10.92</v>
      </c>
      <c r="F145">
        <v>10010000000</v>
      </c>
      <c r="G145">
        <v>10170000000</v>
      </c>
      <c r="H145">
        <v>17930000000</v>
      </c>
      <c r="I145">
        <v>8880000000</v>
      </c>
      <c r="J145">
        <v>45230000000</v>
      </c>
      <c r="K145">
        <v>12500</v>
      </c>
      <c r="L145">
        <v>6.6</v>
      </c>
      <c r="M145">
        <v>0.1</v>
      </c>
      <c r="N145">
        <v>200</v>
      </c>
      <c r="O145">
        <v>1300</v>
      </c>
      <c r="P145">
        <v>77148</v>
      </c>
      <c r="Q145">
        <v>11020000000</v>
      </c>
      <c r="R145">
        <v>12</v>
      </c>
      <c r="S145">
        <v>6.89</v>
      </c>
      <c r="T145">
        <v>1.1000000000000001</v>
      </c>
      <c r="U145">
        <v>67769</v>
      </c>
      <c r="V145">
        <v>695700</v>
      </c>
      <c r="W145">
        <v>21.9</v>
      </c>
      <c r="X145">
        <v>1630000</v>
      </c>
      <c r="Y145">
        <v>73.97</v>
      </c>
      <c r="Z145">
        <v>230800000</v>
      </c>
      <c r="AA145">
        <v>1.9</v>
      </c>
      <c r="AB145">
        <v>2760000000</v>
      </c>
      <c r="AC145">
        <v>0</v>
      </c>
      <c r="AD145">
        <v>2760000000</v>
      </c>
      <c r="AE145">
        <v>0</v>
      </c>
      <c r="AG145">
        <v>72000</v>
      </c>
      <c r="AJ145">
        <v>4594</v>
      </c>
      <c r="AL145">
        <v>3596617</v>
      </c>
      <c r="AM145">
        <v>25.2</v>
      </c>
      <c r="AN145">
        <v>1998</v>
      </c>
      <c r="AO145">
        <v>4610000000</v>
      </c>
      <c r="AP145">
        <v>824200</v>
      </c>
      <c r="AQ145">
        <v>2169900</v>
      </c>
      <c r="AR145">
        <v>1.19</v>
      </c>
      <c r="AS145">
        <v>8</v>
      </c>
    </row>
    <row r="146" spans="1:45" x14ac:dyDescent="0.3">
      <c r="A146" t="s">
        <v>189</v>
      </c>
      <c r="B146">
        <v>2586</v>
      </c>
      <c r="C146">
        <v>12.06</v>
      </c>
      <c r="E146">
        <v>8.41</v>
      </c>
      <c r="G146">
        <v>5735000000</v>
      </c>
      <c r="H146">
        <v>2511000000</v>
      </c>
      <c r="I146">
        <v>13400000000</v>
      </c>
      <c r="J146">
        <v>27270000000</v>
      </c>
      <c r="K146">
        <v>58900</v>
      </c>
      <c r="L146">
        <v>2.2999999999999998</v>
      </c>
      <c r="M146">
        <v>0.2</v>
      </c>
      <c r="N146">
        <v>100</v>
      </c>
      <c r="O146">
        <v>500</v>
      </c>
      <c r="P146">
        <v>5210</v>
      </c>
      <c r="Q146">
        <v>16300000000</v>
      </c>
      <c r="R146">
        <v>2.9</v>
      </c>
      <c r="S146">
        <v>4.8099999999999996</v>
      </c>
      <c r="T146">
        <v>2.4</v>
      </c>
      <c r="U146">
        <v>28214</v>
      </c>
      <c r="V146">
        <v>165000</v>
      </c>
      <c r="W146">
        <v>19.8</v>
      </c>
      <c r="X146">
        <v>293700</v>
      </c>
      <c r="Y146">
        <v>78.739999999999995</v>
      </c>
      <c r="Z146">
        <v>231600000</v>
      </c>
      <c r="AA146">
        <v>0.9</v>
      </c>
      <c r="AB146">
        <v>865000000</v>
      </c>
      <c r="AC146">
        <v>0</v>
      </c>
      <c r="AD146">
        <v>867000000</v>
      </c>
      <c r="AE146">
        <v>0</v>
      </c>
      <c r="AG146">
        <v>50650</v>
      </c>
      <c r="AH146">
        <v>634</v>
      </c>
      <c r="AI146">
        <v>50700</v>
      </c>
      <c r="AJ146">
        <v>0</v>
      </c>
      <c r="AL146">
        <v>468571</v>
      </c>
      <c r="AN146">
        <v>274</v>
      </c>
      <c r="AP146">
        <v>355400</v>
      </c>
      <c r="AQ146">
        <v>473000</v>
      </c>
      <c r="AR146">
        <v>1.79</v>
      </c>
      <c r="AS146">
        <v>4.5</v>
      </c>
    </row>
    <row r="147" spans="1:45" x14ac:dyDescent="0.3">
      <c r="A147" t="s">
        <v>190</v>
      </c>
      <c r="B147">
        <v>25</v>
      </c>
      <c r="C147">
        <v>8.0399999999999991</v>
      </c>
      <c r="E147">
        <v>4.2300000000000004</v>
      </c>
      <c r="F147">
        <v>2700000000</v>
      </c>
      <c r="G147">
        <v>1772000000</v>
      </c>
      <c r="H147">
        <v>1719000000</v>
      </c>
      <c r="I147">
        <v>2580000000</v>
      </c>
      <c r="J147">
        <v>9100000000</v>
      </c>
      <c r="K147">
        <v>19400</v>
      </c>
      <c r="L147">
        <v>15.6</v>
      </c>
      <c r="P147">
        <v>341</v>
      </c>
      <c r="Q147">
        <v>2760000000</v>
      </c>
      <c r="S147">
        <v>4.3899999999999997</v>
      </c>
      <c r="T147">
        <v>2</v>
      </c>
      <c r="U147">
        <v>89</v>
      </c>
      <c r="V147">
        <v>120000</v>
      </c>
      <c r="X147">
        <v>231500</v>
      </c>
      <c r="Y147">
        <v>82.03</v>
      </c>
      <c r="AG147">
        <v>11190</v>
      </c>
      <c r="AJ147">
        <v>0</v>
      </c>
      <c r="AL147">
        <v>449198</v>
      </c>
      <c r="AP147">
        <v>174600</v>
      </c>
      <c r="AQ147">
        <v>364000</v>
      </c>
      <c r="AR147">
        <v>0.93</v>
      </c>
      <c r="AS147">
        <v>4.7</v>
      </c>
    </row>
    <row r="148" spans="1:45" x14ac:dyDescent="0.3">
      <c r="A148" t="s">
        <v>191</v>
      </c>
      <c r="B148">
        <v>25333</v>
      </c>
      <c r="C148">
        <v>12</v>
      </c>
      <c r="D148">
        <v>-311000000</v>
      </c>
      <c r="E148">
        <v>8.73</v>
      </c>
      <c r="F148">
        <v>1863000000</v>
      </c>
      <c r="G148">
        <v>7216000000</v>
      </c>
      <c r="H148">
        <v>6273000000</v>
      </c>
      <c r="I148">
        <v>1629000000</v>
      </c>
      <c r="J148">
        <v>14400000000</v>
      </c>
      <c r="K148">
        <v>7100</v>
      </c>
      <c r="L148">
        <v>1.3</v>
      </c>
      <c r="M148">
        <v>0.1</v>
      </c>
      <c r="N148">
        <v>100</v>
      </c>
      <c r="O148">
        <v>200</v>
      </c>
      <c r="P148">
        <v>8684</v>
      </c>
      <c r="Q148">
        <v>2677000000</v>
      </c>
      <c r="R148">
        <v>0</v>
      </c>
      <c r="S148">
        <v>10.09</v>
      </c>
      <c r="T148">
        <v>0.4</v>
      </c>
      <c r="U148">
        <v>3738</v>
      </c>
      <c r="V148">
        <v>100000</v>
      </c>
      <c r="W148">
        <v>17.5</v>
      </c>
      <c r="X148">
        <v>855000</v>
      </c>
      <c r="Y148">
        <v>73.73</v>
      </c>
      <c r="Z148">
        <v>200000000</v>
      </c>
      <c r="AA148">
        <v>6</v>
      </c>
      <c r="AG148">
        <v>22000</v>
      </c>
      <c r="AJ148">
        <v>0</v>
      </c>
      <c r="AL148">
        <v>2045262</v>
      </c>
      <c r="AM148">
        <v>20</v>
      </c>
      <c r="AN148">
        <v>699</v>
      </c>
      <c r="AO148">
        <v>928000000</v>
      </c>
      <c r="AP148">
        <v>560000</v>
      </c>
      <c r="AQ148">
        <v>365300</v>
      </c>
      <c r="AR148">
        <v>1.57</v>
      </c>
      <c r="AS148">
        <v>37.700000000000003</v>
      </c>
    </row>
    <row r="149" spans="1:45" x14ac:dyDescent="0.3">
      <c r="A149" t="s">
        <v>192</v>
      </c>
      <c r="B149">
        <v>587040</v>
      </c>
      <c r="C149">
        <v>41.66</v>
      </c>
      <c r="D149">
        <v>-281900000</v>
      </c>
      <c r="E149">
        <v>11.35</v>
      </c>
      <c r="F149">
        <v>4600000000</v>
      </c>
      <c r="G149">
        <v>781400000</v>
      </c>
      <c r="H149">
        <v>840200000</v>
      </c>
      <c r="I149">
        <v>868200000</v>
      </c>
      <c r="J149">
        <v>14560000000</v>
      </c>
      <c r="K149">
        <v>800</v>
      </c>
      <c r="L149">
        <v>5.5</v>
      </c>
      <c r="M149">
        <v>1.7</v>
      </c>
      <c r="N149">
        <v>7500</v>
      </c>
      <c r="O149">
        <v>140000</v>
      </c>
      <c r="P149">
        <v>49827</v>
      </c>
      <c r="Q149">
        <v>1147000000</v>
      </c>
      <c r="R149">
        <v>3</v>
      </c>
      <c r="S149">
        <v>76.83</v>
      </c>
      <c r="T149">
        <v>7.5</v>
      </c>
      <c r="U149">
        <v>773</v>
      </c>
      <c r="V149">
        <v>70500</v>
      </c>
      <c r="W149">
        <v>14.7</v>
      </c>
      <c r="X149">
        <v>7300000</v>
      </c>
      <c r="Y149">
        <v>56.95</v>
      </c>
      <c r="Z149">
        <v>44600000</v>
      </c>
      <c r="AA149">
        <v>1.2</v>
      </c>
      <c r="AF149">
        <v>0</v>
      </c>
      <c r="AG149">
        <v>13000</v>
      </c>
      <c r="AJ149">
        <v>0</v>
      </c>
      <c r="AK149">
        <v>0</v>
      </c>
      <c r="AL149">
        <v>18040341</v>
      </c>
      <c r="AN149">
        <v>732</v>
      </c>
      <c r="AO149">
        <v>500300000</v>
      </c>
      <c r="AP149">
        <v>59600</v>
      </c>
      <c r="AQ149">
        <v>279500</v>
      </c>
      <c r="AR149">
        <v>5.66</v>
      </c>
    </row>
    <row r="150" spans="1:45" x14ac:dyDescent="0.3">
      <c r="A150" t="s">
        <v>193</v>
      </c>
      <c r="B150">
        <v>118480</v>
      </c>
      <c r="C150">
        <v>43.95</v>
      </c>
      <c r="D150">
        <v>-55500000</v>
      </c>
      <c r="E150">
        <v>23.39</v>
      </c>
      <c r="F150">
        <v>3129000000</v>
      </c>
      <c r="G150">
        <v>1012000000</v>
      </c>
      <c r="H150">
        <v>1088000000</v>
      </c>
      <c r="I150">
        <v>503400000</v>
      </c>
      <c r="J150">
        <v>7410000000</v>
      </c>
      <c r="K150">
        <v>600</v>
      </c>
      <c r="L150">
        <v>4</v>
      </c>
      <c r="M150">
        <v>14.2</v>
      </c>
      <c r="N150">
        <v>84000</v>
      </c>
      <c r="O150">
        <v>900000</v>
      </c>
      <c r="P150">
        <v>28400</v>
      </c>
      <c r="Q150">
        <v>521100000</v>
      </c>
      <c r="R150">
        <v>1.4</v>
      </c>
      <c r="S150">
        <v>103.32</v>
      </c>
      <c r="T150">
        <v>12</v>
      </c>
      <c r="U150">
        <v>18</v>
      </c>
      <c r="V150">
        <v>36000</v>
      </c>
      <c r="W150">
        <v>10.7</v>
      </c>
      <c r="X150">
        <v>4500000</v>
      </c>
      <c r="Y150">
        <v>36.97</v>
      </c>
      <c r="Z150">
        <v>11100000</v>
      </c>
      <c r="AA150">
        <v>0.7</v>
      </c>
      <c r="AG150">
        <v>5400</v>
      </c>
      <c r="AJ150">
        <v>0</v>
      </c>
      <c r="AL150">
        <v>12158924</v>
      </c>
      <c r="AM150">
        <v>228.3</v>
      </c>
      <c r="AN150">
        <v>797</v>
      </c>
      <c r="AO150">
        <v>160500000</v>
      </c>
      <c r="AP150">
        <v>85000</v>
      </c>
      <c r="AQ150">
        <v>135100</v>
      </c>
      <c r="AR150">
        <v>5.98</v>
      </c>
    </row>
    <row r="151" spans="1:45" x14ac:dyDescent="0.3">
      <c r="A151" t="s">
        <v>194</v>
      </c>
      <c r="B151">
        <v>329750</v>
      </c>
      <c r="C151">
        <v>23.07</v>
      </c>
      <c r="D151">
        <v>11810000000</v>
      </c>
      <c r="E151">
        <v>5.0599999999999996</v>
      </c>
      <c r="F151">
        <v>53360000000</v>
      </c>
      <c r="G151">
        <v>68400000000</v>
      </c>
      <c r="H151">
        <v>75330000000</v>
      </c>
      <c r="I151">
        <v>123500000000</v>
      </c>
      <c r="J151">
        <v>229300000000</v>
      </c>
      <c r="K151">
        <v>9700</v>
      </c>
      <c r="L151">
        <v>7.1</v>
      </c>
      <c r="M151">
        <v>0.4</v>
      </c>
      <c r="N151">
        <v>2000</v>
      </c>
      <c r="O151">
        <v>52000</v>
      </c>
      <c r="P151">
        <v>65877</v>
      </c>
      <c r="Q151">
        <v>99300000000</v>
      </c>
      <c r="R151">
        <v>10.199999999999999</v>
      </c>
      <c r="S151">
        <v>17.7</v>
      </c>
      <c r="T151">
        <v>1.3</v>
      </c>
      <c r="U151">
        <v>107971</v>
      </c>
      <c r="V151">
        <v>8692100</v>
      </c>
      <c r="W151">
        <v>21.7</v>
      </c>
      <c r="X151">
        <v>10490000</v>
      </c>
      <c r="Y151">
        <v>72.239999999999995</v>
      </c>
      <c r="Z151">
        <v>1690000000</v>
      </c>
      <c r="AA151">
        <v>2.0299999999999998</v>
      </c>
      <c r="AB151">
        <v>31250000000</v>
      </c>
      <c r="AC151">
        <v>22410000000</v>
      </c>
      <c r="AD151">
        <v>0</v>
      </c>
      <c r="AE151">
        <v>53660000000</v>
      </c>
      <c r="AF151">
        <v>2230000000000</v>
      </c>
      <c r="AG151">
        <v>460000</v>
      </c>
      <c r="AH151">
        <v>230200</v>
      </c>
      <c r="AJ151">
        <v>785000</v>
      </c>
      <c r="AK151">
        <v>3200000000</v>
      </c>
      <c r="AL151">
        <v>23953136</v>
      </c>
      <c r="AM151">
        <v>45.4</v>
      </c>
      <c r="AN151">
        <v>2418</v>
      </c>
      <c r="AO151">
        <v>55270000000</v>
      </c>
      <c r="AP151">
        <v>4571600</v>
      </c>
      <c r="AQ151">
        <v>11124100</v>
      </c>
      <c r="AR151">
        <v>3.07</v>
      </c>
      <c r="AS151">
        <v>3</v>
      </c>
    </row>
    <row r="152" spans="1:45" x14ac:dyDescent="0.3">
      <c r="A152" t="s">
        <v>195</v>
      </c>
      <c r="B152">
        <v>300</v>
      </c>
      <c r="C152">
        <v>35.43</v>
      </c>
      <c r="E152">
        <v>7.24</v>
      </c>
      <c r="F152">
        <v>281000000</v>
      </c>
      <c r="G152">
        <v>115700000</v>
      </c>
      <c r="H152">
        <v>124400000</v>
      </c>
      <c r="I152">
        <v>90000000</v>
      </c>
      <c r="J152">
        <v>1250000000</v>
      </c>
      <c r="K152">
        <v>3900</v>
      </c>
      <c r="L152">
        <v>2.2999999999999998</v>
      </c>
      <c r="M152">
        <v>0.1</v>
      </c>
      <c r="O152">
        <v>100</v>
      </c>
      <c r="Q152">
        <v>392000000</v>
      </c>
      <c r="R152">
        <v>4.4000000000000004</v>
      </c>
      <c r="S152">
        <v>56.52</v>
      </c>
      <c r="T152">
        <v>1</v>
      </c>
      <c r="U152">
        <v>532</v>
      </c>
      <c r="V152">
        <v>15000</v>
      </c>
      <c r="X152">
        <v>88000</v>
      </c>
      <c r="Y152">
        <v>64.06</v>
      </c>
      <c r="Z152">
        <v>41100000</v>
      </c>
      <c r="AA152">
        <v>5.5</v>
      </c>
      <c r="AG152">
        <v>3200</v>
      </c>
      <c r="AJ152">
        <v>0</v>
      </c>
      <c r="AL152">
        <v>349106</v>
      </c>
      <c r="AP152">
        <v>28700</v>
      </c>
      <c r="AQ152">
        <v>41900</v>
      </c>
      <c r="AR152">
        <v>5.0199999999999996</v>
      </c>
    </row>
    <row r="153" spans="1:45" x14ac:dyDescent="0.3">
      <c r="A153" t="s">
        <v>196</v>
      </c>
      <c r="B153">
        <v>1240000</v>
      </c>
      <c r="C153">
        <v>46.77</v>
      </c>
      <c r="E153">
        <v>19.05</v>
      </c>
      <c r="F153">
        <v>3300000000</v>
      </c>
      <c r="G153">
        <v>651000000</v>
      </c>
      <c r="H153">
        <v>700000000</v>
      </c>
      <c r="I153">
        <v>915000000</v>
      </c>
      <c r="J153">
        <v>11000000000</v>
      </c>
      <c r="K153">
        <v>900</v>
      </c>
      <c r="L153">
        <v>4</v>
      </c>
      <c r="M153">
        <v>1.9</v>
      </c>
      <c r="N153">
        <v>12000</v>
      </c>
      <c r="O153">
        <v>140000</v>
      </c>
      <c r="P153">
        <v>15100</v>
      </c>
      <c r="Q153">
        <v>927000000</v>
      </c>
      <c r="S153">
        <v>116.79</v>
      </c>
      <c r="T153">
        <v>4.5</v>
      </c>
      <c r="U153">
        <v>187</v>
      </c>
      <c r="V153">
        <v>25000</v>
      </c>
      <c r="X153">
        <v>3930000</v>
      </c>
      <c r="Y153">
        <v>45.09</v>
      </c>
      <c r="Z153">
        <v>22400000</v>
      </c>
      <c r="AA153">
        <v>0.4</v>
      </c>
      <c r="AG153">
        <v>4000</v>
      </c>
      <c r="AJ153">
        <v>0</v>
      </c>
      <c r="AL153">
        <v>12291529</v>
      </c>
      <c r="AN153">
        <v>729</v>
      </c>
      <c r="AP153">
        <v>56600</v>
      </c>
      <c r="AQ153">
        <v>250000</v>
      </c>
      <c r="AR153">
        <v>6.5</v>
      </c>
      <c r="AS153">
        <v>5.3</v>
      </c>
    </row>
    <row r="154" spans="1:45" x14ac:dyDescent="0.3">
      <c r="A154" t="s">
        <v>197</v>
      </c>
      <c r="B154">
        <v>316</v>
      </c>
      <c r="C154">
        <v>10.17</v>
      </c>
      <c r="D154">
        <v>-241000000</v>
      </c>
      <c r="E154">
        <v>8</v>
      </c>
      <c r="F154">
        <v>130000000</v>
      </c>
      <c r="G154">
        <v>2000000000</v>
      </c>
      <c r="H154">
        <v>2150000000</v>
      </c>
      <c r="I154">
        <v>2625000000</v>
      </c>
      <c r="J154">
        <v>7223000000</v>
      </c>
      <c r="K154">
        <v>18200</v>
      </c>
      <c r="L154">
        <v>1</v>
      </c>
      <c r="M154">
        <v>0.2</v>
      </c>
      <c r="N154">
        <v>100</v>
      </c>
      <c r="O154">
        <v>500</v>
      </c>
      <c r="P154">
        <v>2222</v>
      </c>
      <c r="Q154">
        <v>3407000000</v>
      </c>
      <c r="S154">
        <v>3.89</v>
      </c>
      <c r="T154">
        <v>2.9</v>
      </c>
      <c r="U154">
        <v>7156</v>
      </c>
      <c r="V154">
        <v>120000</v>
      </c>
      <c r="W154">
        <v>26.4</v>
      </c>
      <c r="X154">
        <v>160000</v>
      </c>
      <c r="Y154">
        <v>78.86</v>
      </c>
      <c r="Z154">
        <v>31100000</v>
      </c>
      <c r="AA154">
        <v>0.7</v>
      </c>
      <c r="AG154">
        <v>20000</v>
      </c>
      <c r="AJ154">
        <v>0</v>
      </c>
      <c r="AL154">
        <v>398534</v>
      </c>
      <c r="AO154">
        <v>2865000000</v>
      </c>
      <c r="AP154">
        <v>208300</v>
      </c>
      <c r="AQ154">
        <v>290000</v>
      </c>
      <c r="AR154">
        <v>1.5</v>
      </c>
      <c r="AS154">
        <v>7</v>
      </c>
    </row>
    <row r="155" spans="1:45" x14ac:dyDescent="0.3">
      <c r="A155" t="s">
        <v>198</v>
      </c>
      <c r="B155">
        <v>572</v>
      </c>
      <c r="C155">
        <v>11.18</v>
      </c>
      <c r="E155">
        <v>11.26</v>
      </c>
      <c r="J155">
        <v>2113000000</v>
      </c>
      <c r="K155">
        <v>28500</v>
      </c>
      <c r="P155">
        <v>800</v>
      </c>
      <c r="R155">
        <v>3.2</v>
      </c>
      <c r="S155">
        <v>5.93</v>
      </c>
      <c r="T155">
        <v>3.6</v>
      </c>
      <c r="X155">
        <v>39690</v>
      </c>
      <c r="Y155">
        <v>78.34</v>
      </c>
      <c r="AL155">
        <v>75049</v>
      </c>
      <c r="AN155">
        <v>61</v>
      </c>
      <c r="AP155">
        <v>51000</v>
      </c>
      <c r="AR155">
        <v>1.65</v>
      </c>
      <c r="AS155">
        <v>0.6</v>
      </c>
    </row>
    <row r="156" spans="1:45" x14ac:dyDescent="0.3">
      <c r="A156" t="s">
        <v>199</v>
      </c>
      <c r="B156">
        <v>181</v>
      </c>
      <c r="C156">
        <v>33.520000000000003</v>
      </c>
      <c r="E156">
        <v>4.88</v>
      </c>
      <c r="F156">
        <v>86500000</v>
      </c>
      <c r="I156">
        <v>9000000</v>
      </c>
      <c r="J156">
        <v>115000000</v>
      </c>
      <c r="K156">
        <v>1600</v>
      </c>
      <c r="L156">
        <v>1</v>
      </c>
      <c r="P156">
        <v>65</v>
      </c>
      <c r="Q156">
        <v>54000000</v>
      </c>
      <c r="S156">
        <v>29.45</v>
      </c>
      <c r="T156">
        <v>2</v>
      </c>
      <c r="U156">
        <v>6</v>
      </c>
      <c r="V156">
        <v>1400</v>
      </c>
      <c r="X156">
        <v>28700</v>
      </c>
      <c r="Y156">
        <v>70.010000000000005</v>
      </c>
      <c r="AL156">
        <v>59071</v>
      </c>
      <c r="AP156">
        <v>4500</v>
      </c>
      <c r="AQ156">
        <v>600</v>
      </c>
      <c r="AR156">
        <v>3.93</v>
      </c>
      <c r="AS156">
        <v>30.9</v>
      </c>
    </row>
    <row r="157" spans="1:45" x14ac:dyDescent="0.3">
      <c r="A157" t="s">
        <v>200</v>
      </c>
      <c r="B157">
        <v>1100</v>
      </c>
      <c r="C157">
        <v>14.14</v>
      </c>
      <c r="E157">
        <v>6.44</v>
      </c>
      <c r="F157">
        <v>180000000</v>
      </c>
      <c r="G157">
        <v>1095000000</v>
      </c>
      <c r="H157">
        <v>1178000000</v>
      </c>
      <c r="I157">
        <v>250000000</v>
      </c>
      <c r="J157">
        <v>6117000000</v>
      </c>
      <c r="K157">
        <v>14400</v>
      </c>
      <c r="P157">
        <v>2105</v>
      </c>
      <c r="Q157">
        <v>2000000000</v>
      </c>
      <c r="S157">
        <v>7.09</v>
      </c>
      <c r="T157">
        <v>3.9</v>
      </c>
      <c r="V157">
        <v>40000</v>
      </c>
      <c r="X157">
        <v>165900</v>
      </c>
      <c r="Y157">
        <v>79.040000000000006</v>
      </c>
      <c r="AG157">
        <v>13500</v>
      </c>
      <c r="AJ157">
        <v>0</v>
      </c>
      <c r="AL157">
        <v>432900</v>
      </c>
      <c r="AP157">
        <v>172000</v>
      </c>
      <c r="AQ157">
        <v>319900</v>
      </c>
      <c r="AR157">
        <v>1.79</v>
      </c>
      <c r="AS157">
        <v>27.2</v>
      </c>
    </row>
    <row r="158" spans="1:45" x14ac:dyDescent="0.3">
      <c r="A158" t="s">
        <v>201</v>
      </c>
      <c r="B158">
        <v>1030700</v>
      </c>
      <c r="C158">
        <v>41.43</v>
      </c>
      <c r="E158">
        <v>12.44</v>
      </c>
      <c r="F158">
        <v>2500000000</v>
      </c>
      <c r="G158">
        <v>176900000</v>
      </c>
      <c r="H158">
        <v>190200000</v>
      </c>
      <c r="I158">
        <v>541000000</v>
      </c>
      <c r="J158">
        <v>5534000000</v>
      </c>
      <c r="K158">
        <v>1800</v>
      </c>
      <c r="L158">
        <v>3</v>
      </c>
      <c r="M158">
        <v>0.6</v>
      </c>
      <c r="O158">
        <v>9500</v>
      </c>
      <c r="P158">
        <v>7660</v>
      </c>
      <c r="Q158">
        <v>860000000</v>
      </c>
      <c r="R158">
        <v>2</v>
      </c>
      <c r="S158">
        <v>70.89</v>
      </c>
      <c r="T158">
        <v>7</v>
      </c>
      <c r="U158">
        <v>25</v>
      </c>
      <c r="V158">
        <v>10000</v>
      </c>
      <c r="X158">
        <v>786000</v>
      </c>
      <c r="Y158">
        <v>52.73</v>
      </c>
      <c r="Z158">
        <v>20800000</v>
      </c>
      <c r="AA158">
        <v>1.7</v>
      </c>
      <c r="AG158">
        <v>24000</v>
      </c>
      <c r="AJ158">
        <v>0</v>
      </c>
      <c r="AL158">
        <v>3086859</v>
      </c>
      <c r="AP158">
        <v>31500</v>
      </c>
      <c r="AQ158">
        <v>300000</v>
      </c>
      <c r="AR158">
        <v>5.94</v>
      </c>
      <c r="AS158">
        <v>20</v>
      </c>
    </row>
    <row r="159" spans="1:45" x14ac:dyDescent="0.3">
      <c r="A159" t="s">
        <v>202</v>
      </c>
      <c r="B159">
        <v>2040</v>
      </c>
      <c r="C159">
        <v>15.62</v>
      </c>
      <c r="D159">
        <v>284100000</v>
      </c>
      <c r="E159">
        <v>6.83</v>
      </c>
      <c r="F159">
        <v>1780000000</v>
      </c>
      <c r="G159">
        <v>1707000000</v>
      </c>
      <c r="H159">
        <v>1836000000</v>
      </c>
      <c r="I159">
        <v>2012000000</v>
      </c>
      <c r="J159">
        <v>15680000000</v>
      </c>
      <c r="K159">
        <v>12800</v>
      </c>
      <c r="L159">
        <v>4.7</v>
      </c>
      <c r="M159">
        <v>0.1</v>
      </c>
      <c r="N159">
        <v>100</v>
      </c>
      <c r="O159">
        <v>700</v>
      </c>
      <c r="P159">
        <v>2000</v>
      </c>
      <c r="Q159">
        <v>2245000000</v>
      </c>
      <c r="R159">
        <v>8</v>
      </c>
      <c r="S159">
        <v>15.03</v>
      </c>
      <c r="T159">
        <v>4.5</v>
      </c>
      <c r="U159">
        <v>3985</v>
      </c>
      <c r="V159">
        <v>150000</v>
      </c>
      <c r="W159">
        <v>22.5</v>
      </c>
      <c r="X159">
        <v>560000</v>
      </c>
      <c r="Y159">
        <v>72.38</v>
      </c>
      <c r="Z159">
        <v>12500000</v>
      </c>
      <c r="AA159">
        <v>0.2</v>
      </c>
      <c r="AG159">
        <v>21000</v>
      </c>
      <c r="AJ159">
        <v>0</v>
      </c>
      <c r="AL159">
        <v>1230602</v>
      </c>
      <c r="AM159">
        <v>29.2</v>
      </c>
      <c r="AO159">
        <v>1676000000</v>
      </c>
      <c r="AP159">
        <v>348200</v>
      </c>
      <c r="AQ159">
        <v>462400</v>
      </c>
      <c r="AR159">
        <v>1.96</v>
      </c>
      <c r="AS159">
        <v>10.8</v>
      </c>
    </row>
    <row r="160" spans="1:45" x14ac:dyDescent="0.3">
      <c r="A160" t="s">
        <v>203</v>
      </c>
      <c r="B160">
        <v>374</v>
      </c>
      <c r="C160">
        <v>41.58</v>
      </c>
      <c r="E160">
        <v>7.9</v>
      </c>
      <c r="I160">
        <v>3440000</v>
      </c>
      <c r="J160">
        <v>466800000</v>
      </c>
      <c r="K160">
        <v>2600</v>
      </c>
      <c r="P160">
        <v>93</v>
      </c>
      <c r="Q160">
        <v>141300000</v>
      </c>
      <c r="S160">
        <v>62.4</v>
      </c>
      <c r="X160">
        <v>48800</v>
      </c>
      <c r="Y160">
        <v>61.39</v>
      </c>
      <c r="AL160">
        <v>193633</v>
      </c>
      <c r="AP160">
        <v>10000</v>
      </c>
      <c r="AQ160">
        <v>21700</v>
      </c>
      <c r="AR160">
        <v>5.89</v>
      </c>
      <c r="AS160">
        <v>38</v>
      </c>
    </row>
    <row r="161" spans="1:45" x14ac:dyDescent="0.3">
      <c r="A161" t="s">
        <v>204</v>
      </c>
      <c r="B161">
        <v>1972550</v>
      </c>
      <c r="C161">
        <v>21.01</v>
      </c>
      <c r="D161">
        <v>-4113000000</v>
      </c>
      <c r="E161">
        <v>4.7300000000000004</v>
      </c>
      <c r="F161">
        <v>149900000000</v>
      </c>
      <c r="G161">
        <v>189700000000</v>
      </c>
      <c r="H161">
        <v>203600000000</v>
      </c>
      <c r="I161">
        <v>182400000000</v>
      </c>
      <c r="J161">
        <v>1006000000000</v>
      </c>
      <c r="K161">
        <v>9600</v>
      </c>
      <c r="L161">
        <v>4.0999999999999996</v>
      </c>
      <c r="M161">
        <v>0.3</v>
      </c>
      <c r="N161">
        <v>5000</v>
      </c>
      <c r="O161">
        <v>160000</v>
      </c>
      <c r="P161">
        <v>329532</v>
      </c>
      <c r="Q161">
        <v>190800000000</v>
      </c>
      <c r="R161">
        <v>3.8</v>
      </c>
      <c r="S161">
        <v>20.91</v>
      </c>
      <c r="T161">
        <v>5.4</v>
      </c>
      <c r="U161">
        <v>1333406</v>
      </c>
      <c r="V161">
        <v>10033000</v>
      </c>
      <c r="W161">
        <v>19.399999999999999</v>
      </c>
      <c r="X161">
        <v>34730000</v>
      </c>
      <c r="Y161">
        <v>75.19</v>
      </c>
      <c r="Z161">
        <v>6043000000</v>
      </c>
      <c r="AA161">
        <v>0.9</v>
      </c>
      <c r="AB161">
        <v>55100000000</v>
      </c>
      <c r="AC161">
        <v>0</v>
      </c>
      <c r="AD161">
        <v>7850000000</v>
      </c>
      <c r="AE161">
        <v>47300000000</v>
      </c>
      <c r="AF161">
        <v>420000000000</v>
      </c>
      <c r="AG161">
        <v>1752000</v>
      </c>
      <c r="AH161">
        <v>1863000</v>
      </c>
      <c r="AI161">
        <v>205000</v>
      </c>
      <c r="AJ161">
        <v>3460000</v>
      </c>
      <c r="AK161">
        <v>18000000000</v>
      </c>
      <c r="AL161">
        <v>106202903</v>
      </c>
      <c r="AM161">
        <v>23.5</v>
      </c>
      <c r="AN161">
        <v>19510</v>
      </c>
      <c r="AO161">
        <v>60670000000</v>
      </c>
      <c r="AP161">
        <v>15958700</v>
      </c>
      <c r="AQ161">
        <v>28125000</v>
      </c>
      <c r="AR161">
        <v>2.4500000000000002</v>
      </c>
      <c r="AS161">
        <v>3.2</v>
      </c>
    </row>
    <row r="162" spans="1:45" x14ac:dyDescent="0.3">
      <c r="A162" t="s">
        <v>205</v>
      </c>
      <c r="B162">
        <v>702</v>
      </c>
      <c r="C162">
        <v>25.11</v>
      </c>
      <c r="E162">
        <v>4.87</v>
      </c>
      <c r="F162">
        <v>53100000</v>
      </c>
      <c r="G162">
        <v>178600000</v>
      </c>
      <c r="H162">
        <v>192000000</v>
      </c>
      <c r="I162">
        <v>22000000</v>
      </c>
      <c r="J162">
        <v>277000000</v>
      </c>
      <c r="K162">
        <v>2000</v>
      </c>
      <c r="L162">
        <v>1</v>
      </c>
      <c r="P162">
        <v>240</v>
      </c>
      <c r="Q162">
        <v>149000000</v>
      </c>
      <c r="S162">
        <v>30.21</v>
      </c>
      <c r="T162">
        <v>1</v>
      </c>
      <c r="V162">
        <v>6000</v>
      </c>
      <c r="Y162">
        <v>69.75</v>
      </c>
      <c r="AL162">
        <v>108105</v>
      </c>
      <c r="AP162">
        <v>10100</v>
      </c>
      <c r="AQ162">
        <v>1800</v>
      </c>
      <c r="AR162">
        <v>3.25</v>
      </c>
      <c r="AS162">
        <v>16</v>
      </c>
    </row>
    <row r="163" spans="1:45" x14ac:dyDescent="0.3">
      <c r="A163" t="s">
        <v>206</v>
      </c>
      <c r="B163">
        <v>6</v>
      </c>
    </row>
    <row r="164" spans="1:45" x14ac:dyDescent="0.3">
      <c r="A164" t="s">
        <v>207</v>
      </c>
      <c r="B164">
        <v>33843</v>
      </c>
      <c r="C164">
        <v>15.27</v>
      </c>
      <c r="D164">
        <v>-148400000</v>
      </c>
      <c r="E164">
        <v>12.79</v>
      </c>
      <c r="F164">
        <v>1400000000</v>
      </c>
      <c r="G164">
        <v>4605000000</v>
      </c>
      <c r="H164">
        <v>3876000000</v>
      </c>
      <c r="I164">
        <v>1030000000</v>
      </c>
      <c r="J164">
        <v>8581000000</v>
      </c>
      <c r="K164">
        <v>1900</v>
      </c>
      <c r="L164">
        <v>6.8</v>
      </c>
      <c r="M164">
        <v>0.2</v>
      </c>
      <c r="N164">
        <v>300</v>
      </c>
      <c r="O164">
        <v>5500</v>
      </c>
      <c r="P164">
        <v>12719</v>
      </c>
      <c r="Q164">
        <v>1830000000</v>
      </c>
      <c r="R164">
        <v>17</v>
      </c>
      <c r="S164">
        <v>40.42</v>
      </c>
      <c r="T164">
        <v>11.5</v>
      </c>
      <c r="U164">
        <v>11984</v>
      </c>
      <c r="V164">
        <v>150000</v>
      </c>
      <c r="W164">
        <v>17.100000000000001</v>
      </c>
      <c r="X164">
        <v>1360000</v>
      </c>
      <c r="Y164">
        <v>65.180000000000007</v>
      </c>
      <c r="Z164">
        <v>8700000</v>
      </c>
      <c r="AA164">
        <v>0.4</v>
      </c>
      <c r="AB164">
        <v>2050000000</v>
      </c>
      <c r="AC164">
        <v>0</v>
      </c>
      <c r="AD164">
        <v>2050000000</v>
      </c>
      <c r="AE164">
        <v>0</v>
      </c>
      <c r="AG164">
        <v>24000</v>
      </c>
      <c r="AJ164">
        <v>0</v>
      </c>
      <c r="AL164">
        <v>4455421</v>
      </c>
      <c r="AM164">
        <v>63.4</v>
      </c>
      <c r="AN164">
        <v>1138</v>
      </c>
      <c r="AO164">
        <v>390000000</v>
      </c>
      <c r="AP164">
        <v>706900</v>
      </c>
      <c r="AQ164">
        <v>338200</v>
      </c>
      <c r="AR164">
        <v>1.81</v>
      </c>
      <c r="AS164">
        <v>8</v>
      </c>
    </row>
    <row r="165" spans="1:45" x14ac:dyDescent="0.3">
      <c r="A165" t="s">
        <v>208</v>
      </c>
      <c r="B165">
        <v>2</v>
      </c>
      <c r="C165">
        <v>9.26</v>
      </c>
      <c r="E165">
        <v>12.71</v>
      </c>
      <c r="F165">
        <v>18000000000</v>
      </c>
      <c r="J165">
        <v>870000000</v>
      </c>
      <c r="K165">
        <v>27000</v>
      </c>
      <c r="L165">
        <v>0.9</v>
      </c>
      <c r="P165">
        <v>50</v>
      </c>
      <c r="S165">
        <v>5.43</v>
      </c>
      <c r="T165">
        <v>1.9</v>
      </c>
      <c r="U165">
        <v>533</v>
      </c>
      <c r="V165">
        <v>16000</v>
      </c>
      <c r="X165">
        <v>30540</v>
      </c>
      <c r="Y165">
        <v>79.569999999999993</v>
      </c>
      <c r="AL165">
        <v>32409</v>
      </c>
      <c r="AP165">
        <v>33700</v>
      </c>
      <c r="AQ165">
        <v>19300</v>
      </c>
      <c r="AR165">
        <v>1.76</v>
      </c>
      <c r="AS165">
        <v>22</v>
      </c>
    </row>
    <row r="166" spans="1:45" x14ac:dyDescent="0.3">
      <c r="A166" t="s">
        <v>209</v>
      </c>
      <c r="B166">
        <v>1564116</v>
      </c>
      <c r="C166">
        <v>21.52</v>
      </c>
      <c r="E166">
        <v>7.03</v>
      </c>
      <c r="F166">
        <v>1191000000</v>
      </c>
      <c r="G166">
        <v>2209000000</v>
      </c>
      <c r="H166">
        <v>2692000000</v>
      </c>
      <c r="I166">
        <v>853000000</v>
      </c>
      <c r="J166">
        <v>5332000000</v>
      </c>
      <c r="K166">
        <v>1900</v>
      </c>
      <c r="L166">
        <v>10.6</v>
      </c>
      <c r="M166">
        <v>0.1</v>
      </c>
      <c r="N166">
        <v>200</v>
      </c>
      <c r="O166">
        <v>500</v>
      </c>
      <c r="P166">
        <v>49256</v>
      </c>
      <c r="Q166">
        <v>1000000000</v>
      </c>
      <c r="R166">
        <v>4.0999999999999996</v>
      </c>
      <c r="S166">
        <v>53.79</v>
      </c>
      <c r="T166">
        <v>11</v>
      </c>
      <c r="U166">
        <v>1000</v>
      </c>
      <c r="V166">
        <v>220000</v>
      </c>
      <c r="X166">
        <v>1488000</v>
      </c>
      <c r="Y166">
        <v>64.52</v>
      </c>
      <c r="Z166">
        <v>23100000</v>
      </c>
      <c r="AA166">
        <v>2.2000000000000002</v>
      </c>
      <c r="AG166">
        <v>11000</v>
      </c>
      <c r="AH166">
        <v>497</v>
      </c>
      <c r="AI166">
        <v>11000</v>
      </c>
      <c r="AJ166">
        <v>542</v>
      </c>
      <c r="AL166">
        <v>2791272</v>
      </c>
      <c r="AP166">
        <v>142300</v>
      </c>
      <c r="AQ166">
        <v>404400</v>
      </c>
      <c r="AR166">
        <v>2.2599999999999998</v>
      </c>
      <c r="AS166">
        <v>6.7</v>
      </c>
    </row>
    <row r="167" spans="1:45" x14ac:dyDescent="0.3">
      <c r="A167" t="s">
        <v>210</v>
      </c>
      <c r="B167">
        <v>102</v>
      </c>
      <c r="C167">
        <v>17.559999999999999</v>
      </c>
      <c r="E167">
        <v>7.17</v>
      </c>
      <c r="F167">
        <v>8900000</v>
      </c>
      <c r="G167">
        <v>1674000</v>
      </c>
      <c r="H167">
        <v>1800000</v>
      </c>
      <c r="I167">
        <v>700000</v>
      </c>
      <c r="J167">
        <v>29000000</v>
      </c>
      <c r="K167">
        <v>3400</v>
      </c>
      <c r="L167">
        <v>-1</v>
      </c>
      <c r="P167">
        <v>227</v>
      </c>
      <c r="Q167">
        <v>17000000</v>
      </c>
      <c r="S167">
        <v>7.35</v>
      </c>
      <c r="T167">
        <v>2.6</v>
      </c>
      <c r="X167">
        <v>4521</v>
      </c>
      <c r="Y167">
        <v>78.709999999999994</v>
      </c>
      <c r="AG167">
        <v>400</v>
      </c>
      <c r="AJ167">
        <v>0</v>
      </c>
      <c r="AL167">
        <v>9341</v>
      </c>
      <c r="AQ167">
        <v>70</v>
      </c>
      <c r="AR167">
        <v>1.78</v>
      </c>
      <c r="AS167">
        <v>6</v>
      </c>
    </row>
    <row r="168" spans="1:45" x14ac:dyDescent="0.3">
      <c r="A168" t="s">
        <v>211</v>
      </c>
      <c r="B168">
        <v>446550</v>
      </c>
      <c r="C168">
        <v>22.29</v>
      </c>
      <c r="D168">
        <v>765400000</v>
      </c>
      <c r="E168">
        <v>5.64</v>
      </c>
      <c r="F168">
        <v>17070000000</v>
      </c>
      <c r="G168">
        <v>14240000000</v>
      </c>
      <c r="H168">
        <v>13910000000</v>
      </c>
      <c r="I168">
        <v>9754000000</v>
      </c>
      <c r="J168">
        <v>134600000000</v>
      </c>
      <c r="K168">
        <v>4200</v>
      </c>
      <c r="L168">
        <v>4.4000000000000004</v>
      </c>
      <c r="M168">
        <v>0.1</v>
      </c>
      <c r="O168">
        <v>15000</v>
      </c>
      <c r="P168">
        <v>57694</v>
      </c>
      <c r="Q168">
        <v>15630000000</v>
      </c>
      <c r="S168">
        <v>41.62</v>
      </c>
      <c r="T168">
        <v>2.1</v>
      </c>
      <c r="U168">
        <v>3627</v>
      </c>
      <c r="V168">
        <v>800000</v>
      </c>
      <c r="W168">
        <v>22.4</v>
      </c>
      <c r="X168">
        <v>11020000</v>
      </c>
      <c r="Y168">
        <v>70.66</v>
      </c>
      <c r="Z168">
        <v>2305600000</v>
      </c>
      <c r="AA168">
        <v>5</v>
      </c>
      <c r="AB168">
        <v>50000000</v>
      </c>
      <c r="AC168">
        <v>0</v>
      </c>
      <c r="AD168">
        <v>0</v>
      </c>
      <c r="AE168">
        <v>50000000</v>
      </c>
      <c r="AF168">
        <v>665400000</v>
      </c>
      <c r="AG168">
        <v>167000</v>
      </c>
      <c r="AJ168">
        <v>1000</v>
      </c>
      <c r="AK168">
        <v>300000000</v>
      </c>
      <c r="AL168">
        <v>32725847</v>
      </c>
      <c r="AM168">
        <v>70.2</v>
      </c>
      <c r="AN168">
        <v>1907</v>
      </c>
      <c r="AO168">
        <v>15140000000</v>
      </c>
      <c r="AP168">
        <v>1219200</v>
      </c>
      <c r="AQ168">
        <v>7332800</v>
      </c>
      <c r="AR168">
        <v>2.73</v>
      </c>
      <c r="AS168">
        <v>12.1</v>
      </c>
    </row>
    <row r="169" spans="1:45" x14ac:dyDescent="0.3">
      <c r="A169" t="s">
        <v>212</v>
      </c>
      <c r="B169">
        <v>801590</v>
      </c>
      <c r="C169">
        <v>35.79</v>
      </c>
      <c r="D169">
        <v>-101200000</v>
      </c>
      <c r="E169">
        <v>20.99</v>
      </c>
      <c r="F169">
        <v>966000000</v>
      </c>
      <c r="G169">
        <v>5046000000</v>
      </c>
      <c r="H169">
        <v>8859000000</v>
      </c>
      <c r="I169">
        <v>689400000</v>
      </c>
      <c r="J169">
        <v>23380000000</v>
      </c>
      <c r="K169">
        <v>1200</v>
      </c>
      <c r="L169">
        <v>8.1999999999999993</v>
      </c>
      <c r="M169">
        <v>12.2</v>
      </c>
      <c r="N169">
        <v>110000</v>
      </c>
      <c r="O169">
        <v>1300000</v>
      </c>
      <c r="P169">
        <v>30400</v>
      </c>
      <c r="Q169">
        <v>972900000</v>
      </c>
      <c r="R169">
        <v>3.4</v>
      </c>
      <c r="S169">
        <v>130.79</v>
      </c>
      <c r="T169">
        <v>12.8</v>
      </c>
      <c r="U169">
        <v>3249</v>
      </c>
      <c r="V169">
        <v>50000</v>
      </c>
      <c r="W169">
        <v>47</v>
      </c>
      <c r="X169">
        <v>9200000</v>
      </c>
      <c r="Y169">
        <v>40.32</v>
      </c>
      <c r="Z169">
        <v>117300000</v>
      </c>
      <c r="AA169">
        <v>2.2000000000000002</v>
      </c>
      <c r="AB169">
        <v>60000000</v>
      </c>
      <c r="AC169">
        <v>0</v>
      </c>
      <c r="AD169">
        <v>0</v>
      </c>
      <c r="AE169">
        <v>60000000</v>
      </c>
      <c r="AF169">
        <v>63710000000</v>
      </c>
      <c r="AG169">
        <v>8500</v>
      </c>
      <c r="AJ169">
        <v>0</v>
      </c>
      <c r="AK169">
        <v>0</v>
      </c>
      <c r="AL169">
        <v>19406703</v>
      </c>
      <c r="AN169">
        <v>3123</v>
      </c>
      <c r="AO169">
        <v>1206000000</v>
      </c>
      <c r="AP169">
        <v>83700</v>
      </c>
      <c r="AQ169">
        <v>428900</v>
      </c>
      <c r="AR169">
        <v>4.7</v>
      </c>
      <c r="AS169">
        <v>21</v>
      </c>
    </row>
    <row r="170" spans="1:45" x14ac:dyDescent="0.3">
      <c r="A170" t="s">
        <v>213</v>
      </c>
      <c r="B170">
        <v>825418</v>
      </c>
      <c r="C170">
        <v>25.16</v>
      </c>
      <c r="D170">
        <v>234300000</v>
      </c>
      <c r="E170">
        <v>18.36</v>
      </c>
      <c r="F170">
        <v>1136000000</v>
      </c>
      <c r="G170">
        <v>1920000000</v>
      </c>
      <c r="H170">
        <v>1167000000</v>
      </c>
      <c r="I170">
        <v>1356000000</v>
      </c>
      <c r="J170">
        <v>14760000000</v>
      </c>
      <c r="K170">
        <v>7300</v>
      </c>
      <c r="L170">
        <v>4.8</v>
      </c>
      <c r="M170">
        <v>21.3</v>
      </c>
      <c r="N170">
        <v>16000</v>
      </c>
      <c r="O170">
        <v>210000</v>
      </c>
      <c r="P170">
        <v>42237</v>
      </c>
      <c r="Q170">
        <v>1473000000</v>
      </c>
      <c r="S170">
        <v>48.98</v>
      </c>
      <c r="T170">
        <v>4.2</v>
      </c>
      <c r="U170">
        <v>3164</v>
      </c>
      <c r="V170">
        <v>65000</v>
      </c>
      <c r="W170">
        <v>19.600000000000001</v>
      </c>
      <c r="X170">
        <v>840000</v>
      </c>
      <c r="Y170">
        <v>43.93</v>
      </c>
      <c r="Z170">
        <v>168400000</v>
      </c>
      <c r="AA170">
        <v>3.1</v>
      </c>
      <c r="AF170">
        <v>31150000000</v>
      </c>
      <c r="AG170">
        <v>13000</v>
      </c>
      <c r="AJ170">
        <v>0</v>
      </c>
      <c r="AK170">
        <v>0</v>
      </c>
      <c r="AL170">
        <v>2030692</v>
      </c>
      <c r="AM170">
        <v>38.5</v>
      </c>
      <c r="AN170">
        <v>2382</v>
      </c>
      <c r="AO170">
        <v>360000000</v>
      </c>
      <c r="AP170">
        <v>127400</v>
      </c>
      <c r="AQ170">
        <v>223700</v>
      </c>
      <c r="AR170">
        <v>3.18</v>
      </c>
      <c r="AS170">
        <v>35</v>
      </c>
    </row>
    <row r="171" spans="1:45" x14ac:dyDescent="0.3">
      <c r="A171" t="s">
        <v>214</v>
      </c>
      <c r="B171">
        <v>21</v>
      </c>
      <c r="C171">
        <v>25.14</v>
      </c>
      <c r="E171">
        <v>6.82</v>
      </c>
      <c r="F171">
        <v>33300000</v>
      </c>
      <c r="G171">
        <v>27900000</v>
      </c>
      <c r="H171">
        <v>30000000</v>
      </c>
      <c r="I171">
        <v>640000</v>
      </c>
      <c r="J171">
        <v>60000000</v>
      </c>
      <c r="K171">
        <v>5000</v>
      </c>
      <c r="P171">
        <v>30</v>
      </c>
      <c r="Q171">
        <v>19800000</v>
      </c>
      <c r="S171">
        <v>9.9499999999999993</v>
      </c>
      <c r="T171">
        <v>-3.6</v>
      </c>
      <c r="V171">
        <v>300</v>
      </c>
      <c r="Y171">
        <v>62.73</v>
      </c>
      <c r="AG171">
        <v>1000</v>
      </c>
      <c r="AJ171">
        <v>0</v>
      </c>
      <c r="AL171">
        <v>13048</v>
      </c>
      <c r="AP171">
        <v>1900</v>
      </c>
      <c r="AQ171">
        <v>1500</v>
      </c>
      <c r="AR171">
        <v>3.19</v>
      </c>
      <c r="AS171">
        <v>90</v>
      </c>
    </row>
    <row r="172" spans="1:45" x14ac:dyDescent="0.3">
      <c r="A172" t="s">
        <v>215</v>
      </c>
      <c r="B172">
        <v>5</v>
      </c>
    </row>
    <row r="173" spans="1:45" x14ac:dyDescent="0.3">
      <c r="A173" t="s">
        <v>216</v>
      </c>
      <c r="B173">
        <v>140800</v>
      </c>
      <c r="C173">
        <v>31.45</v>
      </c>
      <c r="E173">
        <v>9.4700000000000006</v>
      </c>
      <c r="F173">
        <v>2700000000</v>
      </c>
      <c r="G173">
        <v>2005000000</v>
      </c>
      <c r="H173">
        <v>2054000000</v>
      </c>
      <c r="I173">
        <v>568000000</v>
      </c>
      <c r="J173">
        <v>39530000000</v>
      </c>
      <c r="K173">
        <v>1500</v>
      </c>
      <c r="L173">
        <v>3</v>
      </c>
      <c r="M173">
        <v>0.5</v>
      </c>
      <c r="N173">
        <v>3100</v>
      </c>
      <c r="O173">
        <v>61000</v>
      </c>
      <c r="P173">
        <v>13223</v>
      </c>
      <c r="Q173">
        <v>1419000000</v>
      </c>
      <c r="R173">
        <v>8.6999999999999993</v>
      </c>
      <c r="S173">
        <v>66.98</v>
      </c>
      <c r="T173">
        <v>2.9</v>
      </c>
      <c r="U173">
        <v>917</v>
      </c>
      <c r="V173">
        <v>80000</v>
      </c>
      <c r="X173">
        <v>10000000</v>
      </c>
      <c r="Y173">
        <v>59.8</v>
      </c>
      <c r="Z173">
        <v>99200000</v>
      </c>
      <c r="AA173">
        <v>1.5</v>
      </c>
      <c r="AG173">
        <v>16000</v>
      </c>
      <c r="AJ173">
        <v>0</v>
      </c>
      <c r="AL173">
        <v>27676547</v>
      </c>
      <c r="AN173">
        <v>59</v>
      </c>
      <c r="AP173">
        <v>371800</v>
      </c>
      <c r="AQ173">
        <v>50400</v>
      </c>
      <c r="AR173">
        <v>4.1900000000000004</v>
      </c>
      <c r="AS173">
        <v>47</v>
      </c>
    </row>
    <row r="174" spans="1:45" x14ac:dyDescent="0.3">
      <c r="A174" t="s">
        <v>217</v>
      </c>
      <c r="B174">
        <v>41526</v>
      </c>
      <c r="C174">
        <v>11.14</v>
      </c>
      <c r="D174">
        <v>19900000000</v>
      </c>
      <c r="E174">
        <v>8.68</v>
      </c>
      <c r="G174">
        <v>100700000000</v>
      </c>
      <c r="H174">
        <v>90610000000</v>
      </c>
      <c r="I174">
        <v>293100000000</v>
      </c>
      <c r="J174">
        <v>481100000000</v>
      </c>
      <c r="K174">
        <v>29500</v>
      </c>
      <c r="L174">
        <v>1.2</v>
      </c>
      <c r="M174">
        <v>0.2</v>
      </c>
      <c r="N174">
        <v>100</v>
      </c>
      <c r="O174">
        <v>19000</v>
      </c>
      <c r="P174">
        <v>116500</v>
      </c>
      <c r="Q174">
        <v>252700000000</v>
      </c>
      <c r="R174">
        <v>0.8</v>
      </c>
      <c r="S174">
        <v>5.04</v>
      </c>
      <c r="T174">
        <v>1.4</v>
      </c>
      <c r="U174">
        <v>4518226</v>
      </c>
      <c r="V174">
        <v>8500000</v>
      </c>
      <c r="W174">
        <v>19.899999999999999</v>
      </c>
      <c r="X174">
        <v>7530000</v>
      </c>
      <c r="Y174">
        <v>78.81</v>
      </c>
      <c r="Z174">
        <v>9408000000</v>
      </c>
      <c r="AA174">
        <v>1.6</v>
      </c>
      <c r="AB174">
        <v>49720000000</v>
      </c>
      <c r="AC174">
        <v>49280000000</v>
      </c>
      <c r="AD174">
        <v>20780000000</v>
      </c>
      <c r="AE174">
        <v>77750000000</v>
      </c>
      <c r="AF174">
        <v>1693000000000</v>
      </c>
      <c r="AG174">
        <v>895300</v>
      </c>
      <c r="AH174">
        <v>1418000</v>
      </c>
      <c r="AI174">
        <v>2284000</v>
      </c>
      <c r="AJ174">
        <v>46200</v>
      </c>
      <c r="AK174">
        <v>88060000</v>
      </c>
      <c r="AL174">
        <v>16407491</v>
      </c>
      <c r="AM174">
        <v>55.8</v>
      </c>
      <c r="AN174">
        <v>2808</v>
      </c>
      <c r="AO174">
        <v>21440000000</v>
      </c>
      <c r="AP174">
        <v>10004000</v>
      </c>
      <c r="AQ174">
        <v>12500000</v>
      </c>
      <c r="AR174">
        <v>1.66</v>
      </c>
      <c r="AS174">
        <v>6</v>
      </c>
    </row>
    <row r="175" spans="1:45" x14ac:dyDescent="0.3">
      <c r="A175" t="s">
        <v>218</v>
      </c>
      <c r="B175">
        <v>960</v>
      </c>
      <c r="C175">
        <v>15</v>
      </c>
      <c r="E175">
        <v>6.41</v>
      </c>
      <c r="F175">
        <v>1350000000</v>
      </c>
      <c r="G175">
        <v>934300000</v>
      </c>
      <c r="H175">
        <v>1005000000</v>
      </c>
      <c r="I175">
        <v>1579000000</v>
      </c>
      <c r="J175">
        <v>2450000000</v>
      </c>
      <c r="K175">
        <v>11400</v>
      </c>
      <c r="L175">
        <v>0.5</v>
      </c>
      <c r="P175">
        <v>600</v>
      </c>
      <c r="Q175">
        <v>2233000000</v>
      </c>
      <c r="S175">
        <v>10.029999999999999</v>
      </c>
      <c r="T175">
        <v>2.1</v>
      </c>
      <c r="U175">
        <v>119</v>
      </c>
      <c r="V175">
        <v>2000</v>
      </c>
      <c r="X175">
        <v>89000</v>
      </c>
      <c r="Y175">
        <v>75.83</v>
      </c>
      <c r="AG175">
        <v>72000</v>
      </c>
      <c r="AJ175">
        <v>0</v>
      </c>
      <c r="AL175">
        <v>219958</v>
      </c>
      <c r="AP175">
        <v>81000</v>
      </c>
      <c r="AQ175">
        <v>81000</v>
      </c>
      <c r="AR175">
        <v>2</v>
      </c>
      <c r="AS175">
        <v>15.6</v>
      </c>
    </row>
    <row r="176" spans="1:45" x14ac:dyDescent="0.3">
      <c r="A176" t="s">
        <v>219</v>
      </c>
      <c r="B176">
        <v>19060</v>
      </c>
      <c r="C176">
        <v>18.489999999999998</v>
      </c>
      <c r="E176">
        <v>5.65</v>
      </c>
      <c r="F176">
        <v>79000000</v>
      </c>
      <c r="G176">
        <v>1471000000</v>
      </c>
      <c r="H176">
        <v>1581000000</v>
      </c>
      <c r="I176">
        <v>448000000</v>
      </c>
      <c r="J176">
        <v>3158000000</v>
      </c>
      <c r="K176">
        <v>15000</v>
      </c>
      <c r="P176">
        <v>5432</v>
      </c>
      <c r="Q176">
        <v>1007000000</v>
      </c>
      <c r="R176">
        <v>-0.6</v>
      </c>
      <c r="S176">
        <v>7.72</v>
      </c>
      <c r="T176">
        <v>-0.6</v>
      </c>
      <c r="U176">
        <v>4449</v>
      </c>
      <c r="V176">
        <v>60000</v>
      </c>
      <c r="X176">
        <v>79400</v>
      </c>
      <c r="Y176">
        <v>74.040000000000006</v>
      </c>
      <c r="AG176">
        <v>8750</v>
      </c>
      <c r="AJ176">
        <v>0</v>
      </c>
      <c r="AL176">
        <v>216494</v>
      </c>
      <c r="AP176">
        <v>52000</v>
      </c>
      <c r="AQ176">
        <v>80000</v>
      </c>
      <c r="AR176">
        <v>2.31</v>
      </c>
      <c r="AS176">
        <v>19</v>
      </c>
    </row>
    <row r="177" spans="1:45" x14ac:dyDescent="0.3">
      <c r="A177" t="s">
        <v>220</v>
      </c>
      <c r="B177">
        <v>268680</v>
      </c>
      <c r="C177">
        <v>13.9</v>
      </c>
      <c r="D177">
        <v>-3647000000</v>
      </c>
      <c r="E177">
        <v>7.53</v>
      </c>
      <c r="F177">
        <v>47340000000</v>
      </c>
      <c r="G177">
        <v>35710000000</v>
      </c>
      <c r="H177">
        <v>38390000000</v>
      </c>
      <c r="I177">
        <v>19850000000</v>
      </c>
      <c r="J177">
        <v>92510000000</v>
      </c>
      <c r="K177">
        <v>23200</v>
      </c>
      <c r="L177">
        <v>4.8</v>
      </c>
      <c r="M177">
        <v>0.1</v>
      </c>
      <c r="N177">
        <v>200</v>
      </c>
      <c r="O177">
        <v>1400</v>
      </c>
      <c r="P177">
        <v>92382</v>
      </c>
      <c r="Q177">
        <v>19770000000</v>
      </c>
      <c r="R177">
        <v>5.9</v>
      </c>
      <c r="S177">
        <v>5.85</v>
      </c>
      <c r="T177">
        <v>2.4</v>
      </c>
      <c r="U177">
        <v>474395</v>
      </c>
      <c r="V177">
        <v>2110000</v>
      </c>
      <c r="W177">
        <v>22.4</v>
      </c>
      <c r="X177">
        <v>2050000</v>
      </c>
      <c r="Y177">
        <v>78.66</v>
      </c>
      <c r="Z177">
        <v>1147000000</v>
      </c>
      <c r="AA177">
        <v>1</v>
      </c>
      <c r="AB177">
        <v>6504000000</v>
      </c>
      <c r="AC177">
        <v>0</v>
      </c>
      <c r="AD177">
        <v>0</v>
      </c>
      <c r="AE177">
        <v>6504000000</v>
      </c>
      <c r="AF177">
        <v>58940000000</v>
      </c>
      <c r="AG177">
        <v>132700</v>
      </c>
      <c r="AH177">
        <v>30220</v>
      </c>
      <c r="AI177">
        <v>119700</v>
      </c>
      <c r="AJ177">
        <v>42160</v>
      </c>
      <c r="AK177">
        <v>89620000</v>
      </c>
      <c r="AL177">
        <v>4035461</v>
      </c>
      <c r="AM177">
        <v>22.1</v>
      </c>
      <c r="AN177">
        <v>3898</v>
      </c>
      <c r="AO177">
        <v>4805000000</v>
      </c>
      <c r="AP177">
        <v>1765000</v>
      </c>
      <c r="AQ177">
        <v>2599000</v>
      </c>
      <c r="AR177">
        <v>1.79</v>
      </c>
      <c r="AS177">
        <v>4.2</v>
      </c>
    </row>
    <row r="178" spans="1:45" x14ac:dyDescent="0.3">
      <c r="A178" t="s">
        <v>221</v>
      </c>
      <c r="B178">
        <v>129494</v>
      </c>
      <c r="C178">
        <v>24.88</v>
      </c>
      <c r="D178">
        <v>-843100000</v>
      </c>
      <c r="E178">
        <v>4.49</v>
      </c>
      <c r="F178">
        <v>4573000000</v>
      </c>
      <c r="G178">
        <v>2318000000</v>
      </c>
      <c r="H178">
        <v>2553000000</v>
      </c>
      <c r="I178">
        <v>750000000</v>
      </c>
      <c r="J178">
        <v>12340000000</v>
      </c>
      <c r="K178">
        <v>2300</v>
      </c>
      <c r="L178">
        <v>4</v>
      </c>
      <c r="M178">
        <v>0.2</v>
      </c>
      <c r="O178">
        <v>6400</v>
      </c>
      <c r="P178">
        <v>18712</v>
      </c>
      <c r="Q178">
        <v>2020000000</v>
      </c>
      <c r="R178">
        <v>4.4000000000000004</v>
      </c>
      <c r="S178">
        <v>29.11</v>
      </c>
      <c r="T178">
        <v>9.3000000000000007</v>
      </c>
      <c r="U178">
        <v>7094</v>
      </c>
      <c r="V178">
        <v>90000</v>
      </c>
      <c r="W178">
        <v>28</v>
      </c>
      <c r="X178">
        <v>1930000</v>
      </c>
      <c r="Y178">
        <v>70.33</v>
      </c>
      <c r="Z178">
        <v>32800000</v>
      </c>
      <c r="AA178">
        <v>0.7</v>
      </c>
      <c r="AG178">
        <v>25770</v>
      </c>
      <c r="AH178">
        <v>738</v>
      </c>
      <c r="AI178">
        <v>27950</v>
      </c>
      <c r="AJ178">
        <v>0</v>
      </c>
      <c r="AL178">
        <v>5465100</v>
      </c>
      <c r="AM178">
        <v>69.5</v>
      </c>
      <c r="AN178">
        <v>6</v>
      </c>
      <c r="AO178">
        <v>670000000</v>
      </c>
      <c r="AP178">
        <v>171600</v>
      </c>
      <c r="AQ178">
        <v>202800</v>
      </c>
      <c r="AR178">
        <v>2.81</v>
      </c>
      <c r="AS178">
        <v>7.8</v>
      </c>
    </row>
    <row r="179" spans="1:45" x14ac:dyDescent="0.3">
      <c r="A179" t="s">
        <v>222</v>
      </c>
      <c r="B179">
        <v>1267000</v>
      </c>
      <c r="C179">
        <v>48.3</v>
      </c>
      <c r="E179">
        <v>21.33</v>
      </c>
      <c r="F179">
        <v>1600000000</v>
      </c>
      <c r="G179">
        <v>327600000</v>
      </c>
      <c r="H179">
        <v>266200000</v>
      </c>
      <c r="I179">
        <v>280000000</v>
      </c>
      <c r="J179">
        <v>9716000000</v>
      </c>
      <c r="K179">
        <v>900</v>
      </c>
      <c r="L179">
        <v>3.5</v>
      </c>
      <c r="M179">
        <v>1.2</v>
      </c>
      <c r="N179">
        <v>4800</v>
      </c>
      <c r="O179">
        <v>70000</v>
      </c>
      <c r="P179">
        <v>10100</v>
      </c>
      <c r="Q179">
        <v>400000000</v>
      </c>
      <c r="S179">
        <v>121.69</v>
      </c>
      <c r="T179">
        <v>3</v>
      </c>
      <c r="U179">
        <v>134</v>
      </c>
      <c r="V179">
        <v>15000</v>
      </c>
      <c r="X179">
        <v>70000</v>
      </c>
      <c r="Y179">
        <v>42.13</v>
      </c>
      <c r="Z179">
        <v>33300000</v>
      </c>
      <c r="AA179">
        <v>1.1000000000000001</v>
      </c>
      <c r="AG179">
        <v>5000</v>
      </c>
      <c r="AJ179">
        <v>0</v>
      </c>
      <c r="AL179">
        <v>11665937</v>
      </c>
      <c r="AP179">
        <v>22400</v>
      </c>
      <c r="AQ179">
        <v>24000</v>
      </c>
      <c r="AR179">
        <v>6.75</v>
      </c>
    </row>
    <row r="180" spans="1:45" x14ac:dyDescent="0.3">
      <c r="A180" t="s">
        <v>223</v>
      </c>
      <c r="B180">
        <v>923768</v>
      </c>
      <c r="C180">
        <v>40.65</v>
      </c>
      <c r="D180">
        <v>5228000000</v>
      </c>
      <c r="E180">
        <v>17.18</v>
      </c>
      <c r="F180">
        <v>30550000000</v>
      </c>
      <c r="G180">
        <v>18430000000</v>
      </c>
      <c r="H180">
        <v>19850000000</v>
      </c>
      <c r="I180">
        <v>33990000000</v>
      </c>
      <c r="J180">
        <v>125700000000</v>
      </c>
      <c r="K180">
        <v>1000</v>
      </c>
      <c r="L180">
        <v>6.2</v>
      </c>
      <c r="M180">
        <v>5.4</v>
      </c>
      <c r="N180">
        <v>310000</v>
      </c>
      <c r="O180">
        <v>3600000</v>
      </c>
      <c r="P180">
        <v>194394</v>
      </c>
      <c r="Q180">
        <v>17140000000</v>
      </c>
      <c r="R180">
        <v>1.8</v>
      </c>
      <c r="S180">
        <v>98.8</v>
      </c>
      <c r="T180">
        <v>16.5</v>
      </c>
      <c r="U180">
        <v>1142</v>
      </c>
      <c r="V180">
        <v>750000</v>
      </c>
      <c r="W180">
        <v>18</v>
      </c>
      <c r="X180">
        <v>55670000</v>
      </c>
      <c r="Y180">
        <v>46.74</v>
      </c>
      <c r="Z180">
        <v>544600000</v>
      </c>
      <c r="AA180">
        <v>0.8</v>
      </c>
      <c r="AB180">
        <v>7850000000</v>
      </c>
      <c r="AC180">
        <v>7830000000</v>
      </c>
      <c r="AD180">
        <v>0</v>
      </c>
      <c r="AE180">
        <v>15680000000</v>
      </c>
      <c r="AF180">
        <v>4007000000000</v>
      </c>
      <c r="AG180">
        <v>275000</v>
      </c>
      <c r="AJ180">
        <v>2356000</v>
      </c>
      <c r="AK180">
        <v>34000000000</v>
      </c>
      <c r="AL180">
        <v>128771988</v>
      </c>
      <c r="AM180">
        <v>20</v>
      </c>
      <c r="AN180">
        <v>3557</v>
      </c>
      <c r="AO180">
        <v>14710000000</v>
      </c>
      <c r="AP180">
        <v>853100</v>
      </c>
      <c r="AQ180">
        <v>3149500</v>
      </c>
      <c r="AR180">
        <v>5.53</v>
      </c>
    </row>
    <row r="181" spans="1:45" x14ac:dyDescent="0.3">
      <c r="A181" t="s">
        <v>224</v>
      </c>
      <c r="B181">
        <v>260</v>
      </c>
      <c r="F181">
        <v>418000</v>
      </c>
      <c r="G181">
        <v>2790000</v>
      </c>
      <c r="H181">
        <v>3000000</v>
      </c>
      <c r="I181">
        <v>137200</v>
      </c>
      <c r="J181">
        <v>7600000</v>
      </c>
      <c r="K181">
        <v>3600</v>
      </c>
      <c r="L181">
        <v>-0.3</v>
      </c>
      <c r="P181">
        <v>234</v>
      </c>
      <c r="Q181">
        <v>2380000</v>
      </c>
      <c r="T181">
        <v>1</v>
      </c>
      <c r="AG181">
        <v>20</v>
      </c>
      <c r="AJ181">
        <v>0</v>
      </c>
      <c r="AL181">
        <v>2166</v>
      </c>
      <c r="AP181">
        <v>1100</v>
      </c>
      <c r="AQ181">
        <v>400</v>
      </c>
    </row>
    <row r="182" spans="1:45" x14ac:dyDescent="0.3">
      <c r="A182" t="s">
        <v>225</v>
      </c>
      <c r="B182">
        <v>35</v>
      </c>
      <c r="I182">
        <v>1500000</v>
      </c>
      <c r="P182">
        <v>80</v>
      </c>
      <c r="Q182">
        <v>17900000</v>
      </c>
      <c r="V182">
        <v>700</v>
      </c>
      <c r="X182">
        <v>1345</v>
      </c>
      <c r="AL182">
        <v>1828</v>
      </c>
      <c r="AP182">
        <v>2532</v>
      </c>
      <c r="AQ182">
        <v>0</v>
      </c>
      <c r="AS182">
        <v>0</v>
      </c>
    </row>
    <row r="183" spans="1:45" x14ac:dyDescent="0.3">
      <c r="A183" t="s">
        <v>226</v>
      </c>
      <c r="B183">
        <v>477</v>
      </c>
      <c r="C183">
        <v>19.510000000000002</v>
      </c>
      <c r="E183">
        <v>2.2999999999999998</v>
      </c>
      <c r="J183">
        <v>900000000</v>
      </c>
      <c r="K183">
        <v>12500</v>
      </c>
      <c r="P183">
        <v>362</v>
      </c>
      <c r="S183">
        <v>7.11</v>
      </c>
      <c r="T183">
        <v>1.2</v>
      </c>
      <c r="X183">
        <v>6006</v>
      </c>
      <c r="Y183">
        <v>75.88</v>
      </c>
      <c r="AL183">
        <v>80362</v>
      </c>
      <c r="AP183">
        <v>21000</v>
      </c>
      <c r="AQ183">
        <v>3000</v>
      </c>
      <c r="AR183">
        <v>1.27</v>
      </c>
    </row>
    <row r="184" spans="1:45" x14ac:dyDescent="0.3">
      <c r="A184" t="s">
        <v>227</v>
      </c>
      <c r="B184">
        <v>324220</v>
      </c>
      <c r="C184">
        <v>11.67</v>
      </c>
      <c r="D184">
        <v>30520000000</v>
      </c>
      <c r="E184">
        <v>9.4499999999999993</v>
      </c>
      <c r="F184">
        <v>0</v>
      </c>
      <c r="G184">
        <v>107400000000</v>
      </c>
      <c r="H184">
        <v>125900000000</v>
      </c>
      <c r="I184">
        <v>76640000000</v>
      </c>
      <c r="J184">
        <v>183000000000</v>
      </c>
      <c r="K184">
        <v>40000</v>
      </c>
      <c r="L184">
        <v>3.3</v>
      </c>
      <c r="M184">
        <v>0.1</v>
      </c>
      <c r="N184">
        <v>100</v>
      </c>
      <c r="O184">
        <v>2100</v>
      </c>
      <c r="P184">
        <v>91852</v>
      </c>
      <c r="Q184">
        <v>45960000000</v>
      </c>
      <c r="R184">
        <v>5.2</v>
      </c>
      <c r="S184">
        <v>3.7</v>
      </c>
      <c r="T184">
        <v>1</v>
      </c>
      <c r="U184">
        <v>593850</v>
      </c>
      <c r="V184">
        <v>2288000</v>
      </c>
      <c r="W184">
        <v>17.5</v>
      </c>
      <c r="X184">
        <v>2380000</v>
      </c>
      <c r="Y184">
        <v>79.400000000000006</v>
      </c>
      <c r="Z184">
        <v>4033500000</v>
      </c>
      <c r="AA184">
        <v>1.9</v>
      </c>
      <c r="AB184">
        <v>4100000000</v>
      </c>
      <c r="AC184">
        <v>50500000000</v>
      </c>
      <c r="AD184">
        <v>0</v>
      </c>
      <c r="AE184">
        <v>54600000000</v>
      </c>
      <c r="AF184">
        <v>1716000000000</v>
      </c>
      <c r="AG184">
        <v>171100</v>
      </c>
      <c r="AH184">
        <v>3466000</v>
      </c>
      <c r="AI184">
        <v>88870</v>
      </c>
      <c r="AJ184">
        <v>3310000</v>
      </c>
      <c r="AK184">
        <v>9859000000</v>
      </c>
      <c r="AL184">
        <v>4593041</v>
      </c>
      <c r="AM184">
        <v>33.1</v>
      </c>
      <c r="AN184">
        <v>4077</v>
      </c>
      <c r="AP184">
        <v>3343000</v>
      </c>
      <c r="AQ184">
        <v>4163400</v>
      </c>
      <c r="AR184">
        <v>1.78</v>
      </c>
      <c r="AS184">
        <v>4.3</v>
      </c>
    </row>
    <row r="185" spans="1:45" x14ac:dyDescent="0.3">
      <c r="A185" t="s">
        <v>228</v>
      </c>
      <c r="B185">
        <v>212460</v>
      </c>
      <c r="C185">
        <v>36.729999999999997</v>
      </c>
      <c r="D185">
        <v>2674000000</v>
      </c>
      <c r="E185">
        <v>3.86</v>
      </c>
      <c r="F185">
        <v>4814000000</v>
      </c>
      <c r="G185">
        <v>9792000000</v>
      </c>
      <c r="H185">
        <v>9896000000</v>
      </c>
      <c r="I185">
        <v>13140000000</v>
      </c>
      <c r="J185">
        <v>38090000000</v>
      </c>
      <c r="K185">
        <v>13100</v>
      </c>
      <c r="L185">
        <v>1.2</v>
      </c>
      <c r="M185">
        <v>0.1</v>
      </c>
      <c r="N185">
        <v>200</v>
      </c>
      <c r="O185">
        <v>1300</v>
      </c>
      <c r="P185">
        <v>34965</v>
      </c>
      <c r="Q185">
        <v>6373000000</v>
      </c>
      <c r="R185">
        <v>-1.2</v>
      </c>
      <c r="S185">
        <v>19.510000000000002</v>
      </c>
      <c r="T185">
        <v>0.2</v>
      </c>
      <c r="U185">
        <v>726</v>
      </c>
      <c r="V185">
        <v>180000</v>
      </c>
      <c r="W185">
        <v>13.5</v>
      </c>
      <c r="X185">
        <v>920000</v>
      </c>
      <c r="Y185">
        <v>73.13</v>
      </c>
      <c r="Z185">
        <v>252990000</v>
      </c>
      <c r="AA185">
        <v>11.4</v>
      </c>
      <c r="AB185">
        <v>6340000000</v>
      </c>
      <c r="AC185">
        <v>7430000000</v>
      </c>
      <c r="AD185">
        <v>0</v>
      </c>
      <c r="AE185">
        <v>13770000000</v>
      </c>
      <c r="AF185">
        <v>829700000000</v>
      </c>
      <c r="AG185">
        <v>54000</v>
      </c>
      <c r="AH185">
        <v>721000</v>
      </c>
      <c r="AJ185">
        <v>775000</v>
      </c>
      <c r="AK185">
        <v>5500000000</v>
      </c>
      <c r="AL185">
        <v>3001583</v>
      </c>
      <c r="AM185">
        <v>10.3</v>
      </c>
      <c r="AO185">
        <v>4144000000</v>
      </c>
      <c r="AP185">
        <v>233900</v>
      </c>
      <c r="AQ185">
        <v>464900</v>
      </c>
      <c r="AR185">
        <v>5.84</v>
      </c>
      <c r="AS185">
        <v>15</v>
      </c>
    </row>
    <row r="186" spans="1:45" x14ac:dyDescent="0.3">
      <c r="A186" t="s">
        <v>229</v>
      </c>
      <c r="B186">
        <v>803940</v>
      </c>
      <c r="C186">
        <v>30.42</v>
      </c>
      <c r="D186">
        <v>1400000000</v>
      </c>
      <c r="E186">
        <v>8.4499999999999993</v>
      </c>
      <c r="F186">
        <v>33970000000</v>
      </c>
      <c r="G186">
        <v>52660000000</v>
      </c>
      <c r="H186">
        <v>75270000000</v>
      </c>
      <c r="I186">
        <v>15070000000</v>
      </c>
      <c r="J186">
        <v>347300000000</v>
      </c>
      <c r="K186">
        <v>2200</v>
      </c>
      <c r="L186">
        <v>6.1</v>
      </c>
      <c r="M186">
        <v>0.1</v>
      </c>
      <c r="N186">
        <v>4900</v>
      </c>
      <c r="O186">
        <v>74000</v>
      </c>
      <c r="P186">
        <v>257683</v>
      </c>
      <c r="Q186">
        <v>14010000000</v>
      </c>
      <c r="R186">
        <v>13.1</v>
      </c>
      <c r="S186">
        <v>72.44</v>
      </c>
      <c r="T186">
        <v>4.8</v>
      </c>
      <c r="U186">
        <v>15124</v>
      </c>
      <c r="V186">
        <v>1500000</v>
      </c>
      <c r="W186">
        <v>16.399999999999999</v>
      </c>
      <c r="X186">
        <v>45430000</v>
      </c>
      <c r="Y186">
        <v>63</v>
      </c>
      <c r="Z186">
        <v>3848000000</v>
      </c>
      <c r="AA186">
        <v>4.9000000000000004</v>
      </c>
      <c r="AB186">
        <v>23400000000</v>
      </c>
      <c r="AC186">
        <v>0</v>
      </c>
      <c r="AD186">
        <v>0</v>
      </c>
      <c r="AE186">
        <v>23400000000</v>
      </c>
      <c r="AF186">
        <v>695600000000</v>
      </c>
      <c r="AG186">
        <v>365000</v>
      </c>
      <c r="AJ186">
        <v>61000</v>
      </c>
      <c r="AK186">
        <v>325500000</v>
      </c>
      <c r="AL186">
        <v>162419946</v>
      </c>
      <c r="AM186">
        <v>71.400000000000006</v>
      </c>
      <c r="AN186">
        <v>8163</v>
      </c>
      <c r="AO186">
        <v>12580000000</v>
      </c>
      <c r="AP186">
        <v>3982800</v>
      </c>
      <c r="AQ186">
        <v>2624800</v>
      </c>
      <c r="AR186">
        <v>4.1399999999999997</v>
      </c>
      <c r="AS186">
        <v>8.3000000000000007</v>
      </c>
    </row>
    <row r="187" spans="1:45" x14ac:dyDescent="0.3">
      <c r="A187" t="s">
        <v>230</v>
      </c>
      <c r="B187">
        <v>458</v>
      </c>
      <c r="C187">
        <v>18.37</v>
      </c>
      <c r="E187">
        <v>6.85</v>
      </c>
      <c r="F187">
        <v>0</v>
      </c>
      <c r="I187">
        <v>18000000</v>
      </c>
      <c r="J187">
        <v>174000000</v>
      </c>
      <c r="K187">
        <v>9000</v>
      </c>
      <c r="L187">
        <v>1</v>
      </c>
      <c r="P187">
        <v>61</v>
      </c>
      <c r="Q187">
        <v>99000000</v>
      </c>
      <c r="S187">
        <v>14.84</v>
      </c>
      <c r="T187">
        <v>3.4</v>
      </c>
      <c r="X187">
        <v>9845</v>
      </c>
      <c r="Y187">
        <v>70.14</v>
      </c>
      <c r="AL187">
        <v>20303</v>
      </c>
      <c r="AP187">
        <v>6700</v>
      </c>
      <c r="AQ187">
        <v>1000</v>
      </c>
      <c r="AR187">
        <v>2.46</v>
      </c>
      <c r="AS187">
        <v>2.2999999999999998</v>
      </c>
    </row>
    <row r="188" spans="1:45" x14ac:dyDescent="0.3">
      <c r="A188" t="s">
        <v>231</v>
      </c>
      <c r="B188">
        <v>12</v>
      </c>
    </row>
    <row r="189" spans="1:45" x14ac:dyDescent="0.3">
      <c r="A189" t="s">
        <v>232</v>
      </c>
      <c r="B189">
        <v>78200</v>
      </c>
      <c r="C189">
        <v>19.96</v>
      </c>
      <c r="D189">
        <v>-469600000</v>
      </c>
      <c r="E189">
        <v>6.54</v>
      </c>
      <c r="F189">
        <v>8780000000</v>
      </c>
      <c r="G189">
        <v>4473000000</v>
      </c>
      <c r="H189">
        <v>4873000000</v>
      </c>
      <c r="I189">
        <v>5699000000</v>
      </c>
      <c r="J189">
        <v>20570000000</v>
      </c>
      <c r="K189">
        <v>6900</v>
      </c>
      <c r="L189">
        <v>6</v>
      </c>
      <c r="M189">
        <v>0.9</v>
      </c>
      <c r="O189">
        <v>16000</v>
      </c>
      <c r="P189">
        <v>11643</v>
      </c>
      <c r="Q189">
        <v>7164000000</v>
      </c>
      <c r="R189">
        <v>5.4</v>
      </c>
      <c r="S189">
        <v>20.47</v>
      </c>
      <c r="T189">
        <v>2</v>
      </c>
      <c r="U189">
        <v>7129</v>
      </c>
      <c r="V189">
        <v>120000</v>
      </c>
      <c r="W189">
        <v>25</v>
      </c>
      <c r="X189">
        <v>1320000</v>
      </c>
      <c r="Y189">
        <v>71.94</v>
      </c>
      <c r="Z189">
        <v>147000000</v>
      </c>
      <c r="AA189">
        <v>1.1000000000000001</v>
      </c>
      <c r="AG189">
        <v>40520</v>
      </c>
      <c r="AJ189">
        <v>0</v>
      </c>
      <c r="AL189">
        <v>3039150</v>
      </c>
      <c r="AM189">
        <v>69.2</v>
      </c>
      <c r="AN189">
        <v>355</v>
      </c>
      <c r="AO189">
        <v>1076000000</v>
      </c>
      <c r="AP189">
        <v>386900</v>
      </c>
      <c r="AQ189">
        <v>834000</v>
      </c>
      <c r="AR189">
        <v>2.4500000000000002</v>
      </c>
      <c r="AS189">
        <v>12.6</v>
      </c>
    </row>
    <row r="190" spans="1:45" x14ac:dyDescent="0.3">
      <c r="A190" t="s">
        <v>233</v>
      </c>
      <c r="B190">
        <v>462840</v>
      </c>
      <c r="C190">
        <v>29.95</v>
      </c>
      <c r="D190">
        <v>29150000</v>
      </c>
      <c r="E190">
        <v>7.37</v>
      </c>
      <c r="F190">
        <v>2463000000</v>
      </c>
      <c r="G190">
        <v>1561000000</v>
      </c>
      <c r="H190">
        <v>1679000000</v>
      </c>
      <c r="I190">
        <v>2437000000</v>
      </c>
      <c r="J190">
        <v>11990000000</v>
      </c>
      <c r="K190">
        <v>2200</v>
      </c>
      <c r="L190">
        <v>0.9</v>
      </c>
      <c r="M190">
        <v>0.6</v>
      </c>
      <c r="N190">
        <v>600</v>
      </c>
      <c r="O190">
        <v>16000</v>
      </c>
      <c r="P190">
        <v>19600</v>
      </c>
      <c r="Q190">
        <v>1353000000</v>
      </c>
      <c r="S190">
        <v>51.45</v>
      </c>
      <c r="T190">
        <v>4.2</v>
      </c>
      <c r="U190">
        <v>389</v>
      </c>
      <c r="V190">
        <v>75000</v>
      </c>
      <c r="W190">
        <v>13.6</v>
      </c>
      <c r="X190">
        <v>3320000</v>
      </c>
      <c r="Y190">
        <v>64.930000000000007</v>
      </c>
      <c r="Z190">
        <v>16900000</v>
      </c>
      <c r="AA190">
        <v>1.4</v>
      </c>
      <c r="AB190">
        <v>110000000</v>
      </c>
      <c r="AC190">
        <v>0</v>
      </c>
      <c r="AD190">
        <v>0</v>
      </c>
      <c r="AE190">
        <v>110000000</v>
      </c>
      <c r="AF190">
        <v>385500000000</v>
      </c>
      <c r="AG190">
        <v>15000</v>
      </c>
      <c r="AJ190">
        <v>46200</v>
      </c>
      <c r="AK190">
        <v>170000000</v>
      </c>
      <c r="AL190">
        <v>5545268</v>
      </c>
      <c r="AM190">
        <v>59.3</v>
      </c>
      <c r="AO190">
        <v>635800000</v>
      </c>
      <c r="AP190">
        <v>62000</v>
      </c>
      <c r="AQ190">
        <v>15000</v>
      </c>
      <c r="AR190">
        <v>3.96</v>
      </c>
    </row>
    <row r="191" spans="1:45" x14ac:dyDescent="0.3">
      <c r="A191" t="s">
        <v>234</v>
      </c>
      <c r="B191">
        <v>406750</v>
      </c>
      <c r="C191">
        <v>29.43</v>
      </c>
      <c r="D191">
        <v>-36110000</v>
      </c>
      <c r="E191">
        <v>4.53</v>
      </c>
      <c r="F191">
        <v>3239000000</v>
      </c>
      <c r="G191">
        <v>2469000000</v>
      </c>
      <c r="H191">
        <v>48360000000</v>
      </c>
      <c r="I191">
        <v>2936000000</v>
      </c>
      <c r="J191">
        <v>29930000000</v>
      </c>
      <c r="K191">
        <v>4800</v>
      </c>
      <c r="L191">
        <v>2.8</v>
      </c>
      <c r="M191">
        <v>0.5</v>
      </c>
      <c r="N191">
        <v>600</v>
      </c>
      <c r="O191">
        <v>15000</v>
      </c>
      <c r="P191">
        <v>29500</v>
      </c>
      <c r="Q191">
        <v>3330000000</v>
      </c>
      <c r="R191">
        <v>0</v>
      </c>
      <c r="S191">
        <v>25.63</v>
      </c>
      <c r="T191">
        <v>5.0999999999999996</v>
      </c>
      <c r="U191">
        <v>9243</v>
      </c>
      <c r="V191">
        <v>120000</v>
      </c>
      <c r="W191">
        <v>18.100000000000001</v>
      </c>
      <c r="X191">
        <v>2660000</v>
      </c>
      <c r="Y191">
        <v>74.89</v>
      </c>
      <c r="Z191">
        <v>53100000</v>
      </c>
      <c r="AA191">
        <v>0.9</v>
      </c>
      <c r="AG191">
        <v>25000</v>
      </c>
      <c r="AJ191">
        <v>0</v>
      </c>
      <c r="AL191">
        <v>6347884</v>
      </c>
      <c r="AM191">
        <v>39.200000000000003</v>
      </c>
      <c r="AN191">
        <v>441</v>
      </c>
      <c r="AO191">
        <v>1164000000</v>
      </c>
      <c r="AP191">
        <v>273200</v>
      </c>
      <c r="AQ191">
        <v>1770300</v>
      </c>
      <c r="AR191">
        <v>3.93</v>
      </c>
      <c r="AS191">
        <v>15.1</v>
      </c>
    </row>
    <row r="192" spans="1:45" x14ac:dyDescent="0.3">
      <c r="A192" t="s">
        <v>235</v>
      </c>
      <c r="B192">
        <v>1285220</v>
      </c>
      <c r="C192">
        <v>20.87</v>
      </c>
      <c r="D192">
        <v>-30000000</v>
      </c>
      <c r="E192">
        <v>6.26</v>
      </c>
      <c r="F192">
        <v>29790000000</v>
      </c>
      <c r="G192">
        <v>20220000000</v>
      </c>
      <c r="H192">
        <v>22880000000</v>
      </c>
      <c r="I192">
        <v>12300000000</v>
      </c>
      <c r="J192">
        <v>155300000000</v>
      </c>
      <c r="K192">
        <v>5600</v>
      </c>
      <c r="L192">
        <v>4.5</v>
      </c>
      <c r="M192">
        <v>0.5</v>
      </c>
      <c r="N192">
        <v>4200</v>
      </c>
      <c r="O192">
        <v>82000</v>
      </c>
      <c r="P192">
        <v>78230</v>
      </c>
      <c r="Q192">
        <v>9600000000</v>
      </c>
      <c r="R192">
        <v>5.2</v>
      </c>
      <c r="S192">
        <v>31.94</v>
      </c>
      <c r="T192">
        <v>3.8</v>
      </c>
      <c r="U192">
        <v>65868</v>
      </c>
      <c r="V192">
        <v>2850000</v>
      </c>
      <c r="W192">
        <v>17.8</v>
      </c>
      <c r="X192">
        <v>11000000</v>
      </c>
      <c r="Y192">
        <v>69.53</v>
      </c>
      <c r="Z192">
        <v>829300000</v>
      </c>
      <c r="AA192">
        <v>1.4</v>
      </c>
      <c r="AB192">
        <v>910000000</v>
      </c>
      <c r="AC192">
        <v>0</v>
      </c>
      <c r="AD192">
        <v>0</v>
      </c>
      <c r="AE192">
        <v>910000000</v>
      </c>
      <c r="AF192">
        <v>245100000000</v>
      </c>
      <c r="AG192">
        <v>161000</v>
      </c>
      <c r="AH192">
        <v>49000</v>
      </c>
      <c r="AJ192">
        <v>95500</v>
      </c>
      <c r="AK192">
        <v>408800000</v>
      </c>
      <c r="AL192">
        <v>27925628</v>
      </c>
      <c r="AM192">
        <v>44.1</v>
      </c>
      <c r="AN192">
        <v>3462</v>
      </c>
      <c r="AO192">
        <v>12700000000</v>
      </c>
      <c r="AP192">
        <v>1839200</v>
      </c>
      <c r="AQ192">
        <v>2908800</v>
      </c>
      <c r="AR192">
        <v>2.56</v>
      </c>
      <c r="AS192">
        <v>9.6</v>
      </c>
    </row>
    <row r="193" spans="1:45" x14ac:dyDescent="0.3">
      <c r="A193" t="s">
        <v>236</v>
      </c>
      <c r="B193">
        <v>300000</v>
      </c>
      <c r="C193">
        <v>25.31</v>
      </c>
      <c r="D193">
        <v>3600000000</v>
      </c>
      <c r="E193">
        <v>5.47</v>
      </c>
      <c r="F193">
        <v>55600000000</v>
      </c>
      <c r="G193">
        <v>46050000000</v>
      </c>
      <c r="H193">
        <v>52860000000</v>
      </c>
      <c r="I193">
        <v>38630000000</v>
      </c>
      <c r="J193">
        <v>430600000000</v>
      </c>
      <c r="K193">
        <v>5000</v>
      </c>
      <c r="L193">
        <v>5.9</v>
      </c>
      <c r="M193">
        <v>0.1</v>
      </c>
      <c r="N193">
        <v>500</v>
      </c>
      <c r="O193">
        <v>9000</v>
      </c>
      <c r="P193">
        <v>202124</v>
      </c>
      <c r="Q193">
        <v>37500000000</v>
      </c>
      <c r="R193">
        <v>5</v>
      </c>
      <c r="S193">
        <v>23.51</v>
      </c>
      <c r="T193">
        <v>5.5</v>
      </c>
      <c r="U193">
        <v>38440</v>
      </c>
      <c r="V193">
        <v>3500000</v>
      </c>
      <c r="W193">
        <v>17</v>
      </c>
      <c r="X193">
        <v>35860000</v>
      </c>
      <c r="Y193">
        <v>69.91</v>
      </c>
      <c r="Z193">
        <v>805500000</v>
      </c>
      <c r="AA193">
        <v>1</v>
      </c>
      <c r="AB193">
        <v>25000000</v>
      </c>
      <c r="AC193">
        <v>0</v>
      </c>
      <c r="AD193">
        <v>0</v>
      </c>
      <c r="AE193">
        <v>2500000</v>
      </c>
      <c r="AF193">
        <v>107600000000</v>
      </c>
      <c r="AG193">
        <v>338000</v>
      </c>
      <c r="AH193">
        <v>0</v>
      </c>
      <c r="AI193">
        <v>312000</v>
      </c>
      <c r="AJ193">
        <v>26000</v>
      </c>
      <c r="AK193">
        <v>152000000</v>
      </c>
      <c r="AL193">
        <v>87857473</v>
      </c>
      <c r="AM193">
        <v>74.2</v>
      </c>
      <c r="AN193">
        <v>897</v>
      </c>
      <c r="AO193">
        <v>16050000000</v>
      </c>
      <c r="AP193">
        <v>3310900</v>
      </c>
      <c r="AQ193">
        <v>15201000</v>
      </c>
      <c r="AR193">
        <v>3.16</v>
      </c>
      <c r="AS193">
        <v>11.7</v>
      </c>
    </row>
    <row r="194" spans="1:45" x14ac:dyDescent="0.3">
      <c r="A194" t="s">
        <v>237</v>
      </c>
      <c r="B194">
        <v>47</v>
      </c>
      <c r="P194">
        <v>6</v>
      </c>
      <c r="X194">
        <v>15</v>
      </c>
      <c r="AL194">
        <v>46</v>
      </c>
      <c r="AP194">
        <v>1</v>
      </c>
    </row>
    <row r="195" spans="1:45" x14ac:dyDescent="0.3">
      <c r="A195" t="s">
        <v>238</v>
      </c>
      <c r="B195">
        <v>312685</v>
      </c>
      <c r="C195">
        <v>10.78</v>
      </c>
      <c r="D195">
        <v>-3831000000</v>
      </c>
      <c r="E195">
        <v>10.01</v>
      </c>
      <c r="F195">
        <v>99150000000</v>
      </c>
      <c r="G195">
        <v>117400000000</v>
      </c>
      <c r="H195">
        <v>133800000000</v>
      </c>
      <c r="I195">
        <v>75980000000</v>
      </c>
      <c r="J195">
        <v>463000000000</v>
      </c>
      <c r="K195">
        <v>12000</v>
      </c>
      <c r="L195">
        <v>5.6</v>
      </c>
      <c r="M195">
        <v>0.1</v>
      </c>
      <c r="N195">
        <v>100</v>
      </c>
      <c r="O195">
        <v>14000</v>
      </c>
      <c r="P195">
        <v>364697</v>
      </c>
      <c r="Q195">
        <v>81610000000</v>
      </c>
      <c r="R195">
        <v>10</v>
      </c>
      <c r="S195">
        <v>8.51</v>
      </c>
      <c r="T195">
        <v>3.4</v>
      </c>
      <c r="U195">
        <v>804915</v>
      </c>
      <c r="V195">
        <v>8970000</v>
      </c>
      <c r="W195">
        <v>18.399999999999999</v>
      </c>
      <c r="X195">
        <v>17020000</v>
      </c>
      <c r="Y195">
        <v>74.41</v>
      </c>
      <c r="Z195">
        <v>3500000000</v>
      </c>
      <c r="AA195">
        <v>1.71</v>
      </c>
      <c r="AB195">
        <v>13850000000</v>
      </c>
      <c r="AC195">
        <v>41000000</v>
      </c>
      <c r="AD195">
        <v>8782000000</v>
      </c>
      <c r="AE195">
        <v>5471000000</v>
      </c>
      <c r="AF195">
        <v>154400000000</v>
      </c>
      <c r="AG195">
        <v>424100</v>
      </c>
      <c r="AH195">
        <v>53000</v>
      </c>
      <c r="AI195">
        <v>413700</v>
      </c>
      <c r="AJ195">
        <v>17180</v>
      </c>
      <c r="AK195">
        <v>116400000</v>
      </c>
      <c r="AL195">
        <v>38635144</v>
      </c>
      <c r="AM195">
        <v>49.9</v>
      </c>
      <c r="AN195">
        <v>23852</v>
      </c>
      <c r="AO195">
        <v>41880000000</v>
      </c>
      <c r="AP195">
        <v>12300000</v>
      </c>
      <c r="AQ195">
        <v>17401000</v>
      </c>
      <c r="AR195">
        <v>1.39</v>
      </c>
      <c r="AS195">
        <v>19.5</v>
      </c>
    </row>
    <row r="196" spans="1:45" x14ac:dyDescent="0.3">
      <c r="A196" t="s">
        <v>239</v>
      </c>
      <c r="B196">
        <v>92391</v>
      </c>
      <c r="C196">
        <v>10.82</v>
      </c>
      <c r="D196">
        <v>-8120000000</v>
      </c>
      <c r="E196">
        <v>10.43</v>
      </c>
      <c r="F196">
        <v>274700000000</v>
      </c>
      <c r="G196">
        <v>42150000000</v>
      </c>
      <c r="H196">
        <v>43280000000</v>
      </c>
      <c r="I196">
        <v>37680000000</v>
      </c>
      <c r="J196">
        <v>188700000000</v>
      </c>
      <c r="K196">
        <v>17900</v>
      </c>
      <c r="L196">
        <v>1.1000000000000001</v>
      </c>
      <c r="M196">
        <v>0.4</v>
      </c>
      <c r="N196">
        <v>1000</v>
      </c>
      <c r="O196">
        <v>22000</v>
      </c>
      <c r="P196">
        <v>17135</v>
      </c>
      <c r="Q196">
        <v>52100000000</v>
      </c>
      <c r="R196">
        <v>1.1000000000000001</v>
      </c>
      <c r="S196">
        <v>5.05</v>
      </c>
      <c r="T196">
        <v>2.1</v>
      </c>
      <c r="U196">
        <v>346078</v>
      </c>
      <c r="V196">
        <v>3600000</v>
      </c>
      <c r="W196">
        <v>22.3</v>
      </c>
      <c r="X196">
        <v>5480000</v>
      </c>
      <c r="Y196">
        <v>77.53</v>
      </c>
      <c r="Z196">
        <v>3497800000</v>
      </c>
      <c r="AA196">
        <v>2.2999999999999998</v>
      </c>
      <c r="AB196">
        <v>2542000000</v>
      </c>
      <c r="AC196">
        <v>0</v>
      </c>
      <c r="AD196">
        <v>2553000000</v>
      </c>
      <c r="AE196">
        <v>0</v>
      </c>
      <c r="AG196">
        <v>339800</v>
      </c>
      <c r="AH196">
        <v>28830</v>
      </c>
      <c r="AI196">
        <v>357300</v>
      </c>
      <c r="AJ196">
        <v>0</v>
      </c>
      <c r="AL196">
        <v>10566212</v>
      </c>
      <c r="AM196">
        <v>61.5</v>
      </c>
      <c r="AN196">
        <v>2850</v>
      </c>
      <c r="AO196">
        <v>12300000000</v>
      </c>
      <c r="AP196">
        <v>4278800</v>
      </c>
      <c r="AQ196">
        <v>9341400</v>
      </c>
      <c r="AR196">
        <v>1.47</v>
      </c>
      <c r="AS196">
        <v>6.5</v>
      </c>
    </row>
    <row r="197" spans="1:45" x14ac:dyDescent="0.3">
      <c r="A197" t="s">
        <v>240</v>
      </c>
      <c r="B197">
        <v>9104</v>
      </c>
      <c r="C197">
        <v>13.93</v>
      </c>
      <c r="E197">
        <v>7.86</v>
      </c>
      <c r="G197">
        <v>20540000000</v>
      </c>
      <c r="H197">
        <v>22090000000</v>
      </c>
      <c r="I197">
        <v>46900000000</v>
      </c>
      <c r="J197">
        <v>68950000000</v>
      </c>
      <c r="K197">
        <v>17700</v>
      </c>
      <c r="L197">
        <v>2.7</v>
      </c>
      <c r="O197">
        <v>7397</v>
      </c>
      <c r="P197">
        <v>25328</v>
      </c>
      <c r="Q197">
        <v>29100000000</v>
      </c>
      <c r="S197">
        <v>8.24</v>
      </c>
      <c r="T197">
        <v>6.5</v>
      </c>
      <c r="V197">
        <v>600000</v>
      </c>
      <c r="X197">
        <v>1300000</v>
      </c>
      <c r="Y197">
        <v>77.62</v>
      </c>
      <c r="AB197">
        <v>630000000</v>
      </c>
      <c r="AC197">
        <v>0</v>
      </c>
      <c r="AD197">
        <v>630000000</v>
      </c>
      <c r="AE197">
        <v>0</v>
      </c>
      <c r="AG197">
        <v>190000</v>
      </c>
      <c r="AJ197">
        <v>0</v>
      </c>
      <c r="AL197">
        <v>3916632</v>
      </c>
      <c r="AN197">
        <v>96</v>
      </c>
      <c r="AP197">
        <v>1329500</v>
      </c>
      <c r="AQ197">
        <v>1211111</v>
      </c>
      <c r="AR197">
        <v>1.91</v>
      </c>
      <c r="AS197">
        <v>12</v>
      </c>
    </row>
    <row r="198" spans="1:45" x14ac:dyDescent="0.3">
      <c r="A198" t="s">
        <v>241</v>
      </c>
      <c r="B198">
        <v>11437</v>
      </c>
      <c r="C198">
        <v>15.54</v>
      </c>
      <c r="D198">
        <v>5187000000</v>
      </c>
      <c r="E198">
        <v>4.6100000000000003</v>
      </c>
      <c r="F198">
        <v>18620000000</v>
      </c>
      <c r="G198">
        <v>9046000000</v>
      </c>
      <c r="H198">
        <v>9727000000</v>
      </c>
      <c r="I198">
        <v>15000000000</v>
      </c>
      <c r="J198">
        <v>19490000000</v>
      </c>
      <c r="K198">
        <v>23200</v>
      </c>
      <c r="L198">
        <v>8.6999999999999993</v>
      </c>
      <c r="M198">
        <v>0.09</v>
      </c>
      <c r="P198">
        <v>1230</v>
      </c>
      <c r="Q198">
        <v>6150000000</v>
      </c>
      <c r="R198">
        <v>10</v>
      </c>
      <c r="S198">
        <v>18.61</v>
      </c>
      <c r="T198">
        <v>3</v>
      </c>
      <c r="U198">
        <v>221</v>
      </c>
      <c r="V198">
        <v>126000</v>
      </c>
      <c r="W198">
        <v>22.9</v>
      </c>
      <c r="X198">
        <v>140000</v>
      </c>
      <c r="Y198">
        <v>73.67</v>
      </c>
      <c r="Z198">
        <v>723000000</v>
      </c>
      <c r="AA198">
        <v>10</v>
      </c>
      <c r="AB198">
        <v>15860000000</v>
      </c>
      <c r="AC198">
        <v>18200000000</v>
      </c>
      <c r="AD198">
        <v>0</v>
      </c>
      <c r="AE198">
        <v>32400000000</v>
      </c>
      <c r="AF198">
        <v>14410000000000</v>
      </c>
      <c r="AG198">
        <v>30000</v>
      </c>
      <c r="AJ198">
        <v>790000</v>
      </c>
      <c r="AK198">
        <v>16000000000</v>
      </c>
      <c r="AL198">
        <v>863051</v>
      </c>
      <c r="AO198">
        <v>3351000000</v>
      </c>
      <c r="AP198">
        <v>184500</v>
      </c>
      <c r="AQ198">
        <v>376500</v>
      </c>
      <c r="AR198">
        <v>2.87</v>
      </c>
      <c r="AS198">
        <v>2.7</v>
      </c>
    </row>
    <row r="199" spans="1:45" x14ac:dyDescent="0.3">
      <c r="A199" t="s">
        <v>242</v>
      </c>
      <c r="B199">
        <v>2517</v>
      </c>
      <c r="C199">
        <v>19.260000000000002</v>
      </c>
      <c r="E199">
        <v>5.48</v>
      </c>
      <c r="G199">
        <v>1084000000</v>
      </c>
      <c r="H199">
        <v>1166000000</v>
      </c>
      <c r="I199">
        <v>214000000</v>
      </c>
      <c r="J199">
        <v>4570000000</v>
      </c>
      <c r="K199">
        <v>6000</v>
      </c>
      <c r="L199">
        <v>2.5</v>
      </c>
      <c r="P199">
        <v>1214</v>
      </c>
      <c r="Q199">
        <v>2500000000</v>
      </c>
      <c r="S199">
        <v>7.78</v>
      </c>
      <c r="V199">
        <v>150000</v>
      </c>
      <c r="X199">
        <v>309900</v>
      </c>
      <c r="Y199">
        <v>73.95</v>
      </c>
      <c r="AG199">
        <v>18000</v>
      </c>
      <c r="AJ199">
        <v>0</v>
      </c>
      <c r="AL199">
        <v>776948</v>
      </c>
      <c r="AP199">
        <v>300000</v>
      </c>
      <c r="AQ199">
        <v>489800</v>
      </c>
      <c r="AR199">
        <v>2.4700000000000002</v>
      </c>
      <c r="AS199">
        <v>36</v>
      </c>
    </row>
    <row r="200" spans="1:45" x14ac:dyDescent="0.3">
      <c r="A200" t="s">
        <v>243</v>
      </c>
      <c r="B200">
        <v>237500</v>
      </c>
      <c r="C200">
        <v>10.7</v>
      </c>
      <c r="D200">
        <v>-3631000000</v>
      </c>
      <c r="E200">
        <v>11.74</v>
      </c>
      <c r="F200">
        <v>24590000000</v>
      </c>
      <c r="G200">
        <v>57500000000</v>
      </c>
      <c r="H200">
        <v>56530000000</v>
      </c>
      <c r="I200">
        <v>23540000000</v>
      </c>
      <c r="J200">
        <v>171500000000</v>
      </c>
      <c r="K200">
        <v>7700</v>
      </c>
      <c r="L200">
        <v>8.1</v>
      </c>
      <c r="M200">
        <v>0.1</v>
      </c>
      <c r="N200">
        <v>350</v>
      </c>
      <c r="O200">
        <v>6500</v>
      </c>
      <c r="P200">
        <v>198755</v>
      </c>
      <c r="Q200">
        <v>28430000000</v>
      </c>
      <c r="R200">
        <v>4</v>
      </c>
      <c r="S200">
        <v>26.43</v>
      </c>
      <c r="T200">
        <v>9.6</v>
      </c>
      <c r="U200">
        <v>50807</v>
      </c>
      <c r="V200">
        <v>4000000</v>
      </c>
      <c r="W200">
        <v>23.3</v>
      </c>
      <c r="X200">
        <v>9660000</v>
      </c>
      <c r="Y200">
        <v>71.349999999999994</v>
      </c>
      <c r="Z200">
        <v>985000000</v>
      </c>
      <c r="AA200">
        <v>2.4700000000000002</v>
      </c>
      <c r="AB200">
        <v>18500000000</v>
      </c>
      <c r="AC200">
        <v>0</v>
      </c>
      <c r="AD200">
        <v>5400000000</v>
      </c>
      <c r="AE200">
        <v>12600000000</v>
      </c>
      <c r="AF200">
        <v>111100000000</v>
      </c>
      <c r="AG200">
        <v>253800</v>
      </c>
      <c r="AJ200">
        <v>128000</v>
      </c>
      <c r="AK200">
        <v>1055000000</v>
      </c>
      <c r="AL200">
        <v>22329977</v>
      </c>
      <c r="AM200">
        <v>23.6</v>
      </c>
      <c r="AN200">
        <v>11385</v>
      </c>
      <c r="AO200">
        <v>16210000000</v>
      </c>
      <c r="AP200">
        <v>4300000</v>
      </c>
      <c r="AQ200">
        <v>6900000</v>
      </c>
      <c r="AR200">
        <v>1.36</v>
      </c>
      <c r="AS200">
        <v>6.3</v>
      </c>
    </row>
    <row r="201" spans="1:45" x14ac:dyDescent="0.3">
      <c r="A201" t="s">
        <v>244</v>
      </c>
      <c r="B201">
        <v>17075200</v>
      </c>
      <c r="C201">
        <v>9.8000000000000007</v>
      </c>
      <c r="D201">
        <v>46040000000</v>
      </c>
      <c r="E201">
        <v>14.52</v>
      </c>
      <c r="F201">
        <v>169600000000</v>
      </c>
      <c r="G201">
        <v>894300000000</v>
      </c>
      <c r="H201">
        <v>915000000000</v>
      </c>
      <c r="I201">
        <v>162500000000</v>
      </c>
      <c r="J201">
        <v>1408000000000</v>
      </c>
      <c r="K201">
        <v>9800</v>
      </c>
      <c r="L201">
        <v>6.7</v>
      </c>
      <c r="M201">
        <v>1.1000000000000001</v>
      </c>
      <c r="N201">
        <v>9000</v>
      </c>
      <c r="O201">
        <v>860000</v>
      </c>
      <c r="P201">
        <v>537289</v>
      </c>
      <c r="Q201">
        <v>92910000000</v>
      </c>
      <c r="R201">
        <v>6.4</v>
      </c>
      <c r="S201">
        <v>15.39</v>
      </c>
      <c r="T201">
        <v>11.5</v>
      </c>
      <c r="U201">
        <v>560874</v>
      </c>
      <c r="V201">
        <v>6000000</v>
      </c>
      <c r="W201">
        <v>19.100000000000001</v>
      </c>
      <c r="X201">
        <v>71830000</v>
      </c>
      <c r="Y201">
        <v>67.099999999999994</v>
      </c>
      <c r="AB201">
        <v>405800000000</v>
      </c>
      <c r="AC201">
        <v>171000000000</v>
      </c>
      <c r="AD201">
        <v>32700000000</v>
      </c>
      <c r="AE201">
        <v>578600000000</v>
      </c>
      <c r="AF201">
        <v>47000000000000</v>
      </c>
      <c r="AG201">
        <v>2310000</v>
      </c>
      <c r="AH201">
        <v>6110000</v>
      </c>
      <c r="AJ201">
        <v>8420000</v>
      </c>
      <c r="AK201">
        <v>69000000000</v>
      </c>
      <c r="AL201">
        <v>143420309</v>
      </c>
      <c r="AM201">
        <v>28.2</v>
      </c>
      <c r="AN201">
        <v>87157</v>
      </c>
      <c r="AO201">
        <v>124500000000</v>
      </c>
      <c r="AP201">
        <v>35500000</v>
      </c>
      <c r="AQ201">
        <v>17608800</v>
      </c>
      <c r="AR201">
        <v>1.27</v>
      </c>
      <c r="AS201">
        <v>8.3000000000000007</v>
      </c>
    </row>
    <row r="202" spans="1:45" x14ac:dyDescent="0.3">
      <c r="A202" t="s">
        <v>245</v>
      </c>
      <c r="B202">
        <v>26338</v>
      </c>
      <c r="C202">
        <v>40.6</v>
      </c>
      <c r="D202">
        <v>-212500000</v>
      </c>
      <c r="E202">
        <v>16.32</v>
      </c>
      <c r="F202">
        <v>1300000000</v>
      </c>
      <c r="G202">
        <v>195000000</v>
      </c>
      <c r="H202">
        <v>166700000</v>
      </c>
      <c r="I202">
        <v>69780000</v>
      </c>
      <c r="J202">
        <v>10430000000</v>
      </c>
      <c r="K202">
        <v>1300</v>
      </c>
      <c r="L202">
        <v>0.9</v>
      </c>
      <c r="M202">
        <v>5.0999999999999996</v>
      </c>
      <c r="N202">
        <v>22000</v>
      </c>
      <c r="O202">
        <v>250000</v>
      </c>
      <c r="P202">
        <v>12000</v>
      </c>
      <c r="Q202">
        <v>260000000</v>
      </c>
      <c r="R202">
        <v>7</v>
      </c>
      <c r="S202">
        <v>91.23</v>
      </c>
      <c r="T202">
        <v>7</v>
      </c>
      <c r="U202">
        <v>1495</v>
      </c>
      <c r="V202">
        <v>25000</v>
      </c>
      <c r="W202">
        <v>20</v>
      </c>
      <c r="X202">
        <v>4600000</v>
      </c>
      <c r="Y202">
        <v>46.96</v>
      </c>
      <c r="Z202">
        <v>50100000</v>
      </c>
      <c r="AA202">
        <v>3.2</v>
      </c>
      <c r="AF202">
        <v>28320000000</v>
      </c>
      <c r="AG202">
        <v>5300</v>
      </c>
      <c r="AJ202">
        <v>0</v>
      </c>
      <c r="AK202">
        <v>0</v>
      </c>
      <c r="AL202">
        <v>8440820</v>
      </c>
      <c r="AO202">
        <v>210900000</v>
      </c>
      <c r="AP202">
        <v>23200</v>
      </c>
      <c r="AQ202">
        <v>134000</v>
      </c>
      <c r="AR202">
        <v>5.49</v>
      </c>
    </row>
    <row r="203" spans="1:45" x14ac:dyDescent="0.3">
      <c r="A203" t="s">
        <v>246</v>
      </c>
      <c r="B203">
        <v>410</v>
      </c>
      <c r="C203">
        <v>12.33</v>
      </c>
      <c r="E203">
        <v>6.43</v>
      </c>
      <c r="G203">
        <v>4650000</v>
      </c>
      <c r="H203">
        <v>5000000</v>
      </c>
      <c r="I203">
        <v>17000000</v>
      </c>
      <c r="J203">
        <v>18000000</v>
      </c>
      <c r="K203">
        <v>2500</v>
      </c>
      <c r="P203">
        <v>198</v>
      </c>
      <c r="Q203">
        <v>42000000</v>
      </c>
      <c r="S203">
        <v>19</v>
      </c>
      <c r="T203">
        <v>3.2</v>
      </c>
      <c r="V203">
        <v>500</v>
      </c>
      <c r="X203">
        <v>3500</v>
      </c>
      <c r="Y203">
        <v>77.760000000000005</v>
      </c>
      <c r="AG203">
        <v>200</v>
      </c>
      <c r="AJ203">
        <v>0</v>
      </c>
      <c r="AL203">
        <v>7460</v>
      </c>
      <c r="AP203">
        <v>2200</v>
      </c>
      <c r="AQ203">
        <v>0</v>
      </c>
      <c r="AR203">
        <v>1.54</v>
      </c>
      <c r="AS203">
        <v>14</v>
      </c>
    </row>
    <row r="204" spans="1:45" x14ac:dyDescent="0.3">
      <c r="A204" t="s">
        <v>247</v>
      </c>
      <c r="B204">
        <v>261</v>
      </c>
      <c r="C204">
        <v>18.12</v>
      </c>
      <c r="E204">
        <v>8.4700000000000006</v>
      </c>
      <c r="F204">
        <v>171000000</v>
      </c>
      <c r="G204">
        <v>98440000</v>
      </c>
      <c r="H204">
        <v>105800000</v>
      </c>
      <c r="I204">
        <v>70000000</v>
      </c>
      <c r="J204">
        <v>339000000</v>
      </c>
      <c r="K204">
        <v>8800</v>
      </c>
      <c r="L204">
        <v>-1.9</v>
      </c>
      <c r="P204">
        <v>320</v>
      </c>
      <c r="Q204">
        <v>195000000</v>
      </c>
      <c r="S204">
        <v>14.49</v>
      </c>
      <c r="T204">
        <v>1.7</v>
      </c>
      <c r="U204">
        <v>51</v>
      </c>
      <c r="V204">
        <v>10000</v>
      </c>
      <c r="X204">
        <v>18170</v>
      </c>
      <c r="Y204">
        <v>72.150000000000006</v>
      </c>
      <c r="AG204">
        <v>710</v>
      </c>
      <c r="AJ204">
        <v>0</v>
      </c>
      <c r="AL204">
        <v>38958</v>
      </c>
      <c r="AN204">
        <v>50</v>
      </c>
      <c r="AP204">
        <v>23500</v>
      </c>
      <c r="AQ204">
        <v>5000</v>
      </c>
      <c r="AR204">
        <v>2.33</v>
      </c>
      <c r="AS204">
        <v>4.5</v>
      </c>
    </row>
    <row r="205" spans="1:45" x14ac:dyDescent="0.3">
      <c r="A205" t="s">
        <v>248</v>
      </c>
      <c r="B205">
        <v>616</v>
      </c>
      <c r="C205">
        <v>20.05</v>
      </c>
      <c r="E205">
        <v>5.12</v>
      </c>
      <c r="F205">
        <v>214000000</v>
      </c>
      <c r="G205">
        <v>251300000</v>
      </c>
      <c r="H205">
        <v>270300000</v>
      </c>
      <c r="I205">
        <v>66000000</v>
      </c>
      <c r="J205">
        <v>866000000</v>
      </c>
      <c r="K205">
        <v>5400</v>
      </c>
      <c r="L205">
        <v>3.3</v>
      </c>
      <c r="P205">
        <v>1210</v>
      </c>
      <c r="Q205">
        <v>267000000</v>
      </c>
      <c r="R205">
        <v>-8.9</v>
      </c>
      <c r="S205">
        <v>13.53</v>
      </c>
      <c r="T205">
        <v>3</v>
      </c>
      <c r="U205">
        <v>41</v>
      </c>
      <c r="V205">
        <v>13000</v>
      </c>
      <c r="X205">
        <v>43800</v>
      </c>
      <c r="Y205">
        <v>73.61</v>
      </c>
      <c r="AG205">
        <v>2400</v>
      </c>
      <c r="AJ205">
        <v>0</v>
      </c>
      <c r="AL205">
        <v>166312</v>
      </c>
      <c r="AP205">
        <v>51100</v>
      </c>
      <c r="AQ205">
        <v>14300</v>
      </c>
      <c r="AR205">
        <v>2.21</v>
      </c>
      <c r="AS205">
        <v>20</v>
      </c>
    </row>
    <row r="206" spans="1:45" x14ac:dyDescent="0.3">
      <c r="A206" t="s">
        <v>249</v>
      </c>
      <c r="B206">
        <v>242</v>
      </c>
      <c r="C206">
        <v>13.83</v>
      </c>
      <c r="E206">
        <v>6.7</v>
      </c>
      <c r="G206">
        <v>40060000</v>
      </c>
      <c r="H206">
        <v>43080000</v>
      </c>
      <c r="I206">
        <v>10000000</v>
      </c>
      <c r="J206">
        <v>48300000</v>
      </c>
      <c r="K206">
        <v>7000</v>
      </c>
      <c r="P206">
        <v>114</v>
      </c>
      <c r="Q206">
        <v>106000000</v>
      </c>
      <c r="S206">
        <v>7.54</v>
      </c>
      <c r="T206">
        <v>2.1</v>
      </c>
      <c r="X206">
        <v>3261</v>
      </c>
      <c r="Y206">
        <v>78.459999999999994</v>
      </c>
      <c r="AG206">
        <v>600</v>
      </c>
      <c r="AJ206">
        <v>0</v>
      </c>
      <c r="AL206">
        <v>7012</v>
      </c>
      <c r="AP206">
        <v>4800</v>
      </c>
      <c r="AQ206">
        <v>0</v>
      </c>
      <c r="AR206">
        <v>2.0299999999999998</v>
      </c>
      <c r="AS206">
        <v>9.8000000000000007</v>
      </c>
    </row>
    <row r="207" spans="1:45" x14ac:dyDescent="0.3">
      <c r="A207" t="s">
        <v>250</v>
      </c>
      <c r="B207">
        <v>389</v>
      </c>
      <c r="C207">
        <v>16.34</v>
      </c>
      <c r="E207">
        <v>6</v>
      </c>
      <c r="F207">
        <v>167200000</v>
      </c>
      <c r="G207">
        <v>84820000</v>
      </c>
      <c r="H207">
        <v>91200000</v>
      </c>
      <c r="I207">
        <v>38000000</v>
      </c>
      <c r="J207">
        <v>342000000</v>
      </c>
      <c r="K207">
        <v>2900</v>
      </c>
      <c r="L207">
        <v>0.7</v>
      </c>
      <c r="P207">
        <v>829</v>
      </c>
      <c r="Q207">
        <v>174000000</v>
      </c>
      <c r="R207">
        <v>-0.9</v>
      </c>
      <c r="S207">
        <v>14.78</v>
      </c>
      <c r="T207">
        <v>-0.4</v>
      </c>
      <c r="U207">
        <v>4</v>
      </c>
      <c r="V207">
        <v>7000</v>
      </c>
      <c r="X207">
        <v>67000</v>
      </c>
      <c r="Y207">
        <v>73.62</v>
      </c>
      <c r="AG207">
        <v>1250</v>
      </c>
      <c r="AJ207">
        <v>0</v>
      </c>
      <c r="AL207">
        <v>117534</v>
      </c>
      <c r="AP207">
        <v>27300</v>
      </c>
      <c r="AQ207">
        <v>10000</v>
      </c>
      <c r="AR207">
        <v>1.85</v>
      </c>
      <c r="AS207">
        <v>15</v>
      </c>
    </row>
    <row r="208" spans="1:45" x14ac:dyDescent="0.3">
      <c r="A208" t="s">
        <v>251</v>
      </c>
      <c r="B208">
        <v>2944</v>
      </c>
      <c r="C208">
        <v>15.95</v>
      </c>
      <c r="E208">
        <v>6.54</v>
      </c>
      <c r="F208">
        <v>197000000</v>
      </c>
      <c r="G208">
        <v>113500000</v>
      </c>
      <c r="H208">
        <v>122000000</v>
      </c>
      <c r="I208">
        <v>14000000</v>
      </c>
      <c r="J208">
        <v>1000000000</v>
      </c>
      <c r="K208">
        <v>5600</v>
      </c>
      <c r="L208">
        <v>5</v>
      </c>
      <c r="N208">
        <v>3</v>
      </c>
      <c r="O208">
        <v>12</v>
      </c>
      <c r="P208">
        <v>790</v>
      </c>
      <c r="Q208">
        <v>113000000</v>
      </c>
      <c r="R208">
        <v>2.8</v>
      </c>
      <c r="S208">
        <v>27.71</v>
      </c>
      <c r="T208">
        <v>4</v>
      </c>
      <c r="U208">
        <v>8225</v>
      </c>
      <c r="V208">
        <v>4000</v>
      </c>
      <c r="X208">
        <v>90000</v>
      </c>
      <c r="Y208">
        <v>70.72</v>
      </c>
      <c r="AG208">
        <v>1000</v>
      </c>
      <c r="AJ208">
        <v>0</v>
      </c>
      <c r="AL208">
        <v>177287</v>
      </c>
      <c r="AP208">
        <v>11800</v>
      </c>
      <c r="AQ208">
        <v>2700</v>
      </c>
      <c r="AR208">
        <v>3.01</v>
      </c>
    </row>
    <row r="209" spans="1:45" x14ac:dyDescent="0.3">
      <c r="A209" t="s">
        <v>252</v>
      </c>
      <c r="B209">
        <v>61</v>
      </c>
      <c r="C209">
        <v>10.18</v>
      </c>
      <c r="E209">
        <v>8.07</v>
      </c>
      <c r="J209">
        <v>940000000</v>
      </c>
      <c r="K209">
        <v>34600</v>
      </c>
      <c r="L209">
        <v>7.5</v>
      </c>
      <c r="P209">
        <v>220</v>
      </c>
      <c r="R209">
        <v>6</v>
      </c>
      <c r="S209">
        <v>5.73</v>
      </c>
      <c r="T209">
        <v>3.3</v>
      </c>
      <c r="U209">
        <v>1763</v>
      </c>
      <c r="V209">
        <v>14300</v>
      </c>
      <c r="X209">
        <v>18500</v>
      </c>
      <c r="Y209">
        <v>81.62</v>
      </c>
      <c r="Z209">
        <v>700000</v>
      </c>
      <c r="AL209">
        <v>28880</v>
      </c>
      <c r="AP209">
        <v>20600</v>
      </c>
      <c r="AQ209">
        <v>16800</v>
      </c>
      <c r="AR209">
        <v>1.33</v>
      </c>
      <c r="AS209">
        <v>2.6</v>
      </c>
    </row>
    <row r="210" spans="1:45" x14ac:dyDescent="0.3">
      <c r="A210" t="s">
        <v>253</v>
      </c>
      <c r="B210">
        <v>1001</v>
      </c>
      <c r="C210">
        <v>40.799999999999997</v>
      </c>
      <c r="D210">
        <v>-31500000</v>
      </c>
      <c r="E210">
        <v>6.68</v>
      </c>
      <c r="F210">
        <v>318000000</v>
      </c>
      <c r="G210">
        <v>15810000</v>
      </c>
      <c r="H210">
        <v>17000000</v>
      </c>
      <c r="I210">
        <v>6700000</v>
      </c>
      <c r="J210">
        <v>214000000</v>
      </c>
      <c r="K210">
        <v>1200</v>
      </c>
      <c r="L210">
        <v>6</v>
      </c>
      <c r="P210">
        <v>320</v>
      </c>
      <c r="Q210">
        <v>41000000</v>
      </c>
      <c r="S210">
        <v>43.11</v>
      </c>
      <c r="T210">
        <v>14</v>
      </c>
      <c r="U210">
        <v>1069</v>
      </c>
      <c r="V210">
        <v>15000</v>
      </c>
      <c r="W210">
        <v>31.5</v>
      </c>
      <c r="Y210">
        <v>66.989999999999995</v>
      </c>
      <c r="Z210">
        <v>700000</v>
      </c>
      <c r="AA210">
        <v>0.8</v>
      </c>
      <c r="AG210">
        <v>700</v>
      </c>
      <c r="AJ210">
        <v>0</v>
      </c>
      <c r="AL210">
        <v>187410</v>
      </c>
      <c r="AO210">
        <v>29780000</v>
      </c>
      <c r="AP210">
        <v>7000</v>
      </c>
      <c r="AQ210">
        <v>4800</v>
      </c>
      <c r="AR210">
        <v>5.71</v>
      </c>
    </row>
    <row r="211" spans="1:45" x14ac:dyDescent="0.3">
      <c r="A211" t="s">
        <v>254</v>
      </c>
      <c r="B211">
        <v>1960582</v>
      </c>
      <c r="C211">
        <v>29.56</v>
      </c>
      <c r="D211">
        <v>51500000000</v>
      </c>
      <c r="E211">
        <v>2.62</v>
      </c>
      <c r="F211">
        <v>34350000000</v>
      </c>
      <c r="G211">
        <v>128500000000</v>
      </c>
      <c r="H211">
        <v>138200000000</v>
      </c>
      <c r="I211">
        <v>113000000000</v>
      </c>
      <c r="J211">
        <v>310200000000</v>
      </c>
      <c r="K211">
        <v>12000</v>
      </c>
      <c r="L211">
        <v>5</v>
      </c>
      <c r="M211">
        <v>0.01</v>
      </c>
      <c r="P211">
        <v>152044</v>
      </c>
      <c r="Q211">
        <v>36210000000</v>
      </c>
      <c r="R211">
        <v>2.8</v>
      </c>
      <c r="S211">
        <v>13.24</v>
      </c>
      <c r="T211">
        <v>0.8</v>
      </c>
      <c r="U211">
        <v>15931</v>
      </c>
      <c r="V211">
        <v>1500000</v>
      </c>
      <c r="W211">
        <v>17.2</v>
      </c>
      <c r="X211">
        <v>6620000</v>
      </c>
      <c r="Y211">
        <v>75.459999999999994</v>
      </c>
      <c r="Z211">
        <v>18000000000</v>
      </c>
      <c r="AA211">
        <v>10</v>
      </c>
      <c r="AB211">
        <v>56400000000</v>
      </c>
      <c r="AC211">
        <v>0</v>
      </c>
      <c r="AD211">
        <v>0</v>
      </c>
      <c r="AE211">
        <v>56400000000</v>
      </c>
      <c r="AF211">
        <v>6339000000000</v>
      </c>
      <c r="AG211">
        <v>1550000</v>
      </c>
      <c r="AH211">
        <v>7920000</v>
      </c>
      <c r="AI211">
        <v>0</v>
      </c>
      <c r="AJ211">
        <v>9021000</v>
      </c>
      <c r="AK211">
        <v>261700000000</v>
      </c>
      <c r="AL211">
        <v>26417599</v>
      </c>
      <c r="AM211">
        <v>75</v>
      </c>
      <c r="AN211">
        <v>1392</v>
      </c>
      <c r="AO211">
        <v>23620000000</v>
      </c>
      <c r="AP211">
        <v>3502600</v>
      </c>
      <c r="AQ211">
        <v>7238200</v>
      </c>
      <c r="AR211">
        <v>4.05</v>
      </c>
      <c r="AS211">
        <v>25</v>
      </c>
    </row>
    <row r="212" spans="1:45" x14ac:dyDescent="0.3">
      <c r="A212" t="s">
        <v>255</v>
      </c>
      <c r="B212">
        <v>196190</v>
      </c>
      <c r="C212">
        <v>35.21</v>
      </c>
      <c r="D212">
        <v>-518800000</v>
      </c>
      <c r="E212">
        <v>10.6</v>
      </c>
      <c r="F212">
        <v>3476000000</v>
      </c>
      <c r="G212">
        <v>1615000000</v>
      </c>
      <c r="H212">
        <v>1737000000</v>
      </c>
      <c r="I212">
        <v>1374000000</v>
      </c>
      <c r="J212">
        <v>18360000000</v>
      </c>
      <c r="K212">
        <v>1700</v>
      </c>
      <c r="L212">
        <v>3.2</v>
      </c>
      <c r="M212">
        <v>0.8</v>
      </c>
      <c r="N212">
        <v>3500</v>
      </c>
      <c r="O212">
        <v>44000</v>
      </c>
      <c r="P212">
        <v>14576</v>
      </c>
      <c r="Q212">
        <v>2128000000</v>
      </c>
      <c r="R212">
        <v>4.7</v>
      </c>
      <c r="S212">
        <v>55.51</v>
      </c>
      <c r="T212">
        <v>0.8</v>
      </c>
      <c r="U212">
        <v>672</v>
      </c>
      <c r="V212">
        <v>225000</v>
      </c>
      <c r="W212">
        <v>20.100000000000001</v>
      </c>
      <c r="X212">
        <v>4650000</v>
      </c>
      <c r="Y212">
        <v>56.75</v>
      </c>
      <c r="Z212">
        <v>107300000</v>
      </c>
      <c r="AA212">
        <v>1.5</v>
      </c>
      <c r="AB212">
        <v>50000000</v>
      </c>
      <c r="AC212">
        <v>0</v>
      </c>
      <c r="AD212">
        <v>0</v>
      </c>
      <c r="AE212">
        <v>50000000</v>
      </c>
      <c r="AG212">
        <v>31000</v>
      </c>
      <c r="AJ212">
        <v>0</v>
      </c>
      <c r="AL212">
        <v>11126832</v>
      </c>
      <c r="AM212">
        <v>55.2</v>
      </c>
      <c r="AN212">
        <v>906</v>
      </c>
      <c r="AO212">
        <v>820000000</v>
      </c>
      <c r="AP212">
        <v>228800</v>
      </c>
      <c r="AQ212">
        <v>575900</v>
      </c>
      <c r="AR212">
        <v>4.75</v>
      </c>
      <c r="AS212">
        <v>48</v>
      </c>
    </row>
    <row r="213" spans="1:45" x14ac:dyDescent="0.3">
      <c r="A213" t="s">
        <v>256</v>
      </c>
      <c r="B213">
        <v>102350</v>
      </c>
      <c r="C213">
        <v>12.12</v>
      </c>
      <c r="D213">
        <v>-3008000000</v>
      </c>
      <c r="E213">
        <v>10.49</v>
      </c>
      <c r="F213">
        <v>12970000000</v>
      </c>
      <c r="G213">
        <v>32330000000</v>
      </c>
      <c r="H213">
        <v>31640000000</v>
      </c>
      <c r="I213">
        <v>3245000000</v>
      </c>
      <c r="J213">
        <v>26270000000</v>
      </c>
      <c r="K213">
        <v>2400</v>
      </c>
      <c r="L213">
        <v>6.5</v>
      </c>
      <c r="M213">
        <v>0.2</v>
      </c>
      <c r="N213">
        <v>100</v>
      </c>
      <c r="O213">
        <v>10000</v>
      </c>
      <c r="P213">
        <v>45290</v>
      </c>
      <c r="Q213">
        <v>9538000000</v>
      </c>
      <c r="R213">
        <v>1.7</v>
      </c>
      <c r="S213">
        <v>12.89</v>
      </c>
      <c r="T213">
        <v>8.8000000000000007</v>
      </c>
      <c r="U213">
        <v>20207</v>
      </c>
      <c r="V213">
        <v>847000</v>
      </c>
      <c r="W213">
        <v>14.4</v>
      </c>
      <c r="X213">
        <v>3200000</v>
      </c>
      <c r="Y213">
        <v>74.73</v>
      </c>
      <c r="Z213">
        <v>654000000</v>
      </c>
      <c r="AB213">
        <v>602000000</v>
      </c>
      <c r="AC213">
        <v>0</v>
      </c>
      <c r="AD213">
        <v>0</v>
      </c>
      <c r="AE213">
        <v>602000000</v>
      </c>
      <c r="AF213">
        <v>24070000000</v>
      </c>
      <c r="AG213">
        <v>64000</v>
      </c>
      <c r="AJ213">
        <v>15000</v>
      </c>
      <c r="AK213">
        <v>38750000</v>
      </c>
      <c r="AL213">
        <v>10829175</v>
      </c>
      <c r="AM213">
        <v>80</v>
      </c>
      <c r="AN213">
        <v>4380</v>
      </c>
      <c r="AO213">
        <v>3550000000</v>
      </c>
      <c r="AP213">
        <v>2611700</v>
      </c>
      <c r="AQ213">
        <v>3634600</v>
      </c>
      <c r="AR213">
        <v>1.67</v>
      </c>
      <c r="AS213">
        <v>30</v>
      </c>
    </row>
    <row r="214" spans="1:45" x14ac:dyDescent="0.3">
      <c r="A214" t="s">
        <v>257</v>
      </c>
      <c r="B214">
        <v>455</v>
      </c>
      <c r="C214">
        <v>16.22</v>
      </c>
      <c r="D214">
        <v>-98420000</v>
      </c>
      <c r="E214">
        <v>6.34</v>
      </c>
      <c r="F214">
        <v>218100000</v>
      </c>
      <c r="G214">
        <v>202800000</v>
      </c>
      <c r="H214">
        <v>218000000</v>
      </c>
      <c r="I214">
        <v>256200000</v>
      </c>
      <c r="J214">
        <v>626000000</v>
      </c>
      <c r="K214">
        <v>7800</v>
      </c>
      <c r="L214">
        <v>1.5</v>
      </c>
      <c r="P214">
        <v>373</v>
      </c>
      <c r="Q214">
        <v>393400000</v>
      </c>
      <c r="S214">
        <v>15.53</v>
      </c>
      <c r="T214">
        <v>5</v>
      </c>
      <c r="U214">
        <v>264</v>
      </c>
      <c r="V214">
        <v>11700</v>
      </c>
      <c r="W214">
        <v>39.5</v>
      </c>
      <c r="X214">
        <v>30900</v>
      </c>
      <c r="Y214">
        <v>71.819999999999993</v>
      </c>
      <c r="Z214">
        <v>12300000</v>
      </c>
      <c r="AA214">
        <v>1.8</v>
      </c>
      <c r="AG214">
        <v>4000</v>
      </c>
      <c r="AJ214">
        <v>0</v>
      </c>
      <c r="AL214">
        <v>81188</v>
      </c>
      <c r="AM214">
        <v>122.8</v>
      </c>
      <c r="AO214">
        <v>70940000</v>
      </c>
      <c r="AP214">
        <v>21700</v>
      </c>
      <c r="AQ214">
        <v>54500</v>
      </c>
      <c r="AR214">
        <v>1.75</v>
      </c>
    </row>
    <row r="215" spans="1:45" x14ac:dyDescent="0.3">
      <c r="A215" t="s">
        <v>258</v>
      </c>
      <c r="B215">
        <v>71740</v>
      </c>
      <c r="C215">
        <v>42.84</v>
      </c>
      <c r="E215">
        <v>20.61</v>
      </c>
      <c r="F215">
        <v>1500000000</v>
      </c>
      <c r="G215">
        <v>237400000</v>
      </c>
      <c r="H215">
        <v>255300000</v>
      </c>
      <c r="I215">
        <v>49000000</v>
      </c>
      <c r="J215">
        <v>3335000000</v>
      </c>
      <c r="K215">
        <v>600</v>
      </c>
      <c r="L215">
        <v>6</v>
      </c>
      <c r="M215">
        <v>7</v>
      </c>
      <c r="N215">
        <v>11000</v>
      </c>
      <c r="O215">
        <v>170000</v>
      </c>
      <c r="P215">
        <v>11300</v>
      </c>
      <c r="Q215">
        <v>264000000</v>
      </c>
      <c r="S215">
        <v>143.63999999999999</v>
      </c>
      <c r="T215">
        <v>1</v>
      </c>
      <c r="U215">
        <v>277</v>
      </c>
      <c r="V215">
        <v>8000</v>
      </c>
      <c r="X215">
        <v>1369000</v>
      </c>
      <c r="Y215">
        <v>42.52</v>
      </c>
      <c r="Z215">
        <v>13200000</v>
      </c>
      <c r="AA215">
        <v>1.7</v>
      </c>
      <c r="AG215">
        <v>6500</v>
      </c>
      <c r="AJ215">
        <v>0</v>
      </c>
      <c r="AL215">
        <v>6017643</v>
      </c>
      <c r="AP215">
        <v>24000</v>
      </c>
      <c r="AQ215">
        <v>67000</v>
      </c>
      <c r="AR215">
        <v>5.72</v>
      </c>
    </row>
    <row r="216" spans="1:45" x14ac:dyDescent="0.3">
      <c r="A216" t="s">
        <v>259</v>
      </c>
      <c r="B216">
        <v>693</v>
      </c>
      <c r="C216">
        <v>9.49</v>
      </c>
      <c r="D216">
        <v>8800000000</v>
      </c>
      <c r="E216">
        <v>4.16</v>
      </c>
      <c r="F216">
        <v>19400000000</v>
      </c>
      <c r="G216">
        <v>32000000000</v>
      </c>
      <c r="H216">
        <v>35330000000</v>
      </c>
      <c r="I216">
        <v>174000000000</v>
      </c>
      <c r="J216">
        <v>120900000000</v>
      </c>
      <c r="K216">
        <v>27800</v>
      </c>
      <c r="L216">
        <v>8.1</v>
      </c>
      <c r="M216">
        <v>0.2</v>
      </c>
      <c r="N216">
        <v>200</v>
      </c>
      <c r="O216">
        <v>4100</v>
      </c>
      <c r="P216">
        <v>3130</v>
      </c>
      <c r="Q216">
        <v>155200000000</v>
      </c>
      <c r="R216">
        <v>11.1</v>
      </c>
      <c r="S216">
        <v>2.29</v>
      </c>
      <c r="T216">
        <v>1.7</v>
      </c>
      <c r="U216">
        <v>484825</v>
      </c>
      <c r="V216">
        <v>2310000</v>
      </c>
      <c r="W216">
        <v>27.4</v>
      </c>
      <c r="X216">
        <v>2180000</v>
      </c>
      <c r="Y216">
        <v>81.62</v>
      </c>
      <c r="Z216">
        <v>4470000000</v>
      </c>
      <c r="AA216">
        <v>4.9000000000000004</v>
      </c>
      <c r="AB216">
        <v>2500000000</v>
      </c>
      <c r="AC216">
        <v>0</v>
      </c>
      <c r="AD216">
        <v>2500000000</v>
      </c>
      <c r="AE216">
        <v>0</v>
      </c>
      <c r="AG216">
        <v>700000</v>
      </c>
      <c r="AJ216">
        <v>0</v>
      </c>
      <c r="AL216">
        <v>4425720</v>
      </c>
      <c r="AM216">
        <v>102.5</v>
      </c>
      <c r="AO216">
        <v>112800000000</v>
      </c>
      <c r="AP216">
        <v>1896100</v>
      </c>
      <c r="AQ216">
        <v>3521800</v>
      </c>
      <c r="AR216">
        <v>1.05</v>
      </c>
      <c r="AS216">
        <v>3.4</v>
      </c>
    </row>
    <row r="217" spans="1:45" x14ac:dyDescent="0.3">
      <c r="A217" t="s">
        <v>260</v>
      </c>
      <c r="B217">
        <v>48845</v>
      </c>
      <c r="C217">
        <v>10.62</v>
      </c>
      <c r="D217">
        <v>-1400000000</v>
      </c>
      <c r="E217">
        <v>9.43</v>
      </c>
      <c r="F217">
        <v>19540000000</v>
      </c>
      <c r="G217">
        <v>28890000000</v>
      </c>
      <c r="H217">
        <v>31150000000</v>
      </c>
      <c r="I217">
        <v>29240000000</v>
      </c>
      <c r="J217">
        <v>78890000000</v>
      </c>
      <c r="K217">
        <v>14500</v>
      </c>
      <c r="L217">
        <v>5.3</v>
      </c>
      <c r="M217">
        <v>0.1</v>
      </c>
      <c r="N217">
        <v>100</v>
      </c>
      <c r="O217">
        <v>200</v>
      </c>
      <c r="P217">
        <v>42970</v>
      </c>
      <c r="Q217">
        <v>29670000000</v>
      </c>
      <c r="R217">
        <v>5.0999999999999996</v>
      </c>
      <c r="S217">
        <v>7.41</v>
      </c>
      <c r="T217">
        <v>7.5</v>
      </c>
      <c r="U217">
        <v>89592</v>
      </c>
      <c r="V217">
        <v>1375800</v>
      </c>
      <c r="W217">
        <v>24</v>
      </c>
      <c r="X217">
        <v>2200000</v>
      </c>
      <c r="Y217">
        <v>74.5</v>
      </c>
      <c r="Z217">
        <v>406000000</v>
      </c>
      <c r="AA217">
        <v>1.89</v>
      </c>
      <c r="AB217">
        <v>6800000000</v>
      </c>
      <c r="AC217">
        <v>0</v>
      </c>
      <c r="AD217">
        <v>6600000000</v>
      </c>
      <c r="AE217">
        <v>190000000</v>
      </c>
      <c r="AF217">
        <v>7504000000</v>
      </c>
      <c r="AG217">
        <v>82000</v>
      </c>
      <c r="AJ217">
        <v>1000</v>
      </c>
      <c r="AK217">
        <v>4500000</v>
      </c>
      <c r="AL217">
        <v>5431363</v>
      </c>
      <c r="AM217">
        <v>46.6</v>
      </c>
      <c r="AN217">
        <v>3661</v>
      </c>
      <c r="AO217">
        <v>14910000000</v>
      </c>
      <c r="AP217">
        <v>1294700</v>
      </c>
      <c r="AQ217">
        <v>3678800</v>
      </c>
      <c r="AR217">
        <v>1.32</v>
      </c>
      <c r="AS217">
        <v>13.1</v>
      </c>
    </row>
    <row r="218" spans="1:45" x14ac:dyDescent="0.3">
      <c r="A218" t="s">
        <v>261</v>
      </c>
      <c r="B218">
        <v>20273</v>
      </c>
      <c r="C218">
        <v>8.9499999999999993</v>
      </c>
      <c r="D218">
        <v>-51640000</v>
      </c>
      <c r="E218">
        <v>10.220000000000001</v>
      </c>
      <c r="F218">
        <v>14650000000</v>
      </c>
      <c r="G218">
        <v>11800000000</v>
      </c>
      <c r="H218">
        <v>12490000000</v>
      </c>
      <c r="I218">
        <v>14970000000</v>
      </c>
      <c r="J218">
        <v>39410000000</v>
      </c>
      <c r="K218">
        <v>19600</v>
      </c>
      <c r="L218">
        <v>3.9</v>
      </c>
      <c r="M218">
        <v>0.1</v>
      </c>
      <c r="N218">
        <v>100</v>
      </c>
      <c r="O218">
        <v>280</v>
      </c>
      <c r="P218">
        <v>20250</v>
      </c>
      <c r="Q218">
        <v>16070000000</v>
      </c>
      <c r="R218">
        <v>3.9</v>
      </c>
      <c r="S218">
        <v>4.45</v>
      </c>
      <c r="T218">
        <v>3.3</v>
      </c>
      <c r="U218">
        <v>45491</v>
      </c>
      <c r="V218">
        <v>750000</v>
      </c>
      <c r="W218">
        <v>24.9</v>
      </c>
      <c r="X218">
        <v>870000</v>
      </c>
      <c r="Y218">
        <v>76.14</v>
      </c>
      <c r="Z218">
        <v>370000000</v>
      </c>
      <c r="AA218">
        <v>1.7</v>
      </c>
      <c r="AB218">
        <v>1040000000</v>
      </c>
      <c r="AC218">
        <v>0</v>
      </c>
      <c r="AD218">
        <v>1040000000</v>
      </c>
      <c r="AE218">
        <v>0</v>
      </c>
      <c r="AG218">
        <v>53300</v>
      </c>
      <c r="AJ218">
        <v>20</v>
      </c>
      <c r="AL218">
        <v>2011070</v>
      </c>
      <c r="AM218">
        <v>31.5</v>
      </c>
      <c r="AN218">
        <v>1201</v>
      </c>
      <c r="AO218">
        <v>8493000000</v>
      </c>
      <c r="AP218">
        <v>812300</v>
      </c>
      <c r="AQ218">
        <v>1739100</v>
      </c>
      <c r="AR218">
        <v>1.24</v>
      </c>
      <c r="AS218">
        <v>6.4</v>
      </c>
    </row>
    <row r="219" spans="1:45" x14ac:dyDescent="0.3">
      <c r="A219" t="s">
        <v>262</v>
      </c>
      <c r="B219">
        <v>28450</v>
      </c>
      <c r="C219">
        <v>30.74</v>
      </c>
      <c r="E219">
        <v>3.98</v>
      </c>
      <c r="F219">
        <v>180400000</v>
      </c>
      <c r="G219">
        <v>29760000</v>
      </c>
      <c r="H219">
        <v>32000000</v>
      </c>
      <c r="I219">
        <v>74000000</v>
      </c>
      <c r="J219">
        <v>800000000</v>
      </c>
      <c r="K219">
        <v>1700</v>
      </c>
      <c r="L219">
        <v>5.8</v>
      </c>
      <c r="P219">
        <v>1360</v>
      </c>
      <c r="Q219">
        <v>67000000</v>
      </c>
      <c r="S219">
        <v>21.29</v>
      </c>
      <c r="T219">
        <v>10</v>
      </c>
      <c r="U219">
        <v>398</v>
      </c>
      <c r="V219">
        <v>2200</v>
      </c>
      <c r="X219">
        <v>26840</v>
      </c>
      <c r="Y219">
        <v>72.66</v>
      </c>
      <c r="AG219">
        <v>1250</v>
      </c>
      <c r="AJ219">
        <v>0</v>
      </c>
      <c r="AL219">
        <v>538032</v>
      </c>
      <c r="AP219">
        <v>6600</v>
      </c>
      <c r="AQ219">
        <v>1000</v>
      </c>
      <c r="AR219">
        <v>4.04</v>
      </c>
    </row>
    <row r="220" spans="1:45" x14ac:dyDescent="0.3">
      <c r="A220" t="s">
        <v>263</v>
      </c>
      <c r="B220">
        <v>637657</v>
      </c>
      <c r="C220">
        <v>45.62</v>
      </c>
      <c r="E220">
        <v>16.97</v>
      </c>
      <c r="F220">
        <v>3000000000</v>
      </c>
      <c r="G220">
        <v>223500000</v>
      </c>
      <c r="H220">
        <v>240300000</v>
      </c>
      <c r="I220">
        <v>79000000</v>
      </c>
      <c r="J220">
        <v>4597000000</v>
      </c>
      <c r="K220">
        <v>600</v>
      </c>
      <c r="L220">
        <v>2.8</v>
      </c>
      <c r="M220">
        <v>1</v>
      </c>
      <c r="O220">
        <v>43000</v>
      </c>
      <c r="P220">
        <v>22100</v>
      </c>
      <c r="Q220">
        <v>344000000</v>
      </c>
      <c r="S220">
        <v>116.7</v>
      </c>
      <c r="U220">
        <v>4</v>
      </c>
      <c r="V220">
        <v>89000</v>
      </c>
      <c r="X220">
        <v>3700000</v>
      </c>
      <c r="Y220">
        <v>48.09</v>
      </c>
      <c r="Z220">
        <v>18900000</v>
      </c>
      <c r="AA220">
        <v>0.9</v>
      </c>
      <c r="AF220">
        <v>2832000000</v>
      </c>
      <c r="AG220">
        <v>4000</v>
      </c>
      <c r="AJ220">
        <v>0</v>
      </c>
      <c r="AK220">
        <v>0</v>
      </c>
      <c r="AL220">
        <v>8591629</v>
      </c>
      <c r="AP220">
        <v>100000</v>
      </c>
      <c r="AQ220">
        <v>35000</v>
      </c>
      <c r="AR220">
        <v>6.84</v>
      </c>
    </row>
    <row r="221" spans="1:45" x14ac:dyDescent="0.3">
      <c r="A221" t="s">
        <v>264</v>
      </c>
      <c r="B221">
        <v>1219912</v>
      </c>
      <c r="C221">
        <v>18.48</v>
      </c>
      <c r="D221">
        <v>-2480000000</v>
      </c>
      <c r="E221">
        <v>21.32</v>
      </c>
      <c r="F221">
        <v>27010000000</v>
      </c>
      <c r="G221">
        <v>189400000000</v>
      </c>
      <c r="H221">
        <v>202600000000</v>
      </c>
      <c r="I221">
        <v>41970000000</v>
      </c>
      <c r="J221">
        <v>491400000000</v>
      </c>
      <c r="K221">
        <v>11100</v>
      </c>
      <c r="L221">
        <v>3.5</v>
      </c>
      <c r="M221">
        <v>21.5</v>
      </c>
      <c r="N221">
        <v>370000</v>
      </c>
      <c r="O221">
        <v>5300000</v>
      </c>
      <c r="P221">
        <v>275971</v>
      </c>
      <c r="Q221">
        <v>39420000000</v>
      </c>
      <c r="R221">
        <v>5.5</v>
      </c>
      <c r="S221">
        <v>61.81</v>
      </c>
      <c r="T221">
        <v>4.5</v>
      </c>
      <c r="U221">
        <v>288633</v>
      </c>
      <c r="V221">
        <v>3100000</v>
      </c>
      <c r="W221">
        <v>16.7</v>
      </c>
      <c r="X221">
        <v>16630000</v>
      </c>
      <c r="Y221">
        <v>43.27</v>
      </c>
      <c r="Z221">
        <v>3172000000</v>
      </c>
      <c r="AA221">
        <v>1.5</v>
      </c>
      <c r="AB221">
        <v>1800000000</v>
      </c>
      <c r="AC221">
        <v>0</v>
      </c>
      <c r="AD221">
        <v>0</v>
      </c>
      <c r="AE221">
        <v>1800000000</v>
      </c>
      <c r="AF221">
        <v>14160000000</v>
      </c>
      <c r="AG221">
        <v>460000</v>
      </c>
      <c r="AJ221">
        <v>196200</v>
      </c>
      <c r="AK221">
        <v>7840000</v>
      </c>
      <c r="AL221">
        <v>44344136</v>
      </c>
      <c r="AM221">
        <v>45.9</v>
      </c>
      <c r="AN221">
        <v>22298</v>
      </c>
      <c r="AO221">
        <v>11680000000</v>
      </c>
      <c r="AP221">
        <v>4844000</v>
      </c>
      <c r="AQ221">
        <v>16860000</v>
      </c>
      <c r="AR221">
        <v>2.2400000000000002</v>
      </c>
      <c r="AS221">
        <v>26.2</v>
      </c>
    </row>
    <row r="222" spans="1:45" x14ac:dyDescent="0.3">
      <c r="A222" t="s">
        <v>265</v>
      </c>
      <c r="B222">
        <v>3903</v>
      </c>
    </row>
    <row r="223" spans="1:45" x14ac:dyDescent="0.3">
      <c r="A223" t="s">
        <v>266</v>
      </c>
      <c r="B223">
        <v>504782</v>
      </c>
      <c r="C223">
        <v>10.1</v>
      </c>
      <c r="D223">
        <v>-30890000000</v>
      </c>
      <c r="E223">
        <v>9.6300000000000008</v>
      </c>
      <c r="F223">
        <v>771100000000</v>
      </c>
      <c r="G223">
        <v>218400000000</v>
      </c>
      <c r="H223">
        <v>229000000000</v>
      </c>
      <c r="I223">
        <v>172500000000</v>
      </c>
      <c r="J223">
        <v>937600000000</v>
      </c>
      <c r="K223">
        <v>23300</v>
      </c>
      <c r="L223">
        <v>2.6</v>
      </c>
      <c r="M223">
        <v>0.7</v>
      </c>
      <c r="N223">
        <v>1000</v>
      </c>
      <c r="O223">
        <v>140000</v>
      </c>
      <c r="P223">
        <v>664852</v>
      </c>
      <c r="Q223">
        <v>222000000000</v>
      </c>
      <c r="R223">
        <v>3</v>
      </c>
      <c r="S223">
        <v>4.42</v>
      </c>
      <c r="T223">
        <v>3.2</v>
      </c>
      <c r="U223">
        <v>1056950</v>
      </c>
      <c r="V223">
        <v>9789000</v>
      </c>
      <c r="W223">
        <v>25.4</v>
      </c>
      <c r="X223">
        <v>19330000</v>
      </c>
      <c r="Y223">
        <v>79.52</v>
      </c>
      <c r="Z223">
        <v>9906500000</v>
      </c>
      <c r="AA223">
        <v>1.2</v>
      </c>
      <c r="AB223">
        <v>17960000000</v>
      </c>
      <c r="AC223">
        <v>0</v>
      </c>
      <c r="AD223">
        <v>17260000000</v>
      </c>
      <c r="AE223">
        <v>516000000</v>
      </c>
      <c r="AF223">
        <v>254900000</v>
      </c>
      <c r="AG223">
        <v>1497000</v>
      </c>
      <c r="AH223">
        <v>135100</v>
      </c>
      <c r="AI223">
        <v>1582000</v>
      </c>
      <c r="AJ223">
        <v>7099</v>
      </c>
      <c r="AK223">
        <v>10500000</v>
      </c>
      <c r="AL223">
        <v>40341462</v>
      </c>
      <c r="AM223">
        <v>53.2</v>
      </c>
      <c r="AN223">
        <v>14268</v>
      </c>
      <c r="AO223">
        <v>19700000000</v>
      </c>
      <c r="AP223">
        <v>17567500</v>
      </c>
      <c r="AQ223">
        <v>37506700</v>
      </c>
      <c r="AR223">
        <v>1.28</v>
      </c>
      <c r="AS223">
        <v>10.4</v>
      </c>
    </row>
    <row r="224" spans="1:45" x14ac:dyDescent="0.3">
      <c r="A224" t="s">
        <v>267</v>
      </c>
      <c r="B224">
        <v>5</v>
      </c>
    </row>
    <row r="225" spans="1:45" x14ac:dyDescent="0.3">
      <c r="A225" t="s">
        <v>268</v>
      </c>
      <c r="B225">
        <v>65610</v>
      </c>
      <c r="C225">
        <v>15.63</v>
      </c>
      <c r="D225">
        <v>-587300000</v>
      </c>
      <c r="E225">
        <v>6.49</v>
      </c>
      <c r="F225">
        <v>10850000000</v>
      </c>
      <c r="G225">
        <v>6228000000</v>
      </c>
      <c r="H225">
        <v>6697000000</v>
      </c>
      <c r="I225">
        <v>5306000000</v>
      </c>
      <c r="J225">
        <v>80580000000</v>
      </c>
      <c r="K225">
        <v>4000</v>
      </c>
      <c r="L225">
        <v>5.2</v>
      </c>
      <c r="M225">
        <v>0.1</v>
      </c>
      <c r="N225">
        <v>200</v>
      </c>
      <c r="O225">
        <v>3500</v>
      </c>
      <c r="P225">
        <v>11650</v>
      </c>
      <c r="Q225">
        <v>7265000000</v>
      </c>
      <c r="R225">
        <v>7.1</v>
      </c>
      <c r="S225">
        <v>14.35</v>
      </c>
      <c r="T225">
        <v>5.8</v>
      </c>
      <c r="U225">
        <v>1882</v>
      </c>
      <c r="V225">
        <v>200000</v>
      </c>
      <c r="W225">
        <v>22.4</v>
      </c>
      <c r="X225">
        <v>7260000</v>
      </c>
      <c r="Y225">
        <v>73.17</v>
      </c>
      <c r="Z225">
        <v>514800000</v>
      </c>
      <c r="AA225">
        <v>2.6</v>
      </c>
      <c r="AG225">
        <v>75000</v>
      </c>
      <c r="AJ225">
        <v>0</v>
      </c>
      <c r="AL225">
        <v>20064776</v>
      </c>
      <c r="AM225">
        <v>104.3</v>
      </c>
      <c r="AN225">
        <v>1449</v>
      </c>
      <c r="AO225">
        <v>2475000000</v>
      </c>
      <c r="AP225">
        <v>881400</v>
      </c>
      <c r="AQ225">
        <v>931600</v>
      </c>
      <c r="AR225">
        <v>1.85</v>
      </c>
      <c r="AS225">
        <v>7.8</v>
      </c>
    </row>
    <row r="226" spans="1:45" x14ac:dyDescent="0.3">
      <c r="A226" t="s">
        <v>269</v>
      </c>
      <c r="B226">
        <v>2505810</v>
      </c>
      <c r="C226">
        <v>35.17</v>
      </c>
      <c r="D226">
        <v>-763600000</v>
      </c>
      <c r="E226">
        <v>9.16</v>
      </c>
      <c r="F226">
        <v>21000000000</v>
      </c>
      <c r="G226">
        <v>2400000000</v>
      </c>
      <c r="H226">
        <v>2581000000</v>
      </c>
      <c r="I226">
        <v>3395000000</v>
      </c>
      <c r="J226">
        <v>76190000000</v>
      </c>
      <c r="K226">
        <v>1900</v>
      </c>
      <c r="L226">
        <v>6.4</v>
      </c>
      <c r="M226">
        <v>2.2999999999999998</v>
      </c>
      <c r="N226">
        <v>23000</v>
      </c>
      <c r="O226">
        <v>400000</v>
      </c>
      <c r="P226">
        <v>11900</v>
      </c>
      <c r="Q226">
        <v>3496000000</v>
      </c>
      <c r="R226">
        <v>8.5</v>
      </c>
      <c r="S226">
        <v>62.5</v>
      </c>
      <c r="T226">
        <v>9</v>
      </c>
      <c r="V226">
        <v>300000</v>
      </c>
      <c r="W226">
        <v>16</v>
      </c>
      <c r="X226">
        <v>11000000</v>
      </c>
      <c r="Y226">
        <v>58.54</v>
      </c>
      <c r="Z226">
        <v>587000000</v>
      </c>
      <c r="AA226">
        <v>3</v>
      </c>
      <c r="AF226">
        <v>99110000000</v>
      </c>
      <c r="AG226">
        <v>70000</v>
      </c>
      <c r="AH226">
        <v>275000</v>
      </c>
      <c r="AI226">
        <v>0</v>
      </c>
      <c r="AJ226">
        <v>345000</v>
      </c>
      <c r="AK226">
        <v>1600000000</v>
      </c>
      <c r="AL226">
        <v>40187486</v>
      </c>
      <c r="AM226">
        <v>79.7</v>
      </c>
      <c r="AN226">
        <v>5995</v>
      </c>
      <c r="AO226">
        <v>1652000000</v>
      </c>
      <c r="AP226">
        <v>900000</v>
      </c>
      <c r="AQ226">
        <v>650000</v>
      </c>
      <c r="AR226">
        <v>4.8499999999999996</v>
      </c>
      <c r="AS226">
        <v>18.7</v>
      </c>
    </row>
    <row r="227" spans="1:45" x14ac:dyDescent="0.3">
      <c r="A227" t="s">
        <v>270</v>
      </c>
      <c r="B227">
        <v>163270</v>
      </c>
      <c r="C227">
        <v>18.39</v>
      </c>
      <c r="E227">
        <v>7.16</v>
      </c>
      <c r="F227">
        <v>321000000</v>
      </c>
      <c r="G227">
        <v>1845000000</v>
      </c>
      <c r="H227">
        <v>1984000000</v>
      </c>
      <c r="I227">
        <v>495000000</v>
      </c>
      <c r="J227">
        <v>1885000000</v>
      </c>
      <c r="K227">
        <v>4300</v>
      </c>
      <c r="L227">
        <v>4.2</v>
      </c>
      <c r="M227">
        <v>1.7</v>
      </c>
      <c r="N227">
        <v>500</v>
      </c>
      <c r="O227">
        <v>5200</v>
      </c>
      <c r="P227">
        <v>4492</v>
      </c>
      <c r="Q227">
        <v>604000000</v>
      </c>
      <c r="R227">
        <v>6.5</v>
      </c>
      <c r="S227">
        <v>23.57</v>
      </c>
      <c r="T227">
        <v>23</v>
      </c>
      <c r="U227">
        <v>18</v>
      </c>
      <c r="V227">
        <v>20000</v>
      </c>
      <c r="X227">
        <v>104000</v>
      </c>
      <c r="Y227">
        <v>68.959999999999994</v>
      </c>
      <c r="Z227">
        <v>7500000</v>
      </c>
      <c r="AA227">
        <v>0.7</v>
      </c>
      <c r="AF227">
        <v>0</v>
      </c>
      <c r="AG227">
        <v>14000</v>
      </c>
      <c r="AH227">
        <v>1370</v>
      </c>
      <c r="AI227">
        <v>1644</v>
      </c>
      <c r="AJ227">
        <v>12000</v>
      </c>
      <c r="AK227">
        <v>99000000</v>
      </c>
      <c r="AL227">
        <v>438144</v>
      </c>
      <c r="AP227">
        <v>79800</v>
      </c>
      <c r="AQ227">
        <v>168100</v>
      </c>
      <c r="AR227">
        <v>2.34</v>
      </c>
      <c r="AS227">
        <v>17</v>
      </c>
    </row>
    <row r="228" spans="1:45" x14ac:dyDescent="0.3">
      <c r="A228" t="s">
        <v>271</v>
      </c>
      <c r="B228">
        <v>62049</v>
      </c>
      <c r="M228">
        <v>0</v>
      </c>
      <c r="N228">
        <v>0</v>
      </c>
      <c r="O228">
        <v>0</v>
      </c>
      <c r="AL228">
        <v>2701</v>
      </c>
    </row>
    <row r="229" spans="1:45" x14ac:dyDescent="0.3">
      <c r="A229" t="s">
        <v>272</v>
      </c>
      <c r="B229">
        <v>17363</v>
      </c>
      <c r="C229">
        <v>27.72</v>
      </c>
      <c r="D229">
        <v>-82400000</v>
      </c>
      <c r="E229">
        <v>25.26</v>
      </c>
      <c r="F229">
        <v>320000000</v>
      </c>
      <c r="G229">
        <v>1173000000</v>
      </c>
      <c r="H229">
        <v>402000000</v>
      </c>
      <c r="I229">
        <v>900100000</v>
      </c>
      <c r="J229">
        <v>6018000000</v>
      </c>
      <c r="K229">
        <v>5100</v>
      </c>
      <c r="L229">
        <v>2.5</v>
      </c>
      <c r="M229">
        <v>38.799999999999997</v>
      </c>
      <c r="N229">
        <v>17000</v>
      </c>
      <c r="O229">
        <v>220000</v>
      </c>
      <c r="P229">
        <v>3107</v>
      </c>
      <c r="Q229">
        <v>1140000000</v>
      </c>
      <c r="R229">
        <v>3.7</v>
      </c>
      <c r="S229">
        <v>69.27</v>
      </c>
      <c r="T229">
        <v>5.4</v>
      </c>
      <c r="U229">
        <v>1401</v>
      </c>
      <c r="V229">
        <v>27000</v>
      </c>
      <c r="W229">
        <v>23.6</v>
      </c>
      <c r="X229">
        <v>383200</v>
      </c>
      <c r="Y229">
        <v>35.65</v>
      </c>
      <c r="Z229">
        <v>40500000</v>
      </c>
      <c r="AA229">
        <v>1.4</v>
      </c>
      <c r="AG229">
        <v>3500</v>
      </c>
      <c r="AJ229">
        <v>0</v>
      </c>
      <c r="AL229">
        <v>1173900</v>
      </c>
      <c r="AN229">
        <v>301</v>
      </c>
      <c r="AO229">
        <v>320500000</v>
      </c>
      <c r="AP229">
        <v>46200</v>
      </c>
      <c r="AQ229">
        <v>88000</v>
      </c>
      <c r="AR229">
        <v>3.7</v>
      </c>
      <c r="AS229">
        <v>34</v>
      </c>
    </row>
    <row r="230" spans="1:45" x14ac:dyDescent="0.3">
      <c r="A230" t="s">
        <v>273</v>
      </c>
      <c r="B230">
        <v>449964</v>
      </c>
      <c r="C230">
        <v>10.36</v>
      </c>
      <c r="D230">
        <v>24080000000</v>
      </c>
      <c r="E230">
        <v>10.36</v>
      </c>
      <c r="F230">
        <v>66500000000</v>
      </c>
      <c r="G230">
        <v>138100000000</v>
      </c>
      <c r="H230">
        <v>142800000000</v>
      </c>
      <c r="I230">
        <v>121700000000</v>
      </c>
      <c r="J230">
        <v>255400000000</v>
      </c>
      <c r="K230">
        <v>28400</v>
      </c>
      <c r="L230">
        <v>3.6</v>
      </c>
      <c r="M230">
        <v>0.1</v>
      </c>
      <c r="N230">
        <v>100</v>
      </c>
      <c r="O230">
        <v>3600</v>
      </c>
      <c r="P230">
        <v>213237</v>
      </c>
      <c r="Q230">
        <v>97970000000</v>
      </c>
      <c r="R230">
        <v>5.5</v>
      </c>
      <c r="S230">
        <v>2.77</v>
      </c>
      <c r="T230">
        <v>0.7</v>
      </c>
      <c r="U230">
        <v>945221</v>
      </c>
      <c r="V230">
        <v>5125000</v>
      </c>
      <c r="W230">
        <v>15.8</v>
      </c>
      <c r="X230">
        <v>4460000</v>
      </c>
      <c r="Y230">
        <v>80.400000000000006</v>
      </c>
      <c r="Z230">
        <v>5729000000</v>
      </c>
      <c r="AA230">
        <v>1.7</v>
      </c>
      <c r="AB230">
        <v>949000000</v>
      </c>
      <c r="AC230">
        <v>0</v>
      </c>
      <c r="AD230">
        <v>968000000</v>
      </c>
      <c r="AE230">
        <v>0</v>
      </c>
      <c r="AG230">
        <v>328600</v>
      </c>
      <c r="AH230">
        <v>203700</v>
      </c>
      <c r="AI230">
        <v>553100</v>
      </c>
      <c r="AJ230">
        <v>0</v>
      </c>
      <c r="AL230">
        <v>9001774</v>
      </c>
      <c r="AM230">
        <v>51.6</v>
      </c>
      <c r="AN230">
        <v>11481</v>
      </c>
      <c r="AO230">
        <v>19990000000</v>
      </c>
      <c r="AP230">
        <v>6579200</v>
      </c>
      <c r="AQ230">
        <v>7949000</v>
      </c>
      <c r="AR230">
        <v>1.66</v>
      </c>
      <c r="AS230">
        <v>5.6</v>
      </c>
    </row>
    <row r="231" spans="1:45" x14ac:dyDescent="0.3">
      <c r="A231" t="s">
        <v>274</v>
      </c>
      <c r="B231">
        <v>41290</v>
      </c>
      <c r="C231">
        <v>9.77</v>
      </c>
      <c r="D231">
        <v>40950000000</v>
      </c>
      <c r="E231">
        <v>8.48</v>
      </c>
      <c r="G231">
        <v>54530000000</v>
      </c>
      <c r="H231">
        <v>63470000000</v>
      </c>
      <c r="I231">
        <v>130700000000</v>
      </c>
      <c r="J231">
        <v>251900000000</v>
      </c>
      <c r="K231">
        <v>33800</v>
      </c>
      <c r="L231">
        <v>1.8</v>
      </c>
      <c r="M231">
        <v>0.4</v>
      </c>
      <c r="N231">
        <v>100</v>
      </c>
      <c r="O231">
        <v>13000</v>
      </c>
      <c r="P231">
        <v>71212</v>
      </c>
      <c r="Q231">
        <v>121100000000</v>
      </c>
      <c r="R231">
        <v>4.7</v>
      </c>
      <c r="S231">
        <v>4.3899999999999997</v>
      </c>
      <c r="T231">
        <v>0.9</v>
      </c>
      <c r="U231">
        <v>667275</v>
      </c>
      <c r="V231">
        <v>2556000</v>
      </c>
      <c r="W231">
        <v>20.399999999999999</v>
      </c>
      <c r="X231">
        <v>3770000</v>
      </c>
      <c r="Y231">
        <v>80.39</v>
      </c>
      <c r="Z231">
        <v>2548000000</v>
      </c>
      <c r="AA231">
        <v>1</v>
      </c>
      <c r="AB231">
        <v>3093000000</v>
      </c>
      <c r="AC231">
        <v>0</v>
      </c>
      <c r="AD231">
        <v>3093000000</v>
      </c>
      <c r="AE231">
        <v>0</v>
      </c>
      <c r="AG231">
        <v>290400</v>
      </c>
      <c r="AH231">
        <v>10420</v>
      </c>
      <c r="AI231">
        <v>289500</v>
      </c>
      <c r="AJ231">
        <v>0</v>
      </c>
      <c r="AL231">
        <v>7489370</v>
      </c>
      <c r="AM231">
        <v>57.2</v>
      </c>
      <c r="AN231">
        <v>4533</v>
      </c>
      <c r="AO231">
        <v>69580000000</v>
      </c>
      <c r="AP231">
        <v>5419000</v>
      </c>
      <c r="AQ231">
        <v>6172000</v>
      </c>
      <c r="AR231">
        <v>1.42</v>
      </c>
      <c r="AS231">
        <v>3.4</v>
      </c>
    </row>
    <row r="232" spans="1:45" x14ac:dyDescent="0.3">
      <c r="A232" t="s">
        <v>275</v>
      </c>
      <c r="B232">
        <v>185180</v>
      </c>
      <c r="C232">
        <v>28.29</v>
      </c>
      <c r="D232">
        <v>1100000000</v>
      </c>
      <c r="E232">
        <v>4.88</v>
      </c>
      <c r="F232">
        <v>4000000000</v>
      </c>
      <c r="G232">
        <v>24320000000</v>
      </c>
      <c r="H232">
        <v>26150000000</v>
      </c>
      <c r="I232">
        <v>6086000000</v>
      </c>
      <c r="J232">
        <v>60440000000</v>
      </c>
      <c r="K232">
        <v>3400</v>
      </c>
      <c r="L232">
        <v>2.2999999999999998</v>
      </c>
      <c r="M232">
        <v>0.1</v>
      </c>
      <c r="N232">
        <v>200</v>
      </c>
      <c r="O232">
        <v>500</v>
      </c>
      <c r="P232">
        <v>45697</v>
      </c>
      <c r="Q232">
        <v>5042000000</v>
      </c>
      <c r="R232">
        <v>7</v>
      </c>
      <c r="S232">
        <v>29.53</v>
      </c>
      <c r="T232">
        <v>2.1</v>
      </c>
      <c r="U232">
        <v>11</v>
      </c>
      <c r="V232">
        <v>220000</v>
      </c>
      <c r="W232">
        <v>16.3</v>
      </c>
      <c r="X232">
        <v>5120000</v>
      </c>
      <c r="Y232">
        <v>70.03</v>
      </c>
      <c r="Z232">
        <v>858000000</v>
      </c>
      <c r="AA232">
        <v>5.9</v>
      </c>
      <c r="AB232">
        <v>5840000000</v>
      </c>
      <c r="AC232">
        <v>0</v>
      </c>
      <c r="AD232">
        <v>0</v>
      </c>
      <c r="AE232">
        <v>5840000000</v>
      </c>
      <c r="AF232">
        <v>240700000000</v>
      </c>
      <c r="AG232">
        <v>240000</v>
      </c>
      <c r="AH232">
        <v>285000</v>
      </c>
      <c r="AJ232">
        <v>525000</v>
      </c>
      <c r="AK232">
        <v>2500000000</v>
      </c>
      <c r="AL232">
        <v>18448752</v>
      </c>
      <c r="AM232">
        <v>32</v>
      </c>
      <c r="AN232">
        <v>2711</v>
      </c>
      <c r="AO232">
        <v>5000000000</v>
      </c>
      <c r="AP232">
        <v>2099300</v>
      </c>
      <c r="AQ232">
        <v>400000</v>
      </c>
      <c r="AR232">
        <v>3.5</v>
      </c>
      <c r="AS232">
        <v>20</v>
      </c>
    </row>
    <row r="233" spans="1:45" x14ac:dyDescent="0.3">
      <c r="A233" t="s">
        <v>276</v>
      </c>
      <c r="B233">
        <v>35980</v>
      </c>
      <c r="C233">
        <v>12.64</v>
      </c>
      <c r="D233">
        <v>21160000000</v>
      </c>
      <c r="E233">
        <v>6.38</v>
      </c>
      <c r="F233">
        <v>55500000000</v>
      </c>
      <c r="G233">
        <v>147400000000</v>
      </c>
      <c r="H233">
        <v>158500000000</v>
      </c>
      <c r="I233">
        <v>170500000000</v>
      </c>
      <c r="J233">
        <v>576200000000</v>
      </c>
      <c r="K233">
        <v>25300</v>
      </c>
      <c r="L233">
        <v>6</v>
      </c>
      <c r="P233">
        <v>37299</v>
      </c>
      <c r="Q233">
        <v>165400000000</v>
      </c>
      <c r="R233">
        <v>12.2</v>
      </c>
      <c r="S233">
        <v>6.4</v>
      </c>
      <c r="T233">
        <v>1.7</v>
      </c>
      <c r="U233">
        <v>2777085</v>
      </c>
      <c r="V233">
        <v>13800000</v>
      </c>
      <c r="W233">
        <v>18</v>
      </c>
      <c r="X233">
        <v>10220000</v>
      </c>
      <c r="Y233">
        <v>77.260000000000005</v>
      </c>
      <c r="Z233">
        <v>7574000000</v>
      </c>
      <c r="AA233">
        <v>2.6</v>
      </c>
      <c r="AB233">
        <v>6640000000</v>
      </c>
      <c r="AC233">
        <v>410000000</v>
      </c>
      <c r="AD233">
        <v>6300000000</v>
      </c>
      <c r="AE233">
        <v>750000000</v>
      </c>
      <c r="AF233">
        <v>38230000000</v>
      </c>
      <c r="AG233">
        <v>988000</v>
      </c>
      <c r="AJ233">
        <v>500</v>
      </c>
      <c r="AK233">
        <v>2900000</v>
      </c>
      <c r="AL233">
        <v>22894384</v>
      </c>
      <c r="AM233">
        <v>32.4</v>
      </c>
      <c r="AN233">
        <v>2508</v>
      </c>
      <c r="AO233">
        <v>246500000000</v>
      </c>
      <c r="AP233">
        <v>13355000</v>
      </c>
      <c r="AQ233">
        <v>25089600</v>
      </c>
      <c r="AR233">
        <v>1.57</v>
      </c>
      <c r="AS233">
        <v>4.5</v>
      </c>
    </row>
    <row r="234" spans="1:45" x14ac:dyDescent="0.3">
      <c r="A234" t="s">
        <v>277</v>
      </c>
      <c r="B234">
        <v>143100</v>
      </c>
      <c r="C234">
        <v>32.58</v>
      </c>
      <c r="D234">
        <v>-52000000</v>
      </c>
      <c r="E234">
        <v>8.39</v>
      </c>
      <c r="F234">
        <v>888000000</v>
      </c>
      <c r="G234">
        <v>14410000000</v>
      </c>
      <c r="H234">
        <v>15080000000</v>
      </c>
      <c r="I234">
        <v>1130000000</v>
      </c>
      <c r="J234">
        <v>7950000000</v>
      </c>
      <c r="K234">
        <v>1100</v>
      </c>
      <c r="L234">
        <v>10.5</v>
      </c>
      <c r="M234">
        <v>0.1</v>
      </c>
      <c r="N234">
        <v>100</v>
      </c>
      <c r="O234">
        <v>200</v>
      </c>
      <c r="P234">
        <v>27767</v>
      </c>
      <c r="Q234">
        <v>1300000000</v>
      </c>
      <c r="R234">
        <v>8.1999999999999993</v>
      </c>
      <c r="S234">
        <v>110.76</v>
      </c>
      <c r="T234">
        <v>8</v>
      </c>
      <c r="U234">
        <v>69</v>
      </c>
      <c r="V234">
        <v>4100</v>
      </c>
      <c r="W234">
        <v>22</v>
      </c>
      <c r="X234">
        <v>3187000</v>
      </c>
      <c r="Y234">
        <v>64.56</v>
      </c>
      <c r="Z234">
        <v>35400000</v>
      </c>
      <c r="AA234">
        <v>3.9</v>
      </c>
      <c r="AB234">
        <v>1300000000</v>
      </c>
      <c r="AC234">
        <v>0</v>
      </c>
      <c r="AD234">
        <v>1250000000</v>
      </c>
      <c r="AE234">
        <v>50000000</v>
      </c>
      <c r="AG234">
        <v>20000</v>
      </c>
      <c r="AJ234">
        <v>250</v>
      </c>
      <c r="AL234">
        <v>7163506</v>
      </c>
      <c r="AN234">
        <v>482</v>
      </c>
      <c r="AO234">
        <v>145300000</v>
      </c>
      <c r="AP234">
        <v>242100</v>
      </c>
      <c r="AQ234">
        <v>47600</v>
      </c>
      <c r="AR234">
        <v>4.05</v>
      </c>
      <c r="AS234">
        <v>40</v>
      </c>
    </row>
    <row r="235" spans="1:45" x14ac:dyDescent="0.3">
      <c r="A235" t="s">
        <v>278</v>
      </c>
      <c r="B235">
        <v>945087</v>
      </c>
      <c r="C235">
        <v>38.159999999999997</v>
      </c>
      <c r="D235">
        <v>-327400000</v>
      </c>
      <c r="E235">
        <v>16.71</v>
      </c>
      <c r="F235">
        <v>7321000000</v>
      </c>
      <c r="G235">
        <v>2566000000</v>
      </c>
      <c r="H235">
        <v>2727000000</v>
      </c>
      <c r="I235">
        <v>1248000000</v>
      </c>
      <c r="J235">
        <v>23710000000</v>
      </c>
      <c r="K235">
        <v>700</v>
      </c>
      <c r="L235">
        <v>5.8</v>
      </c>
      <c r="M235">
        <v>8.8000000000000007</v>
      </c>
      <c r="N235">
        <v>160000</v>
      </c>
      <c r="O235">
        <v>1600000</v>
      </c>
      <c r="P235">
        <v>88200</v>
      </c>
      <c r="Q235">
        <v>1972000000</v>
      </c>
      <c r="R235">
        <v>8.4</v>
      </c>
      <c r="S235">
        <v>98.54</v>
      </c>
      <c r="T235">
        <v>5.4</v>
      </c>
      <c r="U235">
        <v>5534</v>
      </c>
      <c r="V235">
        <v>250000</v>
      </c>
      <c r="W235">
        <v>16.2</v>
      </c>
      <c r="X235">
        <v>19000000</v>
      </c>
      <c r="Y235">
        <v>45.24</v>
      </c>
      <c r="Z235">
        <v>20600000</v>
      </c>
      <c r="AA235">
        <v>0.2</v>
      </c>
      <c r="AF235">
        <v>11330000000</v>
      </c>
      <c r="AG235">
        <v>17000</v>
      </c>
      <c r="AJ235">
        <v>0</v>
      </c>
      <c r="AK235">
        <v>0</v>
      </c>
      <c r="AL235">
        <v>36766356</v>
      </c>
      <c r="AM235">
        <v>5</v>
      </c>
      <c r="AN235">
        <v>3690</v>
      </c>
      <c r="AO235">
        <v>2175000000</v>
      </c>
      <c r="AP235">
        <v>149100</v>
      </c>
      <c r="AQ235">
        <v>891200</v>
      </c>
      <c r="AR235">
        <v>5.0599999999999996</v>
      </c>
    </row>
    <row r="236" spans="1:45" x14ac:dyDescent="0.3">
      <c r="A236" t="s">
        <v>279</v>
      </c>
      <c r="B236">
        <v>514000</v>
      </c>
      <c r="C236">
        <v>15.7</v>
      </c>
      <c r="D236">
        <v>6736000000</v>
      </c>
      <c r="E236">
        <v>7.02</v>
      </c>
      <c r="F236">
        <v>50590000000</v>
      </c>
      <c r="G236">
        <v>106100000000</v>
      </c>
      <c r="H236">
        <v>118900000000</v>
      </c>
      <c r="I236">
        <v>87910000000</v>
      </c>
      <c r="J236">
        <v>524800000000</v>
      </c>
      <c r="K236">
        <v>8100</v>
      </c>
      <c r="L236">
        <v>6.1</v>
      </c>
      <c r="M236">
        <v>1.5</v>
      </c>
      <c r="N236">
        <v>58000</v>
      </c>
      <c r="O236">
        <v>570000</v>
      </c>
      <c r="P236">
        <v>57403</v>
      </c>
      <c r="Q236">
        <v>80840000000</v>
      </c>
      <c r="R236">
        <v>8.5</v>
      </c>
      <c r="S236">
        <v>20.48</v>
      </c>
      <c r="T236">
        <v>2.8</v>
      </c>
      <c r="U236">
        <v>103700</v>
      </c>
      <c r="V236">
        <v>6971500</v>
      </c>
      <c r="W236">
        <v>22.5</v>
      </c>
      <c r="X236">
        <v>36430000</v>
      </c>
      <c r="Y236">
        <v>71.569999999999993</v>
      </c>
      <c r="Z236">
        <v>1775000000</v>
      </c>
      <c r="AA236">
        <v>1.8</v>
      </c>
      <c r="AB236">
        <v>23930000000</v>
      </c>
      <c r="AC236">
        <v>0</v>
      </c>
      <c r="AD236">
        <v>5200000000</v>
      </c>
      <c r="AE236">
        <v>18730000000</v>
      </c>
      <c r="AF236">
        <v>368200000000</v>
      </c>
      <c r="AG236">
        <v>785000</v>
      </c>
      <c r="AJ236">
        <v>225000</v>
      </c>
      <c r="AK236">
        <v>600000000</v>
      </c>
      <c r="AL236">
        <v>65444371</v>
      </c>
      <c r="AM236">
        <v>47.6</v>
      </c>
      <c r="AN236">
        <v>4071</v>
      </c>
      <c r="AO236">
        <v>48300000000</v>
      </c>
      <c r="AP236">
        <v>6617400</v>
      </c>
      <c r="AQ236">
        <v>26500000</v>
      </c>
      <c r="AR236">
        <v>1.88</v>
      </c>
      <c r="AS236">
        <v>1.5</v>
      </c>
    </row>
    <row r="237" spans="1:45" x14ac:dyDescent="0.3">
      <c r="A237" t="s">
        <v>280</v>
      </c>
      <c r="B237">
        <v>56785</v>
      </c>
      <c r="C237">
        <v>33.479999999999997</v>
      </c>
      <c r="D237">
        <v>-125600000</v>
      </c>
      <c r="E237">
        <v>11.8</v>
      </c>
      <c r="F237">
        <v>1400000000</v>
      </c>
      <c r="G237">
        <v>451200000</v>
      </c>
      <c r="H237">
        <v>108800000</v>
      </c>
      <c r="I237">
        <v>663100000</v>
      </c>
      <c r="J237">
        <v>8684000000</v>
      </c>
      <c r="K237">
        <v>1600</v>
      </c>
      <c r="L237">
        <v>3</v>
      </c>
      <c r="M237">
        <v>4.0999999999999996</v>
      </c>
      <c r="N237">
        <v>10000</v>
      </c>
      <c r="O237">
        <v>110000</v>
      </c>
      <c r="P237">
        <v>7520</v>
      </c>
      <c r="Q237">
        <v>824900000</v>
      </c>
      <c r="S237">
        <v>66.61</v>
      </c>
      <c r="T237">
        <v>1</v>
      </c>
      <c r="U237">
        <v>82</v>
      </c>
      <c r="V237">
        <v>210000</v>
      </c>
      <c r="W237">
        <v>19.100000000000001</v>
      </c>
      <c r="X237">
        <v>1740000</v>
      </c>
      <c r="Y237">
        <v>52.64</v>
      </c>
      <c r="Z237">
        <v>35500000</v>
      </c>
      <c r="AA237">
        <v>1.9</v>
      </c>
      <c r="AG237">
        <v>10000</v>
      </c>
      <c r="AJ237">
        <v>0</v>
      </c>
      <c r="AL237">
        <v>5681519</v>
      </c>
      <c r="AN237">
        <v>568</v>
      </c>
      <c r="AO237">
        <v>267400000</v>
      </c>
      <c r="AP237">
        <v>60600</v>
      </c>
      <c r="AQ237">
        <v>220000</v>
      </c>
      <c r="AR237">
        <v>4.6100000000000003</v>
      </c>
    </row>
    <row r="238" spans="1:45" x14ac:dyDescent="0.3">
      <c r="A238" t="s">
        <v>281</v>
      </c>
      <c r="B238">
        <v>10</v>
      </c>
      <c r="F238">
        <v>0</v>
      </c>
      <c r="I238">
        <v>98000</v>
      </c>
      <c r="J238">
        <v>1500000</v>
      </c>
      <c r="K238">
        <v>1000</v>
      </c>
      <c r="Q238">
        <v>323000</v>
      </c>
      <c r="AL238">
        <v>1405</v>
      </c>
      <c r="AP238">
        <v>300</v>
      </c>
      <c r="AQ238">
        <v>0</v>
      </c>
    </row>
    <row r="239" spans="1:45" x14ac:dyDescent="0.3">
      <c r="A239" t="s">
        <v>282</v>
      </c>
      <c r="B239">
        <v>748</v>
      </c>
      <c r="C239">
        <v>25.18</v>
      </c>
      <c r="E239">
        <v>5.35</v>
      </c>
      <c r="F239">
        <v>63400000</v>
      </c>
      <c r="G239">
        <v>23060000</v>
      </c>
      <c r="H239">
        <v>24790000</v>
      </c>
      <c r="I239">
        <v>27000000</v>
      </c>
      <c r="J239">
        <v>244000000</v>
      </c>
      <c r="K239">
        <v>2300</v>
      </c>
      <c r="L239">
        <v>1.5</v>
      </c>
      <c r="P239">
        <v>680</v>
      </c>
      <c r="Q239">
        <v>86000000</v>
      </c>
      <c r="R239">
        <v>8.6</v>
      </c>
      <c r="S239">
        <v>12.62</v>
      </c>
      <c r="T239">
        <v>10.3</v>
      </c>
      <c r="U239">
        <v>18906</v>
      </c>
      <c r="V239">
        <v>2900</v>
      </c>
      <c r="X239">
        <v>33910</v>
      </c>
      <c r="Y239">
        <v>69.53</v>
      </c>
      <c r="AG239">
        <v>1000</v>
      </c>
      <c r="AJ239">
        <v>0</v>
      </c>
      <c r="AL239">
        <v>112422</v>
      </c>
      <c r="AP239">
        <v>11200</v>
      </c>
      <c r="AQ239">
        <v>9000</v>
      </c>
      <c r="AR239">
        <v>3</v>
      </c>
      <c r="AS239">
        <v>13.3</v>
      </c>
    </row>
    <row r="240" spans="1:45" x14ac:dyDescent="0.3">
      <c r="A240" t="s">
        <v>283</v>
      </c>
      <c r="B240">
        <v>5128</v>
      </c>
      <c r="C240">
        <v>12.81</v>
      </c>
      <c r="D240">
        <v>1548000000</v>
      </c>
      <c r="E240">
        <v>9.3699999999999992</v>
      </c>
      <c r="F240">
        <v>2940000000</v>
      </c>
      <c r="G240">
        <v>5341000000</v>
      </c>
      <c r="H240">
        <v>5743000000</v>
      </c>
      <c r="I240">
        <v>6671000000</v>
      </c>
      <c r="J240">
        <v>11480000000</v>
      </c>
      <c r="K240">
        <v>10500</v>
      </c>
      <c r="L240">
        <v>5.7</v>
      </c>
      <c r="M240">
        <v>3.2</v>
      </c>
      <c r="N240">
        <v>1900</v>
      </c>
      <c r="O240">
        <v>29000</v>
      </c>
      <c r="P240">
        <v>8320</v>
      </c>
      <c r="Q240">
        <v>4650000000</v>
      </c>
      <c r="R240">
        <v>7.2</v>
      </c>
      <c r="S240">
        <v>24.31</v>
      </c>
      <c r="T240">
        <v>3.3</v>
      </c>
      <c r="U240">
        <v>8003</v>
      </c>
      <c r="V240">
        <v>138000</v>
      </c>
      <c r="W240">
        <v>19.399999999999999</v>
      </c>
      <c r="X240">
        <v>590000</v>
      </c>
      <c r="Y240">
        <v>68.91</v>
      </c>
      <c r="Z240">
        <v>66700000</v>
      </c>
      <c r="AA240">
        <v>0.6</v>
      </c>
      <c r="AB240">
        <v>13760000000</v>
      </c>
      <c r="AC240">
        <v>11790000000</v>
      </c>
      <c r="AD240">
        <v>0</v>
      </c>
      <c r="AE240">
        <v>25000000000</v>
      </c>
      <c r="AF240">
        <v>589000000000</v>
      </c>
      <c r="AG240">
        <v>24000</v>
      </c>
      <c r="AJ240">
        <v>140000</v>
      </c>
      <c r="AK240">
        <v>990000000</v>
      </c>
      <c r="AL240">
        <v>1088644</v>
      </c>
      <c r="AM240">
        <v>54.4</v>
      </c>
      <c r="AO240">
        <v>2927000000</v>
      </c>
      <c r="AP240">
        <v>325100</v>
      </c>
      <c r="AQ240">
        <v>361900</v>
      </c>
      <c r="AR240">
        <v>1.75</v>
      </c>
      <c r="AS240">
        <v>10.4</v>
      </c>
    </row>
    <row r="241" spans="1:45" x14ac:dyDescent="0.3">
      <c r="A241" t="s">
        <v>284</v>
      </c>
      <c r="B241">
        <v>1</v>
      </c>
    </row>
    <row r="242" spans="1:45" x14ac:dyDescent="0.3">
      <c r="A242" t="s">
        <v>285</v>
      </c>
      <c r="B242">
        <v>163610</v>
      </c>
      <c r="C242">
        <v>15.5</v>
      </c>
      <c r="D242">
        <v>71850000</v>
      </c>
      <c r="E242">
        <v>5.09</v>
      </c>
      <c r="F242">
        <v>14710000000</v>
      </c>
      <c r="G242">
        <v>10050000000</v>
      </c>
      <c r="H242">
        <v>10720000000</v>
      </c>
      <c r="I242">
        <v>9926000000</v>
      </c>
      <c r="J242">
        <v>70880000000</v>
      </c>
      <c r="K242">
        <v>7100</v>
      </c>
      <c r="L242">
        <v>5.0999999999999996</v>
      </c>
      <c r="M242">
        <v>0.1</v>
      </c>
      <c r="N242">
        <v>200</v>
      </c>
      <c r="O242">
        <v>1000</v>
      </c>
      <c r="P242">
        <v>18997</v>
      </c>
      <c r="Q242">
        <v>11520000000</v>
      </c>
      <c r="R242">
        <v>4.4000000000000004</v>
      </c>
      <c r="S242">
        <v>24.77</v>
      </c>
      <c r="T242">
        <v>4.0999999999999996</v>
      </c>
      <c r="U242">
        <v>281</v>
      </c>
      <c r="V242">
        <v>630000</v>
      </c>
      <c r="W242">
        <v>24.5</v>
      </c>
      <c r="X242">
        <v>3550000</v>
      </c>
      <c r="Y242">
        <v>74.89</v>
      </c>
      <c r="Z242">
        <v>356000000</v>
      </c>
      <c r="AA242">
        <v>1.5</v>
      </c>
      <c r="AB242">
        <v>3830000000</v>
      </c>
      <c r="AC242">
        <v>0</v>
      </c>
      <c r="AD242">
        <v>1580000000</v>
      </c>
      <c r="AE242">
        <v>2250000000</v>
      </c>
      <c r="AF242">
        <v>77160000000</v>
      </c>
      <c r="AG242">
        <v>87000</v>
      </c>
      <c r="AJ242">
        <v>72580</v>
      </c>
      <c r="AK242">
        <v>1700000000</v>
      </c>
      <c r="AL242">
        <v>10074951</v>
      </c>
      <c r="AM242">
        <v>59.2</v>
      </c>
      <c r="AN242">
        <v>2152</v>
      </c>
      <c r="AO242">
        <v>3509000000</v>
      </c>
      <c r="AP242">
        <v>1163800</v>
      </c>
      <c r="AQ242">
        <v>1899900</v>
      </c>
      <c r="AR242">
        <v>1.75</v>
      </c>
      <c r="AS242">
        <v>13.8</v>
      </c>
    </row>
    <row r="243" spans="1:45" x14ac:dyDescent="0.3">
      <c r="A243" t="s">
        <v>286</v>
      </c>
      <c r="B243">
        <v>780580</v>
      </c>
      <c r="C243">
        <v>16.829999999999998</v>
      </c>
      <c r="D243">
        <v>-15300000000</v>
      </c>
      <c r="E243">
        <v>5.96</v>
      </c>
      <c r="F243">
        <v>16900000000</v>
      </c>
      <c r="G243">
        <v>117900000000</v>
      </c>
      <c r="H243">
        <v>139700000000</v>
      </c>
      <c r="I243">
        <v>69460000000</v>
      </c>
      <c r="J243">
        <v>508700000000</v>
      </c>
      <c r="K243">
        <v>7400</v>
      </c>
      <c r="L243">
        <v>8.1999999999999993</v>
      </c>
      <c r="M243">
        <v>0.1</v>
      </c>
      <c r="P243">
        <v>354421</v>
      </c>
      <c r="Q243">
        <v>94500000000</v>
      </c>
      <c r="R243">
        <v>16.5</v>
      </c>
      <c r="S243">
        <v>41.04</v>
      </c>
      <c r="T243">
        <v>9.3000000000000007</v>
      </c>
      <c r="U243">
        <v>355215</v>
      </c>
      <c r="V243">
        <v>5500000</v>
      </c>
      <c r="W243">
        <v>17.3</v>
      </c>
      <c r="X243">
        <v>25300000</v>
      </c>
      <c r="Y243">
        <v>72.36</v>
      </c>
      <c r="Z243">
        <v>12155000000</v>
      </c>
      <c r="AA243">
        <v>5.3</v>
      </c>
      <c r="AB243">
        <v>15940000000</v>
      </c>
      <c r="AC243">
        <v>0</v>
      </c>
      <c r="AD243">
        <v>15750000000</v>
      </c>
      <c r="AE243">
        <v>312000000</v>
      </c>
      <c r="AF243">
        <v>8685000000</v>
      </c>
      <c r="AG243">
        <v>619500</v>
      </c>
      <c r="AH243">
        <v>46110</v>
      </c>
      <c r="AI243">
        <v>616500</v>
      </c>
      <c r="AJ243">
        <v>48000</v>
      </c>
      <c r="AK243">
        <v>288400000</v>
      </c>
      <c r="AL243">
        <v>69660559</v>
      </c>
      <c r="AM243">
        <v>74.3</v>
      </c>
      <c r="AN243">
        <v>8671</v>
      </c>
      <c r="AO243">
        <v>37100000000</v>
      </c>
      <c r="AP243">
        <v>18916700</v>
      </c>
      <c r="AQ243">
        <v>27887500</v>
      </c>
      <c r="AR243">
        <v>1.94</v>
      </c>
      <c r="AS243">
        <v>9.3000000000000007</v>
      </c>
    </row>
    <row r="244" spans="1:45" x14ac:dyDescent="0.3">
      <c r="A244" t="s">
        <v>287</v>
      </c>
      <c r="B244">
        <v>488100</v>
      </c>
      <c r="C244">
        <v>27.68</v>
      </c>
      <c r="D244">
        <v>114000000</v>
      </c>
      <c r="E244">
        <v>8.7799999999999994</v>
      </c>
      <c r="F244">
        <v>2400000000</v>
      </c>
      <c r="G244">
        <v>8908000000</v>
      </c>
      <c r="H244">
        <v>11410000000</v>
      </c>
      <c r="I244">
        <v>4000000000</v>
      </c>
      <c r="J244">
        <v>27600000000</v>
      </c>
      <c r="K244">
        <v>5700</v>
      </c>
      <c r="L244">
        <v>7.5</v>
      </c>
      <c r="M244">
        <v>0.1</v>
      </c>
      <c r="N244">
        <v>100</v>
      </c>
      <c r="O244">
        <v>200</v>
      </c>
      <c r="P244">
        <v>24000</v>
      </c>
      <c r="Q244">
        <v>2850000000</v>
      </c>
      <c r="R244">
        <v>22</v>
      </c>
      <c r="S244">
        <v>73.08</v>
      </c>
      <c r="T244">
        <v>9</v>
      </c>
      <c r="U244">
        <v>524</v>
      </c>
      <c r="V244">
        <v>8000</v>
      </c>
      <c r="W244">
        <v>29</v>
      </c>
      <c r="X244">
        <v>2320000</v>
      </c>
      <c r="Y244">
        <v>61.39</v>
      </c>
      <c r="Z244">
        <v>90000000</v>
      </c>
      <c r="AA244">
        <v>3.4</v>
      </c>
      <c r="AB244">
        <v>9600000000</v>
      </c>
      <c r="AC244">
        <v>43500000000</v>
      </c>
      <c r="AD244">
        <v>0</v>
      </c>
      <c r="AE244">
        <v>58570000000</v>
      </c>
      <c r="AF244">
        <v>1430000000000</v>
      </c>
      <c r="AG244">
        <v>63000</v>
      </c>
      <c r="AJ244">
        <v>162500</v>
      </c>
      <c r="AK244">
        <v>273000000</v>
      </c>
      <c r="AL244">
        <v>4952081</v>
      </c>
      <c r="AN244">
        <v>2440</v>
      </c>
      <c r="AO244">
        <v>3034000000</v>
      </c>
      <c r="AP244">
        <v>374000</v>
      </c>
      <c r="AQ244">
        <v>52000</v>
      </c>
      <c r="AR244">
        <v>3.41</v>
      </c>
      <c r="AS244">
        <v>60</v>
      </c>
    </row>
    <row r="245" spans="1:45" x14ac:dyDescent="0.3">
      <c r="A245" t="s">
        <v>288</v>
      </c>
      <c r="B245">
        <v>430</v>
      </c>
      <c r="C245">
        <v>22.23</v>
      </c>
      <c r="E245">
        <v>4.28</v>
      </c>
      <c r="G245">
        <v>4650000</v>
      </c>
      <c r="H245">
        <v>5000000</v>
      </c>
      <c r="I245">
        <v>169200000</v>
      </c>
      <c r="J245">
        <v>216000000</v>
      </c>
      <c r="K245">
        <v>11500</v>
      </c>
      <c r="L245">
        <v>4.9000000000000004</v>
      </c>
      <c r="P245">
        <v>121</v>
      </c>
      <c r="Q245">
        <v>175600000</v>
      </c>
      <c r="S245">
        <v>15.67</v>
      </c>
      <c r="T245">
        <v>4</v>
      </c>
      <c r="X245">
        <v>4848</v>
      </c>
      <c r="Y245">
        <v>74.510000000000005</v>
      </c>
      <c r="AG245">
        <v>0</v>
      </c>
      <c r="AJ245">
        <v>0</v>
      </c>
      <c r="AL245">
        <v>20556</v>
      </c>
      <c r="AP245">
        <v>5700</v>
      </c>
      <c r="AQ245">
        <v>1700</v>
      </c>
      <c r="AR245">
        <v>3.08</v>
      </c>
      <c r="AS245">
        <v>10</v>
      </c>
    </row>
    <row r="246" spans="1:45" x14ac:dyDescent="0.3">
      <c r="A246" t="s">
        <v>289</v>
      </c>
      <c r="B246">
        <v>26</v>
      </c>
      <c r="C246">
        <v>21.91</v>
      </c>
      <c r="E246">
        <v>7.22</v>
      </c>
      <c r="I246">
        <v>1000000</v>
      </c>
      <c r="J246">
        <v>12200000</v>
      </c>
      <c r="K246">
        <v>1100</v>
      </c>
      <c r="L246">
        <v>3</v>
      </c>
      <c r="P246">
        <v>8</v>
      </c>
      <c r="Q246">
        <v>79000000</v>
      </c>
      <c r="S246">
        <v>20.03</v>
      </c>
      <c r="T246">
        <v>5</v>
      </c>
      <c r="V246">
        <v>1300</v>
      </c>
      <c r="X246">
        <v>7000</v>
      </c>
      <c r="Y246">
        <v>68.010000000000005</v>
      </c>
      <c r="AL246">
        <v>11636</v>
      </c>
      <c r="AP246">
        <v>700</v>
      </c>
      <c r="AQ246">
        <v>0</v>
      </c>
      <c r="AR246">
        <v>3</v>
      </c>
    </row>
    <row r="247" spans="1:45" x14ac:dyDescent="0.3">
      <c r="A247" t="s">
        <v>290</v>
      </c>
      <c r="B247">
        <v>236040</v>
      </c>
      <c r="C247">
        <v>47.39</v>
      </c>
      <c r="D247">
        <v>-590800000</v>
      </c>
      <c r="E247">
        <v>12.8</v>
      </c>
      <c r="F247">
        <v>3865000000</v>
      </c>
      <c r="G247">
        <v>1401000000</v>
      </c>
      <c r="H247">
        <v>1775000000</v>
      </c>
      <c r="I247">
        <v>621700000</v>
      </c>
      <c r="J247">
        <v>39390000000</v>
      </c>
      <c r="K247">
        <v>1500</v>
      </c>
      <c r="L247">
        <v>5</v>
      </c>
      <c r="M247">
        <v>4.0999999999999996</v>
      </c>
      <c r="N247">
        <v>78000</v>
      </c>
      <c r="O247">
        <v>530000</v>
      </c>
      <c r="P247">
        <v>27000</v>
      </c>
      <c r="Q247">
        <v>1306000000</v>
      </c>
      <c r="R247">
        <v>5.6</v>
      </c>
      <c r="S247">
        <v>67.83</v>
      </c>
      <c r="T247">
        <v>3.5</v>
      </c>
      <c r="U247">
        <v>2692</v>
      </c>
      <c r="V247">
        <v>125000</v>
      </c>
      <c r="W247">
        <v>22.4</v>
      </c>
      <c r="X247">
        <v>12410000</v>
      </c>
      <c r="Y247">
        <v>51.59</v>
      </c>
      <c r="Z247">
        <v>170300000</v>
      </c>
      <c r="AA247">
        <v>2.2000000000000002</v>
      </c>
      <c r="AG247">
        <v>8750</v>
      </c>
      <c r="AJ247">
        <v>0</v>
      </c>
      <c r="AL247">
        <v>27269482</v>
      </c>
      <c r="AM247">
        <v>73.900000000000006</v>
      </c>
      <c r="AN247">
        <v>1241</v>
      </c>
      <c r="AO247">
        <v>1200000000</v>
      </c>
      <c r="AP247">
        <v>61000</v>
      </c>
      <c r="AQ247">
        <v>776200</v>
      </c>
      <c r="AR247">
        <v>6.74</v>
      </c>
    </row>
    <row r="248" spans="1:45" x14ac:dyDescent="0.3">
      <c r="A248" t="s">
        <v>291</v>
      </c>
      <c r="B248">
        <v>603700</v>
      </c>
      <c r="C248">
        <v>10.49</v>
      </c>
      <c r="D248">
        <v>4584000000</v>
      </c>
      <c r="E248">
        <v>16.420000000000002</v>
      </c>
      <c r="F248">
        <v>16370000000</v>
      </c>
      <c r="G248">
        <v>132000000000</v>
      </c>
      <c r="H248">
        <v>180000000000</v>
      </c>
      <c r="I248">
        <v>32910000000</v>
      </c>
      <c r="J248">
        <v>299100000000</v>
      </c>
      <c r="K248">
        <v>6300</v>
      </c>
      <c r="L248">
        <v>12</v>
      </c>
      <c r="M248">
        <v>1.4</v>
      </c>
      <c r="N248">
        <v>20000</v>
      </c>
      <c r="O248">
        <v>360000</v>
      </c>
      <c r="P248">
        <v>169679</v>
      </c>
      <c r="Q248">
        <v>31450000000</v>
      </c>
      <c r="R248">
        <v>16.5</v>
      </c>
      <c r="S248">
        <v>20.34</v>
      </c>
      <c r="T248">
        <v>12</v>
      </c>
      <c r="U248">
        <v>94345</v>
      </c>
      <c r="V248">
        <v>3800000</v>
      </c>
      <c r="W248">
        <v>18.8</v>
      </c>
      <c r="X248">
        <v>21110000</v>
      </c>
      <c r="Y248">
        <v>66.849999999999994</v>
      </c>
      <c r="Z248">
        <v>617900000</v>
      </c>
      <c r="AA248">
        <v>1.4</v>
      </c>
      <c r="AB248">
        <v>79860000000</v>
      </c>
      <c r="AC248">
        <v>5800000000</v>
      </c>
      <c r="AD248">
        <v>60400000000</v>
      </c>
      <c r="AE248">
        <v>19600000000</v>
      </c>
      <c r="AF248">
        <v>560700000000</v>
      </c>
      <c r="AG248">
        <v>303000</v>
      </c>
      <c r="AJ248">
        <v>72000</v>
      </c>
      <c r="AK248">
        <v>395000000</v>
      </c>
      <c r="AL248">
        <v>47425336</v>
      </c>
      <c r="AM248">
        <v>24.7</v>
      </c>
      <c r="AN248">
        <v>22473</v>
      </c>
      <c r="AO248">
        <v>11330000000</v>
      </c>
      <c r="AP248">
        <v>10833300</v>
      </c>
      <c r="AQ248">
        <v>4200000</v>
      </c>
      <c r="AR248">
        <v>1.4</v>
      </c>
      <c r="AS248">
        <v>3.5</v>
      </c>
    </row>
    <row r="249" spans="1:45" x14ac:dyDescent="0.3">
      <c r="A249" t="s">
        <v>292</v>
      </c>
      <c r="B249">
        <v>82880</v>
      </c>
      <c r="C249">
        <v>18.78</v>
      </c>
      <c r="D249">
        <v>6300000000</v>
      </c>
      <c r="E249">
        <v>4.26</v>
      </c>
      <c r="F249">
        <v>5900000000</v>
      </c>
      <c r="G249">
        <v>36510000000</v>
      </c>
      <c r="H249">
        <v>45120000000</v>
      </c>
      <c r="I249">
        <v>69480000000</v>
      </c>
      <c r="J249">
        <v>63670000000</v>
      </c>
      <c r="K249">
        <v>25200</v>
      </c>
      <c r="L249">
        <v>5.7</v>
      </c>
      <c r="M249">
        <v>0.18</v>
      </c>
      <c r="P249">
        <v>1088</v>
      </c>
      <c r="Q249">
        <v>45660000000</v>
      </c>
      <c r="R249">
        <v>4</v>
      </c>
      <c r="S249">
        <v>14.51</v>
      </c>
      <c r="T249">
        <v>3.2</v>
      </c>
      <c r="U249">
        <v>56283</v>
      </c>
      <c r="V249">
        <v>1110200</v>
      </c>
      <c r="W249">
        <v>20.8</v>
      </c>
      <c r="X249">
        <v>2360000</v>
      </c>
      <c r="Y249">
        <v>75.239999999999995</v>
      </c>
      <c r="Z249">
        <v>1600000000</v>
      </c>
      <c r="AA249">
        <v>3.1</v>
      </c>
      <c r="AB249">
        <v>33700000000</v>
      </c>
      <c r="AC249">
        <v>7190000000</v>
      </c>
      <c r="AD249">
        <v>0</v>
      </c>
      <c r="AE249">
        <v>44400000000</v>
      </c>
      <c r="AF249">
        <v>6060000000000</v>
      </c>
      <c r="AG249">
        <v>310000</v>
      </c>
      <c r="AH249">
        <v>2500000</v>
      </c>
      <c r="AI249">
        <v>0</v>
      </c>
      <c r="AJ249">
        <v>2335000</v>
      </c>
      <c r="AK249">
        <v>97800000000</v>
      </c>
      <c r="AL249">
        <v>2563212</v>
      </c>
      <c r="AM249">
        <v>17.600000000000001</v>
      </c>
      <c r="AO249">
        <v>18640000000</v>
      </c>
      <c r="AP249">
        <v>1135800</v>
      </c>
      <c r="AQ249">
        <v>2972300</v>
      </c>
      <c r="AR249">
        <v>2.94</v>
      </c>
      <c r="AS249">
        <v>2.4</v>
      </c>
    </row>
    <row r="250" spans="1:45" x14ac:dyDescent="0.3">
      <c r="A250" t="s">
        <v>293</v>
      </c>
      <c r="B250">
        <v>244820</v>
      </c>
      <c r="C250">
        <v>10.78</v>
      </c>
      <c r="D250">
        <v>-33460000000</v>
      </c>
      <c r="E250">
        <v>10.18</v>
      </c>
      <c r="F250">
        <v>4710000000000</v>
      </c>
      <c r="G250">
        <v>337400000000</v>
      </c>
      <c r="H250">
        <v>395900000000</v>
      </c>
      <c r="I250">
        <v>347200000000</v>
      </c>
      <c r="J250">
        <v>1782000000000</v>
      </c>
      <c r="K250">
        <v>29600</v>
      </c>
      <c r="L250">
        <v>3.2</v>
      </c>
      <c r="M250">
        <v>0.2</v>
      </c>
      <c r="N250">
        <v>500</v>
      </c>
      <c r="O250">
        <v>51000</v>
      </c>
      <c r="P250">
        <v>392931</v>
      </c>
      <c r="Q250">
        <v>439400000000</v>
      </c>
      <c r="R250">
        <v>0.9</v>
      </c>
      <c r="S250">
        <v>5.16</v>
      </c>
      <c r="T250">
        <v>1.4</v>
      </c>
      <c r="U250">
        <v>3398708</v>
      </c>
      <c r="V250">
        <v>25000000</v>
      </c>
      <c r="W250">
        <v>16.2</v>
      </c>
      <c r="X250">
        <v>29780000</v>
      </c>
      <c r="Y250">
        <v>78.38</v>
      </c>
      <c r="Z250">
        <v>42836500000</v>
      </c>
      <c r="AA250">
        <v>2.4</v>
      </c>
      <c r="AB250">
        <v>92850000000</v>
      </c>
      <c r="AC250">
        <v>15750000000</v>
      </c>
      <c r="AD250">
        <v>2700000000</v>
      </c>
      <c r="AE250">
        <v>105900000000</v>
      </c>
      <c r="AF250">
        <v>714900000000</v>
      </c>
      <c r="AG250">
        <v>1692000</v>
      </c>
      <c r="AH250">
        <v>1498000</v>
      </c>
      <c r="AI250">
        <v>1084000</v>
      </c>
      <c r="AJ250">
        <v>1957000</v>
      </c>
      <c r="AK250">
        <v>25410000000</v>
      </c>
      <c r="AL250">
        <v>60441457</v>
      </c>
      <c r="AM250">
        <v>39.6</v>
      </c>
      <c r="AN250">
        <v>17186</v>
      </c>
      <c r="AO250">
        <v>48730000000</v>
      </c>
      <c r="AP250">
        <v>34898000</v>
      </c>
      <c r="AQ250">
        <v>49677000</v>
      </c>
      <c r="AR250">
        <v>1.66</v>
      </c>
      <c r="AS250">
        <v>4.8</v>
      </c>
    </row>
    <row r="251" spans="1:45" x14ac:dyDescent="0.3">
      <c r="A251" t="s">
        <v>294</v>
      </c>
      <c r="B251">
        <v>9631418</v>
      </c>
      <c r="C251">
        <v>14.14</v>
      </c>
      <c r="D251">
        <v>-646500000000</v>
      </c>
      <c r="E251">
        <v>8.25</v>
      </c>
      <c r="F251">
        <v>1400000000000</v>
      </c>
      <c r="G251">
        <v>3660000000000</v>
      </c>
      <c r="H251">
        <v>3839000000000</v>
      </c>
      <c r="I251">
        <v>795000000000</v>
      </c>
      <c r="J251">
        <v>11750000000000</v>
      </c>
      <c r="K251">
        <v>40100</v>
      </c>
      <c r="L251">
        <v>4.4000000000000004</v>
      </c>
      <c r="M251">
        <v>0.6</v>
      </c>
      <c r="N251">
        <v>14000</v>
      </c>
      <c r="O251">
        <v>950000</v>
      </c>
      <c r="P251">
        <v>6393603</v>
      </c>
      <c r="Q251">
        <v>1476000000000</v>
      </c>
      <c r="R251">
        <v>4.4000000000000004</v>
      </c>
      <c r="S251">
        <v>6.5</v>
      </c>
      <c r="T251">
        <v>2.5</v>
      </c>
      <c r="U251">
        <v>115311958</v>
      </c>
      <c r="V251">
        <v>159000000</v>
      </c>
      <c r="W251">
        <v>15.7</v>
      </c>
      <c r="X251">
        <v>147400000</v>
      </c>
      <c r="Y251">
        <v>77.709999999999994</v>
      </c>
      <c r="Z251">
        <v>370700000000</v>
      </c>
      <c r="AA251">
        <v>3.3</v>
      </c>
      <c r="AB251">
        <v>640900000000</v>
      </c>
      <c r="AC251">
        <v>11160000000</v>
      </c>
      <c r="AD251">
        <v>114100000000</v>
      </c>
      <c r="AE251">
        <v>548100000000</v>
      </c>
      <c r="AF251">
        <v>5195000000000</v>
      </c>
      <c r="AG251">
        <v>19650000</v>
      </c>
      <c r="AJ251">
        <v>7800000</v>
      </c>
      <c r="AK251">
        <v>22450000000</v>
      </c>
      <c r="AL251">
        <v>295734134</v>
      </c>
      <c r="AM251">
        <v>65</v>
      </c>
      <c r="AN251">
        <v>228464</v>
      </c>
      <c r="AO251">
        <v>85940000000</v>
      </c>
      <c r="AP251">
        <v>181599900</v>
      </c>
      <c r="AQ251">
        <v>158722000</v>
      </c>
      <c r="AR251">
        <v>2.08</v>
      </c>
      <c r="AS251">
        <v>5.5</v>
      </c>
    </row>
    <row r="252" spans="1:45" x14ac:dyDescent="0.3">
      <c r="A252" t="s">
        <v>295</v>
      </c>
      <c r="B252">
        <v>176220</v>
      </c>
      <c r="C252">
        <v>14.09</v>
      </c>
      <c r="D252">
        <v>181800000</v>
      </c>
      <c r="E252">
        <v>9.06</v>
      </c>
      <c r="F252">
        <v>12800000000</v>
      </c>
      <c r="G252">
        <v>5878000000</v>
      </c>
      <c r="H252">
        <v>8536000000</v>
      </c>
      <c r="I252">
        <v>2200000000</v>
      </c>
      <c r="J252">
        <v>49270000000</v>
      </c>
      <c r="K252">
        <v>14500</v>
      </c>
      <c r="L252">
        <v>10.199999999999999</v>
      </c>
      <c r="M252">
        <v>0.3</v>
      </c>
      <c r="N252">
        <v>500</v>
      </c>
      <c r="O252">
        <v>6000</v>
      </c>
      <c r="P252">
        <v>8983</v>
      </c>
      <c r="Q252">
        <v>2071000000</v>
      </c>
      <c r="R252">
        <v>22</v>
      </c>
      <c r="S252">
        <v>11.95</v>
      </c>
      <c r="T252">
        <v>7.6</v>
      </c>
      <c r="U252">
        <v>87630</v>
      </c>
      <c r="V252">
        <v>400000</v>
      </c>
      <c r="W252">
        <v>9.6</v>
      </c>
      <c r="X252">
        <v>1560000</v>
      </c>
      <c r="Y252">
        <v>76.13</v>
      </c>
      <c r="Z252">
        <v>257500000</v>
      </c>
      <c r="AA252">
        <v>2</v>
      </c>
      <c r="AB252">
        <v>64500000</v>
      </c>
      <c r="AC252">
        <v>0</v>
      </c>
      <c r="AD252">
        <v>65000000</v>
      </c>
      <c r="AE252">
        <v>0</v>
      </c>
      <c r="AG252">
        <v>41500</v>
      </c>
      <c r="AJ252">
        <v>0</v>
      </c>
      <c r="AL252">
        <v>3415920</v>
      </c>
      <c r="AN252">
        <v>2073</v>
      </c>
      <c r="AO252">
        <v>2362000000</v>
      </c>
      <c r="AP252">
        <v>946500</v>
      </c>
      <c r="AQ252">
        <v>652000</v>
      </c>
      <c r="AR252">
        <v>1.91</v>
      </c>
      <c r="AS252">
        <v>13</v>
      </c>
    </row>
    <row r="253" spans="1:45" x14ac:dyDescent="0.3">
      <c r="A253" t="s">
        <v>296</v>
      </c>
      <c r="B253">
        <v>447400</v>
      </c>
      <c r="C253">
        <v>26.22</v>
      </c>
      <c r="D253">
        <v>461900000</v>
      </c>
      <c r="E253">
        <v>7.95</v>
      </c>
      <c r="F253">
        <v>4351000000</v>
      </c>
      <c r="G253">
        <v>46660000000</v>
      </c>
      <c r="H253">
        <v>47700000000</v>
      </c>
      <c r="I253">
        <v>3700000000</v>
      </c>
      <c r="J253">
        <v>47590000000</v>
      </c>
      <c r="K253">
        <v>1800</v>
      </c>
      <c r="L253">
        <v>4.4000000000000004</v>
      </c>
      <c r="M253">
        <v>0.1</v>
      </c>
      <c r="N253">
        <v>500</v>
      </c>
      <c r="O253">
        <v>11000</v>
      </c>
      <c r="P253">
        <v>81600</v>
      </c>
      <c r="Q253">
        <v>2820000000</v>
      </c>
      <c r="R253">
        <v>6.2</v>
      </c>
      <c r="S253">
        <v>71.099999999999994</v>
      </c>
      <c r="T253">
        <v>3</v>
      </c>
      <c r="U253">
        <v>1040</v>
      </c>
      <c r="V253">
        <v>492000</v>
      </c>
      <c r="X253">
        <v>14640000</v>
      </c>
      <c r="Y253">
        <v>64.19</v>
      </c>
      <c r="Z253">
        <v>200000000</v>
      </c>
      <c r="AA253">
        <v>2</v>
      </c>
      <c r="AB253">
        <v>45200000000</v>
      </c>
      <c r="AC253">
        <v>17900000000</v>
      </c>
      <c r="AD253">
        <v>0</v>
      </c>
      <c r="AE253">
        <v>63100000000</v>
      </c>
      <c r="AF253">
        <v>937300000000</v>
      </c>
      <c r="AG253">
        <v>142000</v>
      </c>
      <c r="AJ253">
        <v>143300</v>
      </c>
      <c r="AK253">
        <v>297000000</v>
      </c>
      <c r="AL253">
        <v>26851195</v>
      </c>
      <c r="AM253">
        <v>41.5</v>
      </c>
      <c r="AN253">
        <v>3950</v>
      </c>
      <c r="AO253">
        <v>1603000000</v>
      </c>
      <c r="AP253">
        <v>1717100</v>
      </c>
      <c r="AQ253">
        <v>320800</v>
      </c>
      <c r="AR253">
        <v>2.94</v>
      </c>
      <c r="AS253">
        <v>0.6</v>
      </c>
    </row>
    <row r="254" spans="1:45" x14ac:dyDescent="0.3">
      <c r="A254" t="s">
        <v>297</v>
      </c>
      <c r="B254">
        <v>12200</v>
      </c>
      <c r="C254">
        <v>23.06</v>
      </c>
      <c r="E254">
        <v>7.9</v>
      </c>
      <c r="F254">
        <v>83700000</v>
      </c>
      <c r="G254">
        <v>45030000</v>
      </c>
      <c r="H254">
        <v>48420000</v>
      </c>
      <c r="I254">
        <v>26600000</v>
      </c>
      <c r="J254">
        <v>580000000</v>
      </c>
      <c r="K254">
        <v>2900</v>
      </c>
      <c r="L254">
        <v>1.1000000000000001</v>
      </c>
      <c r="P254">
        <v>1070</v>
      </c>
      <c r="Q254">
        <v>138000000</v>
      </c>
      <c r="R254">
        <v>1</v>
      </c>
      <c r="S254">
        <v>55.16</v>
      </c>
      <c r="T254">
        <v>3.1</v>
      </c>
      <c r="U254">
        <v>512</v>
      </c>
      <c r="V254">
        <v>7500</v>
      </c>
      <c r="Y254">
        <v>62.49</v>
      </c>
      <c r="AG254">
        <v>600</v>
      </c>
      <c r="AJ254">
        <v>0</v>
      </c>
      <c r="AL254">
        <v>205754</v>
      </c>
      <c r="AP254">
        <v>6500</v>
      </c>
      <c r="AQ254">
        <v>7800</v>
      </c>
      <c r="AR254">
        <v>2.77</v>
      </c>
    </row>
    <row r="255" spans="1:45" x14ac:dyDescent="0.3">
      <c r="A255" t="s">
        <v>298</v>
      </c>
      <c r="B255">
        <v>912050</v>
      </c>
      <c r="C255">
        <v>18.91</v>
      </c>
      <c r="D255">
        <v>14590000000</v>
      </c>
      <c r="E255">
        <v>4.9000000000000004</v>
      </c>
      <c r="F255">
        <v>33290000000</v>
      </c>
      <c r="G255">
        <v>89300000000</v>
      </c>
      <c r="H255">
        <v>89700000000</v>
      </c>
      <c r="I255">
        <v>35840000000</v>
      </c>
      <c r="J255">
        <v>145200000000</v>
      </c>
      <c r="K255">
        <v>5800</v>
      </c>
      <c r="L255">
        <v>16.8</v>
      </c>
      <c r="M255">
        <v>0.7</v>
      </c>
      <c r="N255">
        <v>4100</v>
      </c>
      <c r="O255">
        <v>110000</v>
      </c>
      <c r="P255">
        <v>96155</v>
      </c>
      <c r="Q255">
        <v>14980000000</v>
      </c>
      <c r="R255">
        <v>12.3</v>
      </c>
      <c r="S255">
        <v>22.2</v>
      </c>
      <c r="T255">
        <v>22.4</v>
      </c>
      <c r="U255">
        <v>35301</v>
      </c>
      <c r="V255">
        <v>1274400</v>
      </c>
      <c r="W255">
        <v>12.9</v>
      </c>
      <c r="X255">
        <v>12250000</v>
      </c>
      <c r="Y255">
        <v>74.31</v>
      </c>
      <c r="Z255">
        <v>1687000000</v>
      </c>
      <c r="AA255">
        <v>1.5</v>
      </c>
      <c r="AB255">
        <v>29400000000</v>
      </c>
      <c r="AC255">
        <v>0</v>
      </c>
      <c r="AD255">
        <v>0</v>
      </c>
      <c r="AE255">
        <v>29400000000</v>
      </c>
      <c r="AF255">
        <v>4190000000000</v>
      </c>
      <c r="AG255">
        <v>500000</v>
      </c>
      <c r="AH255">
        <v>2100000</v>
      </c>
      <c r="AJ255">
        <v>2600000</v>
      </c>
      <c r="AK255">
        <v>78000000000</v>
      </c>
      <c r="AL255">
        <v>25375281</v>
      </c>
      <c r="AM255">
        <v>43.1</v>
      </c>
      <c r="AN255">
        <v>682</v>
      </c>
      <c r="AO255">
        <v>25750000000</v>
      </c>
      <c r="AP255">
        <v>2841800</v>
      </c>
      <c r="AQ255">
        <v>6463600</v>
      </c>
      <c r="AR255">
        <v>2.2599999999999998</v>
      </c>
      <c r="AS255">
        <v>17.100000000000001</v>
      </c>
    </row>
    <row r="256" spans="1:45" x14ac:dyDescent="0.3">
      <c r="A256" t="s">
        <v>299</v>
      </c>
      <c r="B256">
        <v>329560</v>
      </c>
      <c r="C256">
        <v>17.07</v>
      </c>
      <c r="D256">
        <v>-2061000000</v>
      </c>
      <c r="E256">
        <v>6.2</v>
      </c>
      <c r="F256">
        <v>16550000000</v>
      </c>
      <c r="G256">
        <v>32060000000</v>
      </c>
      <c r="H256">
        <v>34480000000</v>
      </c>
      <c r="I256">
        <v>23720000000</v>
      </c>
      <c r="J256">
        <v>227200000000</v>
      </c>
      <c r="K256">
        <v>2700</v>
      </c>
      <c r="L256">
        <v>7.7</v>
      </c>
      <c r="M256">
        <v>0.4</v>
      </c>
      <c r="N256">
        <v>9000</v>
      </c>
      <c r="O256">
        <v>220000</v>
      </c>
      <c r="P256">
        <v>93300</v>
      </c>
      <c r="Q256">
        <v>26310000000</v>
      </c>
      <c r="R256">
        <v>16</v>
      </c>
      <c r="S256">
        <v>25.95</v>
      </c>
      <c r="T256">
        <v>9.5</v>
      </c>
      <c r="U256">
        <v>340</v>
      </c>
      <c r="V256">
        <v>3500000</v>
      </c>
      <c r="W256">
        <v>36.6</v>
      </c>
      <c r="X256">
        <v>42980000</v>
      </c>
      <c r="Y256">
        <v>70.61</v>
      </c>
      <c r="Z256">
        <v>650000000</v>
      </c>
      <c r="AA256">
        <v>2.5</v>
      </c>
      <c r="AB256">
        <v>1300000000</v>
      </c>
      <c r="AC256">
        <v>0</v>
      </c>
      <c r="AD256">
        <v>0</v>
      </c>
      <c r="AE256">
        <v>1300000000</v>
      </c>
      <c r="AF256">
        <v>192600000000</v>
      </c>
      <c r="AG256">
        <v>185000</v>
      </c>
      <c r="AJ256">
        <v>359400</v>
      </c>
      <c r="AK256">
        <v>650000000</v>
      </c>
      <c r="AL256">
        <v>83535576</v>
      </c>
      <c r="AM256">
        <v>65.900000000000006</v>
      </c>
      <c r="AN256">
        <v>2600</v>
      </c>
      <c r="AO256">
        <v>6510000000</v>
      </c>
      <c r="AP256">
        <v>4402000</v>
      </c>
      <c r="AQ256">
        <v>2742000</v>
      </c>
      <c r="AR256">
        <v>1.94</v>
      </c>
      <c r="AS256">
        <v>1.9</v>
      </c>
    </row>
    <row r="257" spans="1:45" x14ac:dyDescent="0.3">
      <c r="A257" t="s">
        <v>300</v>
      </c>
      <c r="B257">
        <v>352</v>
      </c>
      <c r="C257">
        <v>14.2</v>
      </c>
      <c r="E257">
        <v>6.26</v>
      </c>
      <c r="G257">
        <v>962600000</v>
      </c>
      <c r="H257">
        <v>1035000000</v>
      </c>
      <c r="J257">
        <v>2500000000</v>
      </c>
      <c r="K257">
        <v>17200</v>
      </c>
      <c r="L257">
        <v>2</v>
      </c>
      <c r="P257">
        <v>1257</v>
      </c>
      <c r="S257">
        <v>8.0299999999999994</v>
      </c>
      <c r="T257">
        <v>2.2000000000000002</v>
      </c>
      <c r="V257">
        <v>30000</v>
      </c>
      <c r="X257">
        <v>48900</v>
      </c>
      <c r="Y257">
        <v>78.91</v>
      </c>
      <c r="AG257">
        <v>66000</v>
      </c>
      <c r="AJ257">
        <v>0</v>
      </c>
      <c r="AL257">
        <v>108708</v>
      </c>
      <c r="AP257">
        <v>69400</v>
      </c>
      <c r="AQ257">
        <v>41000</v>
      </c>
      <c r="AR257">
        <v>2.19</v>
      </c>
      <c r="AS257">
        <v>9.3000000000000007</v>
      </c>
    </row>
    <row r="258" spans="1:45" x14ac:dyDescent="0.3">
      <c r="A258" t="s">
        <v>301</v>
      </c>
      <c r="B258">
        <v>7</v>
      </c>
    </row>
    <row r="259" spans="1:45" x14ac:dyDescent="0.3">
      <c r="A259" t="s">
        <v>302</v>
      </c>
      <c r="B259">
        <v>274</v>
      </c>
      <c r="I259">
        <v>250000</v>
      </c>
      <c r="J259">
        <v>60000000</v>
      </c>
      <c r="K259">
        <v>3800</v>
      </c>
      <c r="P259">
        <v>120</v>
      </c>
      <c r="Q259">
        <v>300000</v>
      </c>
      <c r="V259">
        <v>900</v>
      </c>
      <c r="AL259">
        <v>16025</v>
      </c>
      <c r="AP259">
        <v>1900</v>
      </c>
      <c r="AQ259">
        <v>0</v>
      </c>
    </row>
    <row r="260" spans="1:45" x14ac:dyDescent="0.3">
      <c r="A260" t="s">
        <v>303</v>
      </c>
      <c r="B260">
        <v>5860</v>
      </c>
      <c r="C260">
        <v>32.369999999999997</v>
      </c>
      <c r="E260">
        <v>3.99</v>
      </c>
      <c r="F260">
        <v>108000000</v>
      </c>
      <c r="I260">
        <v>205000000</v>
      </c>
      <c r="J260">
        <v>1800000000</v>
      </c>
      <c r="K260">
        <v>800</v>
      </c>
      <c r="L260">
        <v>6</v>
      </c>
      <c r="P260">
        <v>4500</v>
      </c>
      <c r="Q260">
        <v>1500000000</v>
      </c>
      <c r="S260">
        <v>19.62</v>
      </c>
      <c r="T260">
        <v>2.2000000000000002</v>
      </c>
      <c r="V260">
        <v>145000</v>
      </c>
      <c r="X260">
        <v>364000</v>
      </c>
      <c r="Y260">
        <v>73.08</v>
      </c>
      <c r="AL260">
        <v>2385615</v>
      </c>
      <c r="AP260">
        <v>301600</v>
      </c>
      <c r="AQ260">
        <v>480000</v>
      </c>
      <c r="AR260">
        <v>4.4000000000000004</v>
      </c>
      <c r="AS260">
        <v>27.2</v>
      </c>
    </row>
    <row r="261" spans="1:45" x14ac:dyDescent="0.3">
      <c r="A261" t="s">
        <v>304</v>
      </c>
      <c r="B261">
        <v>266000</v>
      </c>
      <c r="G261">
        <v>83700000</v>
      </c>
      <c r="H261">
        <v>90000000</v>
      </c>
      <c r="P261">
        <v>6200</v>
      </c>
      <c r="X261">
        <v>12000</v>
      </c>
      <c r="AG261">
        <v>1800</v>
      </c>
      <c r="AJ261">
        <v>0</v>
      </c>
      <c r="AL261">
        <v>273008</v>
      </c>
      <c r="AQ261">
        <v>0</v>
      </c>
    </row>
    <row r="262" spans="1:45" x14ac:dyDescent="0.3">
      <c r="A262" t="s">
        <v>305</v>
      </c>
      <c r="B262">
        <v>527970</v>
      </c>
      <c r="C262">
        <v>43.07</v>
      </c>
      <c r="D262">
        <v>369900000</v>
      </c>
      <c r="E262">
        <v>8.5299999999999994</v>
      </c>
      <c r="F262">
        <v>5400000000</v>
      </c>
      <c r="G262">
        <v>2827000000</v>
      </c>
      <c r="H262">
        <v>3040000000</v>
      </c>
      <c r="I262">
        <v>4468000000</v>
      </c>
      <c r="J262">
        <v>16250000000</v>
      </c>
      <c r="K262">
        <v>800</v>
      </c>
      <c r="L262">
        <v>1.9</v>
      </c>
      <c r="M262">
        <v>0.1</v>
      </c>
      <c r="O262">
        <v>12000</v>
      </c>
      <c r="P262">
        <v>67000</v>
      </c>
      <c r="Q262">
        <v>3734000000</v>
      </c>
      <c r="R262">
        <v>3</v>
      </c>
      <c r="S262">
        <v>61.5</v>
      </c>
      <c r="T262">
        <v>12.2</v>
      </c>
      <c r="U262">
        <v>138</v>
      </c>
      <c r="V262">
        <v>100000</v>
      </c>
      <c r="W262">
        <v>16.100000000000001</v>
      </c>
      <c r="X262">
        <v>5980000</v>
      </c>
      <c r="Y262">
        <v>61.75</v>
      </c>
      <c r="Z262">
        <v>885500000</v>
      </c>
      <c r="AA262">
        <v>7.8</v>
      </c>
      <c r="AB262">
        <v>0</v>
      </c>
      <c r="AC262">
        <v>0</v>
      </c>
      <c r="AD262">
        <v>0</v>
      </c>
      <c r="AE262">
        <v>0</v>
      </c>
      <c r="AF262">
        <v>480000000000</v>
      </c>
      <c r="AG262">
        <v>78000</v>
      </c>
      <c r="AH262">
        <v>370300</v>
      </c>
      <c r="AJ262">
        <v>417500</v>
      </c>
      <c r="AK262">
        <v>4000000000</v>
      </c>
      <c r="AL262">
        <v>20727063</v>
      </c>
      <c r="AM262">
        <v>46.4</v>
      </c>
      <c r="AO262">
        <v>5300000000</v>
      </c>
      <c r="AP262">
        <v>542200</v>
      </c>
      <c r="AQ262">
        <v>411100</v>
      </c>
      <c r="AR262">
        <v>6.67</v>
      </c>
      <c r="AS262">
        <v>35</v>
      </c>
    </row>
    <row r="263" spans="1:45" x14ac:dyDescent="0.3">
      <c r="A263" t="s">
        <v>306</v>
      </c>
      <c r="B263">
        <v>752614</v>
      </c>
      <c r="C263">
        <v>41.38</v>
      </c>
      <c r="D263">
        <v>-181400000</v>
      </c>
      <c r="E263">
        <v>20.23</v>
      </c>
      <c r="F263">
        <v>5353000000</v>
      </c>
      <c r="G263">
        <v>5345000000</v>
      </c>
      <c r="H263">
        <v>8167000000</v>
      </c>
      <c r="I263">
        <v>1548000000</v>
      </c>
      <c r="J263">
        <v>9409000000</v>
      </c>
      <c r="K263">
        <v>900</v>
      </c>
      <c r="L263">
        <v>4.5999999999999996</v>
      </c>
      <c r="M263">
        <v>16.5</v>
      </c>
      <c r="N263">
        <v>89000</v>
      </c>
      <c r="O263">
        <v>920000</v>
      </c>
      <c r="P263">
        <v>91440</v>
      </c>
      <c r="Q263">
        <v>1519000000</v>
      </c>
      <c r="R263">
        <v>6.9</v>
      </c>
      <c r="S263">
        <v>88.29</v>
      </c>
      <c r="T263">
        <v>18.3</v>
      </c>
      <c r="U263">
        <v>1880</v>
      </c>
      <c r="V263">
        <v>68200</v>
      </c>
      <c r="W263">
        <v>41.4</v>
      </c>
      <c r="X263">
        <v>4630000</v>
      </c>
      <c r="Y263">
        <v>39.700000000000003</v>
      </c>
      <c r="Z263">
        <v>106800000</v>
      </c>
      <c r="AA263">
        <v>1.8</v>
      </c>
      <c r="AG263">
        <v>11000</v>
      </c>
      <c r="AJ263">
        <v>0</v>
      </c>
      <c r="AL263">
        <v>11261795</v>
      </c>
      <c r="AM263">
        <v>127.5</v>
      </c>
      <c r="AN263">
        <v>2173</v>
      </c>
      <c r="AO263">
        <v>345000000</v>
      </c>
      <c r="AP263">
        <v>88400</v>
      </c>
      <c r="AQ263">
        <v>241000</v>
      </c>
      <c r="AR263">
        <v>5.47</v>
      </c>
      <c r="AS263">
        <v>50</v>
      </c>
    </row>
    <row r="264" spans="1:45" x14ac:dyDescent="0.3">
      <c r="A264" t="s">
        <v>307</v>
      </c>
      <c r="B264">
        <v>390580</v>
      </c>
      <c r="C264">
        <v>29.74</v>
      </c>
      <c r="D264">
        <v>-230300000</v>
      </c>
      <c r="E264">
        <v>24.66</v>
      </c>
      <c r="F264">
        <v>4086000000</v>
      </c>
      <c r="G264">
        <v>11220000000</v>
      </c>
      <c r="H264">
        <v>8839000000</v>
      </c>
      <c r="I264">
        <v>1409000000</v>
      </c>
      <c r="J264">
        <v>24370000000</v>
      </c>
      <c r="K264">
        <v>1900</v>
      </c>
      <c r="L264">
        <v>-8.1999999999999993</v>
      </c>
      <c r="M264">
        <v>24.6</v>
      </c>
      <c r="N264">
        <v>170000</v>
      </c>
      <c r="O264">
        <v>1800000</v>
      </c>
      <c r="P264">
        <v>18338</v>
      </c>
      <c r="Q264">
        <v>1599000000</v>
      </c>
      <c r="R264">
        <v>-7.8</v>
      </c>
      <c r="S264">
        <v>67.69</v>
      </c>
      <c r="T264">
        <v>133</v>
      </c>
      <c r="U264">
        <v>4501</v>
      </c>
      <c r="V264">
        <v>500000</v>
      </c>
      <c r="W264">
        <v>9.9</v>
      </c>
      <c r="X264">
        <v>4230000</v>
      </c>
      <c r="Y264">
        <v>36.67</v>
      </c>
      <c r="Z264">
        <v>217000000</v>
      </c>
      <c r="AA264">
        <v>4.3</v>
      </c>
      <c r="AG264">
        <v>23000</v>
      </c>
      <c r="AJ264">
        <v>0</v>
      </c>
      <c r="AL264">
        <v>12746990</v>
      </c>
      <c r="AM264">
        <v>52.3</v>
      </c>
      <c r="AN264">
        <v>3077</v>
      </c>
      <c r="AO264">
        <v>57000000</v>
      </c>
      <c r="AP264">
        <v>300900</v>
      </c>
      <c r="AQ264">
        <v>379100</v>
      </c>
      <c r="AR264">
        <v>3.54</v>
      </c>
      <c r="AS264">
        <v>70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C661D-C751-457C-81D6-A1FBB6F456F2}">
  <dimension ref="A1:AS119"/>
  <sheetViews>
    <sheetView zoomScale="80" zoomScaleNormal="80" workbookViewId="0">
      <selection activeCell="A123" sqref="A123"/>
    </sheetView>
  </sheetViews>
  <sheetFormatPr defaultRowHeight="14.4" x14ac:dyDescent="0.3"/>
  <cols>
    <col min="1" max="1" width="37.88671875" bestFit="1" customWidth="1"/>
    <col min="2" max="2" width="14.109375" customWidth="1"/>
    <col min="3" max="3" width="34.5546875" bestFit="1" customWidth="1"/>
    <col min="4" max="4" width="25" bestFit="1" customWidth="1"/>
    <col min="5" max="5" width="36.77734375" bestFit="1" customWidth="1"/>
    <col min="6" max="6" width="15.88671875" bestFit="1" customWidth="1"/>
    <col min="7" max="7" width="31.109375" bestFit="1" customWidth="1"/>
    <col min="8" max="8" width="29.33203125" bestFit="1" customWidth="1"/>
    <col min="9" max="10" width="12" bestFit="1" customWidth="1"/>
    <col min="11" max="11" width="17.21875" bestFit="1" customWidth="1"/>
    <col min="12" max="12" width="26.5546875" bestFit="1" customWidth="1"/>
    <col min="13" max="13" width="36" bestFit="1" customWidth="1"/>
    <col min="14" max="14" width="18.77734375" bestFit="1" customWidth="1"/>
    <col min="15" max="15" width="39" bestFit="1" customWidth="1"/>
    <col min="16" max="16" width="15.21875" bestFit="1" customWidth="1"/>
    <col min="17" max="17" width="12" bestFit="1" customWidth="1"/>
    <col min="18" max="18" width="37.109375" bestFit="1" customWidth="1"/>
    <col min="19" max="19" width="44.88671875" bestFit="1" customWidth="1"/>
    <col min="20" max="20" width="34.77734375" bestFit="1" customWidth="1"/>
    <col min="21" max="21" width="14.88671875" bestFit="1" customWidth="1"/>
    <col min="22" max="22" width="14.77734375" bestFit="1" customWidth="1"/>
    <col min="23" max="23" width="34.88671875" bestFit="1" customWidth="1"/>
    <col min="24" max="24" width="12.6640625" bestFit="1" customWidth="1"/>
    <col min="25" max="25" width="30.6640625" bestFit="1" customWidth="1"/>
    <col min="26" max="26" width="35.88671875" bestFit="1" customWidth="1"/>
    <col min="27" max="27" width="41.6640625" bestFit="1" customWidth="1"/>
    <col min="28" max="28" width="33.109375" bestFit="1" customWidth="1"/>
    <col min="29" max="29" width="27.77734375" bestFit="1" customWidth="1"/>
    <col min="30" max="30" width="28" bestFit="1" customWidth="1"/>
    <col min="31" max="31" width="31.21875" bestFit="1" customWidth="1"/>
    <col min="32" max="32" width="35.77734375" bestFit="1" customWidth="1"/>
    <col min="33" max="33" width="27.44140625" bestFit="1" customWidth="1"/>
    <col min="34" max="34" width="22.109375" bestFit="1" customWidth="1"/>
    <col min="35" max="35" width="22.33203125" bestFit="1" customWidth="1"/>
    <col min="36" max="36" width="25.44140625" bestFit="1" customWidth="1"/>
    <col min="37" max="37" width="25.6640625" bestFit="1" customWidth="1"/>
    <col min="38" max="38" width="12.6640625" bestFit="1" customWidth="1"/>
    <col min="39" max="39" width="22.6640625" bestFit="1" customWidth="1"/>
    <col min="40" max="40" width="14.44140625" bestFit="1" customWidth="1"/>
    <col min="41" max="41" width="36.6640625" bestFit="1" customWidth="1"/>
    <col min="42" max="42" width="30.5546875" bestFit="1" customWidth="1"/>
    <col min="43" max="43" width="28.5546875" bestFit="1" customWidth="1"/>
    <col min="44" max="44" width="41.109375" bestFit="1" customWidth="1"/>
    <col min="45" max="46" width="20.109375" bestFit="1" customWidth="1"/>
  </cols>
  <sheetData>
    <row r="1" spans="1:45" ht="25.8" x14ac:dyDescent="0.5">
      <c r="A1" s="6" t="s">
        <v>308</v>
      </c>
    </row>
    <row r="3" spans="1:45" ht="21" customHeight="1" x14ac:dyDescent="0.3">
      <c r="A3" s="4" t="s">
        <v>323</v>
      </c>
      <c r="B3" s="4" t="s">
        <v>1</v>
      </c>
      <c r="C3" s="4" t="s">
        <v>2</v>
      </c>
      <c r="D3" s="4" t="s">
        <v>3</v>
      </c>
      <c r="E3" s="4" t="s">
        <v>4</v>
      </c>
      <c r="F3" s="4" t="s">
        <v>5</v>
      </c>
      <c r="G3" s="4" t="s">
        <v>6</v>
      </c>
      <c r="H3" s="4" t="s">
        <v>7</v>
      </c>
      <c r="I3" s="4" t="s">
        <v>8</v>
      </c>
      <c r="J3" s="4" t="s">
        <v>9</v>
      </c>
      <c r="K3" s="4" t="s">
        <v>10</v>
      </c>
      <c r="L3" s="4" t="s">
        <v>11</v>
      </c>
      <c r="M3" s="4" t="s">
        <v>12</v>
      </c>
      <c r="N3" s="4" t="s">
        <v>13</v>
      </c>
      <c r="O3" s="4" t="s">
        <v>14</v>
      </c>
      <c r="P3" s="4" t="s">
        <v>15</v>
      </c>
      <c r="Q3" s="4" t="s">
        <v>16</v>
      </c>
      <c r="R3" s="4" t="s">
        <v>17</v>
      </c>
      <c r="S3" s="4" t="s">
        <v>18</v>
      </c>
      <c r="T3" s="4" t="s">
        <v>19</v>
      </c>
      <c r="U3" s="4" t="s">
        <v>20</v>
      </c>
      <c r="V3" s="4" t="s">
        <v>21</v>
      </c>
      <c r="W3" s="4" t="s">
        <v>22</v>
      </c>
      <c r="X3" s="4" t="s">
        <v>23</v>
      </c>
      <c r="Y3" s="4" t="s">
        <v>24</v>
      </c>
      <c r="Z3" s="4" t="s">
        <v>25</v>
      </c>
      <c r="AA3" s="4" t="s">
        <v>26</v>
      </c>
      <c r="AB3" s="4" t="s">
        <v>27</v>
      </c>
      <c r="AC3" s="4" t="s">
        <v>28</v>
      </c>
      <c r="AD3" s="4" t="s">
        <v>29</v>
      </c>
      <c r="AE3" s="4" t="s">
        <v>30</v>
      </c>
      <c r="AF3" s="4" t="s">
        <v>31</v>
      </c>
      <c r="AG3" s="4" t="s">
        <v>32</v>
      </c>
      <c r="AH3" s="4" t="s">
        <v>33</v>
      </c>
      <c r="AI3" s="4" t="s">
        <v>34</v>
      </c>
      <c r="AJ3" s="4" t="s">
        <v>35</v>
      </c>
      <c r="AK3" s="4" t="s">
        <v>36</v>
      </c>
      <c r="AL3" s="4" t="s">
        <v>37</v>
      </c>
      <c r="AM3" s="4" t="s">
        <v>38</v>
      </c>
      <c r="AN3" s="4" t="s">
        <v>39</v>
      </c>
      <c r="AO3" s="4" t="s">
        <v>40</v>
      </c>
      <c r="AP3" s="4" t="s">
        <v>41</v>
      </c>
      <c r="AQ3" s="4" t="s">
        <v>42</v>
      </c>
      <c r="AR3" s="4" t="s">
        <v>43</v>
      </c>
      <c r="AS3" s="4" t="s">
        <v>44</v>
      </c>
    </row>
    <row r="4" spans="1:45" ht="15.6" x14ac:dyDescent="0.3">
      <c r="A4" s="13" t="s">
        <v>324</v>
      </c>
      <c r="B4" s="5">
        <f>SUM(data[Area(sq km)])</f>
        <v>153851709</v>
      </c>
      <c r="C4" s="5">
        <f>SUM(data[Birth rate(births/1000 population)])</f>
        <v>4982.9999999999982</v>
      </c>
      <c r="D4" s="5">
        <f>SUM(data[Current account balance])</f>
        <v>-126261070000</v>
      </c>
      <c r="E4" s="5">
        <f>SUM(data[Death rate(deaths/1000 population)])</f>
        <v>2109.21</v>
      </c>
      <c r="F4" s="5">
        <f>SUM(data[Debt - external])</f>
        <v>12697337918000</v>
      </c>
      <c r="G4" s="5">
        <f>SUM(data[Electricity - consumption(kWh)])</f>
        <v>17352476674000</v>
      </c>
      <c r="H4" s="5">
        <f>SUM(data[Electricity - production(kWh)])</f>
        <v>18848726290000</v>
      </c>
      <c r="I4" s="5">
        <f>SUM(data[Exports])</f>
        <v>9929107135200</v>
      </c>
      <c r="J4" s="5">
        <f>SUM(data[GDP])</f>
        <v>67289115400000</v>
      </c>
      <c r="K4" s="5">
        <f>SUM(data[GDP - per capita])</f>
        <v>2427135</v>
      </c>
      <c r="L4" s="5">
        <f>SUM(data[GDP - real growth rate(%)])</f>
        <v>1012.9000000000001</v>
      </c>
      <c r="M4" s="5">
        <f>SUM(data[HIV/AIDS - adult prevalence rate(%)])</f>
        <v>426.67000000000007</v>
      </c>
      <c r="N4" s="5">
        <f>SUM(data[HIV/AIDS - deaths])</f>
        <v>2835808</v>
      </c>
      <c r="O4" s="5">
        <f>SUM(data[HIV/AIDS - people living with HIV/AIDS])</f>
        <v>38217530</v>
      </c>
      <c r="P4" s="5">
        <f>SUM(data[Highways(km)])</f>
        <v>32558334</v>
      </c>
      <c r="Q4" s="5">
        <f>SUM(data[Imports])</f>
        <v>9941911803000</v>
      </c>
      <c r="R4" s="5">
        <f>SUM(data[Industrial production growth rate(%)])</f>
        <v>914.9000000000002</v>
      </c>
      <c r="S4" s="5">
        <f>SUM(data[Infant mortality rate(deaths/1000 live births)])</f>
        <v>7955.4899999999961</v>
      </c>
      <c r="T4" s="5">
        <f>SUM(data[Inflation rate (consumer prices)(%)])</f>
        <v>1298.1999999999996</v>
      </c>
      <c r="U4" s="5">
        <f>SUM(data[Internet hosts])</f>
        <v>193410220</v>
      </c>
      <c r="V4" s="5">
        <f>SUM(data[Internet users])</f>
        <v>908287676</v>
      </c>
      <c r="W4" s="5">
        <f>SUM(data[Investment (gross fixed)(% of GDP)])</f>
        <v>3170.900000000001</v>
      </c>
      <c r="X4" s="5">
        <f>SUM(data[Labor force])</f>
        <v>3148016025</v>
      </c>
      <c r="Y4" s="5">
        <f>SUM(data[Life expectancy at birth(years)])</f>
        <v>15230.829999999993</v>
      </c>
      <c r="Z4" s="5">
        <f>SUM(data[Military expenditures - dollar figure])</f>
        <v>881250600000</v>
      </c>
      <c r="AA4" s="5">
        <f>SUM(data[Military expenditures - percent of GDP(%)])</f>
        <v>425.64999999999969</v>
      </c>
      <c r="AB4" s="5">
        <f>SUM(data[Natural gas - consumption(cu m)])</f>
        <v>3066619570000</v>
      </c>
      <c r="AC4" s="5">
        <f>SUM(data[Natural gas - exports(cu m)])</f>
        <v>771814000000</v>
      </c>
      <c r="AD4" s="5">
        <f>SUM(data[Natural gas - imports(cu m)])</f>
        <v>1016541900000</v>
      </c>
      <c r="AE4" s="5">
        <f>SUM(data[Natural gas - production(cu m)])</f>
        <v>2879625670000</v>
      </c>
      <c r="AF4" s="5">
        <f>SUM(data[Natural gas - proved reserves(cu m)])</f>
        <v>161333698290000</v>
      </c>
      <c r="AG4" s="5">
        <f>SUM(data[Oil - consumption(bbl/day)])</f>
        <v>91578240</v>
      </c>
      <c r="AH4" s="5">
        <f>SUM(data[Oil - exports(bbl/day)])</f>
        <v>47670619</v>
      </c>
      <c r="AI4" s="5">
        <f>SUM(data[Oil - imports(bbl/day)])</f>
        <v>46008464</v>
      </c>
      <c r="AJ4" s="5">
        <f>SUM(data[Oil - production(bbl/day)])</f>
        <v>78661231</v>
      </c>
      <c r="AK4" s="5">
        <f>SUM(data[Oil - proved reserves(bbl)])</f>
        <v>1374380043000</v>
      </c>
      <c r="AL4" s="5">
        <f>SUM(data[Population])</f>
        <v>6903176002</v>
      </c>
      <c r="AM4" s="5">
        <f>SUM(data[Public debt(% of GDP)])</f>
        <v>6036.8</v>
      </c>
      <c r="AN4" s="5">
        <f>SUM(data[Railways(km)])</f>
        <v>1369111</v>
      </c>
      <c r="AO4" s="5">
        <f>SUM(data[Reserves of foreign exchange &amp; gold])</f>
        <v>3821742040000</v>
      </c>
      <c r="AP4" s="5">
        <f>SUM(data[Telephones - main lines in use])</f>
        <v>1391714685</v>
      </c>
      <c r="AQ4" s="5">
        <f>SUM(data[Telephones - mobile cellular])</f>
        <v>1671546810</v>
      </c>
      <c r="AR4" s="5">
        <f>SUM(data[Total fertility rate(children born/woman)])</f>
        <v>660.99999999999989</v>
      </c>
      <c r="AS4" s="5">
        <f>SUM(data[Unemployment rate(%)])</f>
        <v>2928.900000000001</v>
      </c>
    </row>
    <row r="5" spans="1:45" ht="15.6" x14ac:dyDescent="0.3">
      <c r="A5" s="13" t="s">
        <v>325</v>
      </c>
      <c r="B5" s="5">
        <f>COUNT(data[Area(sq km)])</f>
        <v>263</v>
      </c>
      <c r="C5" s="5">
        <f>COUNT(data[Birth rate(births/1000 population)])</f>
        <v>225</v>
      </c>
      <c r="D5" s="5">
        <f>COUNT(data[Current account balance])</f>
        <v>149</v>
      </c>
      <c r="E5" s="5">
        <f>COUNT(data[Death rate(deaths/1000 population)])</f>
        <v>225</v>
      </c>
      <c r="F5" s="5">
        <f>COUNT(data[Debt - external])</f>
        <v>201</v>
      </c>
      <c r="G5" s="5">
        <f>COUNT(data[Electricity - consumption(kWh)])</f>
        <v>215</v>
      </c>
      <c r="H5" s="5">
        <f>COUNT(data[Electricity - production(kWh)])</f>
        <v>213</v>
      </c>
      <c r="I5" s="5">
        <f>COUNT(data[Exports])</f>
        <v>224</v>
      </c>
      <c r="J5" s="5">
        <f>COUNT(data[GDP])</f>
        <v>230</v>
      </c>
      <c r="K5" s="5">
        <f>COUNT(data[GDP - per capita])</f>
        <v>230</v>
      </c>
      <c r="L5" s="5">
        <f>COUNT(data[GDP - real growth rate(%)])</f>
        <v>212</v>
      </c>
      <c r="M5" s="5">
        <f>COUNT(data[HIV/AIDS - adult prevalence rate(%)])</f>
        <v>168</v>
      </c>
      <c r="N5" s="5">
        <f>COUNT(data[HIV/AIDS - deaths])</f>
        <v>148</v>
      </c>
      <c r="O5" s="5">
        <f>COUNT(data[HIV/AIDS - people living with HIV/AIDS])</f>
        <v>164</v>
      </c>
      <c r="P5" s="5">
        <f>COUNT(data[Highways(km)])</f>
        <v>230</v>
      </c>
      <c r="Q5" s="5">
        <f>COUNT(data[Imports])</f>
        <v>224</v>
      </c>
      <c r="R5" s="5">
        <f>COUNT(data[Industrial production growth rate(%)])</f>
        <v>164</v>
      </c>
      <c r="S5" s="5">
        <f>COUNT(data[Infant mortality rate(deaths/1000 live births)])</f>
        <v>225</v>
      </c>
      <c r="T5" s="5">
        <f>COUNT(data[Inflation rate (consumer prices)(%)])</f>
        <v>222</v>
      </c>
      <c r="U5" s="5">
        <f>COUNT(data[Internet hosts])</f>
        <v>191</v>
      </c>
      <c r="V5" s="5">
        <f>COUNT(data[Internet users])</f>
        <v>216</v>
      </c>
      <c r="W5" s="5">
        <f>COUNT(data[Investment (gross fixed)(% of GDP)])</f>
        <v>146</v>
      </c>
      <c r="X5" s="5">
        <f>COUNT(data[Labor force])</f>
        <v>214</v>
      </c>
      <c r="Y5" s="5">
        <f>COUNT(data[Life expectancy at birth(years)])</f>
        <v>225</v>
      </c>
      <c r="Z5" s="5">
        <f>COUNT(data[Military expenditures - dollar figure])</f>
        <v>170</v>
      </c>
      <c r="AA5" s="5">
        <f>COUNT(data[Military expenditures - percent of GDP(%)])</f>
        <v>165</v>
      </c>
      <c r="AB5" s="5">
        <f>COUNT(data[Natural gas - consumption(cu m)])</f>
        <v>108</v>
      </c>
      <c r="AC5" s="5">
        <f>COUNT(data[Natural gas - exports(cu m)])</f>
        <v>108</v>
      </c>
      <c r="AD5" s="5">
        <f>COUNT(data[Natural gas - imports(cu m)])</f>
        <v>108</v>
      </c>
      <c r="AE5" s="5">
        <f>COUNT(data[Natural gas - production(cu m)])</f>
        <v>107</v>
      </c>
      <c r="AF5" s="5">
        <f>COUNT(data[Natural gas - proved reserves(cu m)])</f>
        <v>97</v>
      </c>
      <c r="AG5" s="5">
        <f>COUNT(data[Oil - consumption(bbl/day)])</f>
        <v>212</v>
      </c>
      <c r="AH5" s="5">
        <f>COUNT(data[Oil - exports(bbl/day)])</f>
        <v>58</v>
      </c>
      <c r="AI5" s="5">
        <f>COUNT(data[Oil - imports(bbl/day)])</f>
        <v>46</v>
      </c>
      <c r="AJ5" s="5">
        <f>COUNT(data[Oil - production(bbl/day)])</f>
        <v>212</v>
      </c>
      <c r="AK5" s="5">
        <f>COUNT(data[Oil - proved reserves(bbl)])</f>
        <v>97</v>
      </c>
      <c r="AL5" s="5">
        <f>COUNT(data[Population])</f>
        <v>238</v>
      </c>
      <c r="AM5" s="5">
        <f>COUNT(data[Public debt(% of GDP)])</f>
        <v>108</v>
      </c>
      <c r="AN5" s="5">
        <f>COUNT(data[Railways(km)])</f>
        <v>134</v>
      </c>
      <c r="AO5" s="5">
        <f>COUNT(data[Reserves of foreign exchange &amp; gold])</f>
        <v>147</v>
      </c>
      <c r="AP5" s="5">
        <f>COUNT(data[Telephones - main lines in use])</f>
        <v>232</v>
      </c>
      <c r="AQ5" s="5">
        <f>COUNT(data[Telephones - mobile cellular])</f>
        <v>228</v>
      </c>
      <c r="AR5" s="5">
        <f>COUNT(data[Total fertility rate(children born/woman)])</f>
        <v>225</v>
      </c>
      <c r="AS5" s="5">
        <f>COUNT(data[Unemployment rate(%)])</f>
        <v>192</v>
      </c>
    </row>
    <row r="6" spans="1:45" ht="15.6" x14ac:dyDescent="0.3">
      <c r="A6" s="13" t="s">
        <v>309</v>
      </c>
      <c r="B6" s="5">
        <f>AVERAGE(data[Area(sq km)])</f>
        <v>584987.4866920152</v>
      </c>
      <c r="C6" s="5">
        <f>AVERAGE(data[Birth rate(births/1000 population)])</f>
        <v>22.146666666666658</v>
      </c>
      <c r="D6" s="5">
        <f>AVERAGE(data[Current account balance])</f>
        <v>-847389731.54362416</v>
      </c>
      <c r="E6" s="5">
        <f>AVERAGE(data[Death rate(deaths/1000 population)])</f>
        <v>9.3742666666666672</v>
      </c>
      <c r="F6" s="5">
        <f>AVERAGE(data[Debt - external])</f>
        <v>63170835412.935326</v>
      </c>
      <c r="G6" s="5">
        <f>AVERAGE(data[Electricity - consumption(kWh)])</f>
        <v>80709193832.558136</v>
      </c>
      <c r="H6" s="5">
        <f>AVERAGE(data[Electricity - production(kWh)])</f>
        <v>88491672723.0047</v>
      </c>
      <c r="I6" s="5">
        <f>AVERAGE(data[Exports])</f>
        <v>44326371139.285713</v>
      </c>
      <c r="J6" s="5">
        <f>AVERAGE(data[GDP])</f>
        <v>292561371304.34784</v>
      </c>
      <c r="K6" s="5">
        <f>AVERAGE(data[GDP - per capita])</f>
        <v>10552.760869565218</v>
      </c>
      <c r="L6" s="5">
        <f>AVERAGE(data[GDP - real growth rate(%)])</f>
        <v>4.7778301886792454</v>
      </c>
      <c r="M6" s="5">
        <f>AVERAGE(data[HIV/AIDS - adult prevalence rate(%)])</f>
        <v>2.5397023809523813</v>
      </c>
      <c r="N6" s="5">
        <f>AVERAGE(data[HIV/AIDS - deaths])</f>
        <v>19160.864864864863</v>
      </c>
      <c r="O6" s="5">
        <f>AVERAGE(data[HIV/AIDS - people living with HIV/AIDS])</f>
        <v>233033.71951219512</v>
      </c>
      <c r="P6" s="5">
        <f>AVERAGE(data[Highways(km)])</f>
        <v>141557.97391304348</v>
      </c>
      <c r="Q6" s="5">
        <f>AVERAGE(data[Imports])</f>
        <v>44383534834.821426</v>
      </c>
      <c r="R6" s="5">
        <f>AVERAGE(data[Industrial production growth rate(%)])</f>
        <v>5.5786585365853671</v>
      </c>
      <c r="S6" s="5">
        <f>AVERAGE(data[Infant mortality rate(deaths/1000 live births)])</f>
        <v>35.357733333333314</v>
      </c>
      <c r="T6" s="5">
        <f>AVERAGE(data[Inflation rate (consumer prices)(%)])</f>
        <v>5.8477477477477455</v>
      </c>
      <c r="U6" s="5">
        <f>AVERAGE(data[Internet hosts])</f>
        <v>1012618.9528795811</v>
      </c>
      <c r="V6" s="5">
        <f>AVERAGE(data[Internet users])</f>
        <v>4205035.5370370373</v>
      </c>
      <c r="W6" s="5">
        <f>AVERAGE(data[Investment (gross fixed)(% of GDP)])</f>
        <v>21.718493150684939</v>
      </c>
      <c r="X6" s="5">
        <f>AVERAGE(data[Labor force])</f>
        <v>14710355.257009346</v>
      </c>
      <c r="Y6" s="5">
        <f>AVERAGE(data[Life expectancy at birth(years)])</f>
        <v>67.692577777777743</v>
      </c>
      <c r="Z6" s="5">
        <f>AVERAGE(data[Military expenditures - dollar figure])</f>
        <v>5183827058.8235292</v>
      </c>
      <c r="AA6" s="5">
        <f>AVERAGE(data[Military expenditures - percent of GDP(%)])</f>
        <v>2.5796969696969678</v>
      </c>
      <c r="AB6" s="5">
        <f>AVERAGE(data[Natural gas - consumption(cu m)])</f>
        <v>28394625648.148148</v>
      </c>
      <c r="AC6" s="5">
        <f>AVERAGE(data[Natural gas - exports(cu m)])</f>
        <v>7146425925.9259262</v>
      </c>
      <c r="AD6" s="5">
        <f>AVERAGE(data[Natural gas - imports(cu m)])</f>
        <v>9412425000</v>
      </c>
      <c r="AE6" s="5">
        <f>AVERAGE(data[Natural gas - production(cu m)])</f>
        <v>26912389439.252335</v>
      </c>
      <c r="AF6" s="5">
        <f>AVERAGE(data[Natural gas - proved reserves(cu m)])</f>
        <v>1663234002989.6907</v>
      </c>
      <c r="AG6" s="5">
        <f>AVERAGE(data[Oil - consumption(bbl/day)])</f>
        <v>431972.83018867922</v>
      </c>
      <c r="AH6" s="5">
        <f>AVERAGE(data[Oil - exports(bbl/day)])</f>
        <v>821907.22413793101</v>
      </c>
      <c r="AI6" s="5">
        <f>AVERAGE(data[Oil - imports(bbl/day)])</f>
        <v>1000184</v>
      </c>
      <c r="AJ6" s="5">
        <f>AVERAGE(data[Oil - production(bbl/day)])</f>
        <v>371043.54245283018</v>
      </c>
      <c r="AK6" s="5">
        <f>AVERAGE(data[Oil - proved reserves(bbl)])</f>
        <v>14168866422.680412</v>
      </c>
      <c r="AL6" s="5">
        <f>AVERAGE(data[Population])</f>
        <v>29004941.18487395</v>
      </c>
      <c r="AM6" s="5">
        <f>AVERAGE(data[Public debt(% of GDP)])</f>
        <v>55.896296296296299</v>
      </c>
      <c r="AN6" s="5">
        <f>AVERAGE(data[Railways(km)])</f>
        <v>10217.246268656716</v>
      </c>
      <c r="AO6" s="5">
        <f>AVERAGE(data[Reserves of foreign exchange &amp; gold])</f>
        <v>25998245170.068027</v>
      </c>
      <c r="AP6" s="5">
        <f>AVERAGE(data[Telephones - main lines in use])</f>
        <v>5998770.193965517</v>
      </c>
      <c r="AQ6" s="5">
        <f>AVERAGE(data[Telephones - mobile cellular])</f>
        <v>7331345.6578947371</v>
      </c>
      <c r="AR6" s="5">
        <f>AVERAGE(data[Total fertility rate(children born/woman)])</f>
        <v>2.9377777777777774</v>
      </c>
      <c r="AS6" s="5">
        <f>AVERAGE(data[Unemployment rate(%)])</f>
        <v>15.254687500000005</v>
      </c>
    </row>
    <row r="7" spans="1:45" ht="15.6" x14ac:dyDescent="0.3">
      <c r="A7" s="13" t="s">
        <v>310</v>
      </c>
      <c r="B7" s="5">
        <f>MEDIAN(data[Area(sq km)])</f>
        <v>48845</v>
      </c>
      <c r="C7" s="5">
        <f>MEDIAN(data[Birth rate(births/1000 population)])</f>
        <v>18.78</v>
      </c>
      <c r="D7" s="5">
        <f>MEDIAN(data[Current account balance])</f>
        <v>-82400000</v>
      </c>
      <c r="E7" s="5">
        <f>MEDIAN(data[Death rate(deaths/1000 population)])</f>
        <v>8</v>
      </c>
      <c r="F7" s="5">
        <f>MEDIAN(data[Debt - external])</f>
        <v>4069000000</v>
      </c>
      <c r="G7" s="5">
        <f>MEDIAN(data[Electricity - consumption(kWh)])</f>
        <v>4450000000</v>
      </c>
      <c r="H7" s="5">
        <f>MEDIAN(data[Electricity - production(kWh)])</f>
        <v>4873000000</v>
      </c>
      <c r="I7" s="5">
        <f>MEDIAN(data[Exports])</f>
        <v>2058000000</v>
      </c>
      <c r="J7" s="5">
        <f>MEDIAN(data[GDP])</f>
        <v>16855000000</v>
      </c>
      <c r="K7" s="5">
        <f>MEDIAN(data[GDP - per capita])</f>
        <v>5900</v>
      </c>
      <c r="L7" s="5">
        <f>MEDIAN(data[GDP - real growth rate(%)])</f>
        <v>4</v>
      </c>
      <c r="M7" s="5">
        <f>MEDIAN(data[HIV/AIDS - adult prevalence rate(%)])</f>
        <v>0.3</v>
      </c>
      <c r="N7" s="5">
        <f>MEDIAN(data[HIV/AIDS - deaths])</f>
        <v>900</v>
      </c>
      <c r="O7" s="5">
        <f>MEDIAN(data[HIV/AIDS - people living with HIV/AIDS])</f>
        <v>14500</v>
      </c>
      <c r="P7" s="5">
        <f>MEDIAN(data[Highways(km)])</f>
        <v>14299</v>
      </c>
      <c r="Q7" s="5">
        <f>MEDIAN(data[Imports])</f>
        <v>2377500000</v>
      </c>
      <c r="R7" s="5">
        <f>MEDIAN(data[Industrial production growth rate(%)])</f>
        <v>4.6500000000000004</v>
      </c>
      <c r="S7" s="5">
        <f>MEDIAN(data[Infant mortality rate(deaths/1000 live births)])</f>
        <v>20.97</v>
      </c>
      <c r="T7" s="5">
        <f>MEDIAN(data[Inflation rate (consumer prices)(%)])</f>
        <v>3.2</v>
      </c>
      <c r="U7" s="5">
        <f>MEDIAN(data[Internet hosts])</f>
        <v>3627</v>
      </c>
      <c r="V7" s="5">
        <f>MEDIAN(data[Internet users])</f>
        <v>132000</v>
      </c>
      <c r="W7" s="5">
        <f>MEDIAN(data[Investment (gross fixed)(% of GDP)])</f>
        <v>19.8</v>
      </c>
      <c r="X7" s="5">
        <f>MEDIAN(data[Labor force])</f>
        <v>2190000</v>
      </c>
      <c r="Y7" s="5">
        <f>MEDIAN(data[Life expectancy at birth(years)])</f>
        <v>71.77</v>
      </c>
      <c r="Z7" s="5">
        <f>MEDIAN(data[Military expenditures - dollar figure])</f>
        <v>221450000</v>
      </c>
      <c r="AA7" s="5">
        <f>MEDIAN(data[Military expenditures - percent of GDP(%)])</f>
        <v>1.89</v>
      </c>
      <c r="AB7" s="5">
        <f>MEDIAN(data[Natural gas - consumption(cu m)])</f>
        <v>5752000000</v>
      </c>
      <c r="AC7" s="5">
        <f>MEDIAN(data[Natural gas - exports(cu m)])</f>
        <v>0</v>
      </c>
      <c r="AD7" s="5">
        <f>MEDIAN(data[Natural gas - imports(cu m)])</f>
        <v>32500000</v>
      </c>
      <c r="AE7" s="5">
        <f>MEDIAN(data[Natural gas - production(cu m)])</f>
        <v>1760000000</v>
      </c>
      <c r="AF7" s="5">
        <f>MEDIAN(data[Natural gas - proved reserves(cu m)])</f>
        <v>107600000000</v>
      </c>
      <c r="AG7" s="5">
        <f>MEDIAN(data[Oil - consumption(bbl/day)])</f>
        <v>30500</v>
      </c>
      <c r="AH7" s="5">
        <f>MEDIAN(data[Oil - exports(bbl/day)])</f>
        <v>201350</v>
      </c>
      <c r="AI7" s="5">
        <f>MEDIAN(data[Oil - imports(bbl/day)])</f>
        <v>275750</v>
      </c>
      <c r="AJ7" s="5">
        <f>MEDIAN(data[Oil - production(bbl/day)])</f>
        <v>0</v>
      </c>
      <c r="AK7" s="5">
        <f>MEDIAN(data[Oil - proved reserves(bbl)])</f>
        <v>408800000</v>
      </c>
      <c r="AL7" s="5">
        <f>MEDIAN(data[Population])</f>
        <v>4440570.5</v>
      </c>
      <c r="AM7" s="5">
        <f>MEDIAN(data[Public debt(% of GDP)])</f>
        <v>50.75</v>
      </c>
      <c r="AN7" s="5">
        <f>MEDIAN(data[Railways(km)])</f>
        <v>2585.5</v>
      </c>
      <c r="AO7" s="5">
        <f>MEDIAN(data[Reserves of foreign exchange &amp; gold])</f>
        <v>3034000000</v>
      </c>
      <c r="AP7" s="5">
        <f>MEDIAN(data[Telephones - main lines in use])</f>
        <v>231350</v>
      </c>
      <c r="AQ7" s="5">
        <f>MEDIAN(data[Telephones - mobile cellular])</f>
        <v>350050</v>
      </c>
      <c r="AR7" s="5">
        <f>MEDIAN(data[Total fertility rate(children born/woman)])</f>
        <v>2.37</v>
      </c>
      <c r="AS7" s="5">
        <f>MEDIAN(data[Unemployment rate(%)])</f>
        <v>10.5</v>
      </c>
    </row>
    <row r="8" spans="1:45" ht="15.6" x14ac:dyDescent="0.3">
      <c r="A8" s="13" t="s">
        <v>311</v>
      </c>
      <c r="B8" s="5">
        <f>_xlfn.MODE.MULT(data[Area(sq km)])</f>
        <v>5</v>
      </c>
      <c r="C8" s="5">
        <f>_xlfn.MODE.MULT(data[Birth rate(births/1000 population)])</f>
        <v>16.829999999999998</v>
      </c>
      <c r="D8" s="5" t="e">
        <f>_xlfn.MODE.MULT(data[Current account balance])</f>
        <v>#N/A</v>
      </c>
      <c r="E8" s="5">
        <f>_xlfn.MODE.MULT(data[Death rate(deaths/1000 population)])</f>
        <v>6.26</v>
      </c>
      <c r="F8" s="5">
        <f>_xlfn.MODE.MULT(data[Debt - external])</f>
        <v>0</v>
      </c>
      <c r="G8" s="5">
        <f>_xlfn.MODE.MULT(data[Electricity - consumption(kWh)])</f>
        <v>40060000</v>
      </c>
      <c r="H8" s="5">
        <f>_xlfn.MODE.MULT(data[Electricity - production(kWh)])</f>
        <v>122000000</v>
      </c>
      <c r="I8" s="5">
        <f>_xlfn.MODE.MULT(data[Exports])</f>
        <v>15500000000</v>
      </c>
      <c r="J8" s="5">
        <f>_xlfn.MODE.MULT(data[GDP])</f>
        <v>1000000000</v>
      </c>
      <c r="K8" s="5">
        <f>_xlfn.MODE.MULT(data[GDP - per capita])</f>
        <v>800</v>
      </c>
      <c r="L8" s="5">
        <f>_xlfn.MODE.MULT(data[GDP - real growth rate(%)])</f>
        <v>3</v>
      </c>
      <c r="M8" s="5">
        <f>_xlfn.MODE.MULT(data[HIV/AIDS - adult prevalence rate(%)])</f>
        <v>0.1</v>
      </c>
      <c r="N8" s="5">
        <f>_xlfn.MODE.MULT(data[HIV/AIDS - deaths])</f>
        <v>100</v>
      </c>
      <c r="O8" s="5">
        <f>_xlfn.MODE.MULT(data[HIV/AIDS - people living with HIV/AIDS])</f>
        <v>200</v>
      </c>
      <c r="P8" s="5">
        <f>_xlfn.MODE.MULT(data[Highways(km)])</f>
        <v>320</v>
      </c>
      <c r="Q8" s="5">
        <f>_xlfn.MODE.MULT(data[Imports])</f>
        <v>1300000000</v>
      </c>
      <c r="R8" s="5">
        <f>_xlfn.MODE.MULT(data[Industrial production growth rate(%)])</f>
        <v>3</v>
      </c>
      <c r="S8" s="5">
        <f>_xlfn.MODE.MULT(data[Infant mortality rate(deaths/1000 live births)])</f>
        <v>9.9499999999999993</v>
      </c>
      <c r="T8" s="5">
        <f>_xlfn.MODE.MULT(data[Inflation rate (consumer prices)(%)])</f>
        <v>3.2</v>
      </c>
      <c r="U8" s="5">
        <f>_xlfn.MODE.MULT(data[Internet hosts])</f>
        <v>18</v>
      </c>
      <c r="V8" s="5">
        <f>_xlfn.MODE.MULT(data[Internet users])</f>
        <v>15000</v>
      </c>
      <c r="W8" s="5">
        <f>_xlfn.MODE.MULT(data[Investment (gross fixed)(% of GDP)])</f>
        <v>19.8</v>
      </c>
      <c r="X8" s="5">
        <f>_xlfn.MODE.MULT(data[Labor force])</f>
        <v>90000</v>
      </c>
      <c r="Y8" s="5">
        <f>_xlfn.MODE.MULT(data[Life expectancy at birth(years)])</f>
        <v>69.53</v>
      </c>
      <c r="Z8" s="5">
        <f>_xlfn.MODE.MULT(data[Military expenditures - dollar figure])</f>
        <v>1300000000</v>
      </c>
      <c r="AA8" s="5">
        <f>_xlfn.MODE.MULT(data[Military expenditures - percent of GDP(%)])</f>
        <v>0.9</v>
      </c>
      <c r="AB8" s="5">
        <f>_xlfn.MODE.MULT(data[Natural gas - consumption(cu m)])</f>
        <v>0</v>
      </c>
      <c r="AC8" s="5">
        <f>_xlfn.MODE.MULT(data[Natural gas - exports(cu m)])</f>
        <v>0</v>
      </c>
      <c r="AD8" s="5">
        <f>_xlfn.MODE.MULT(data[Natural gas - imports(cu m)])</f>
        <v>0</v>
      </c>
      <c r="AE8" s="5">
        <f>_xlfn.MODE.MULT(data[Natural gas - production(cu m)])</f>
        <v>0</v>
      </c>
      <c r="AF8" s="5">
        <f>_xlfn.MODE.MULT(data[Natural gas - proved reserves(cu m)])</f>
        <v>2230000000000</v>
      </c>
      <c r="AG8" s="5">
        <f>_xlfn.MODE.MULT(data[Oil - consumption(bbl/day)])</f>
        <v>20000</v>
      </c>
      <c r="AH8" s="5">
        <f>_xlfn.MODE.MULT(data[Oil - exports(bbl/day)])</f>
        <v>0</v>
      </c>
      <c r="AI8" s="5">
        <f>_xlfn.MODE.MULT(data[Oil - imports(bbl/day)])</f>
        <v>0</v>
      </c>
      <c r="AJ8" s="5">
        <f>_xlfn.MODE.MULT(data[Oil - production(bbl/day)])</f>
        <v>0</v>
      </c>
      <c r="AK8" s="5">
        <f>_xlfn.MODE.MULT(data[Oil - proved reserves(bbl)])</f>
        <v>0</v>
      </c>
      <c r="AL8" s="5">
        <f>_xlfn.MODE.MULT(data[Population])</f>
        <v>361</v>
      </c>
      <c r="AM8" s="5">
        <f>_xlfn.MODE.MULT(data[Public debt(% of GDP)])</f>
        <v>41.7</v>
      </c>
      <c r="AN8" s="5">
        <f>_xlfn.MODE.MULT(data[Railways(km)])</f>
        <v>699</v>
      </c>
      <c r="AO8" s="5">
        <f>_xlfn.MODE.MULT(data[Reserves of foreign exchange &amp; gold])</f>
        <v>1206000000</v>
      </c>
      <c r="AP8" s="5">
        <f>_xlfn.MODE.MULT(data[Telephones - main lines in use])</f>
        <v>7000</v>
      </c>
      <c r="AQ8" s="5">
        <f>_xlfn.MODE.MULT(data[Telephones - mobile cellular])</f>
        <v>0</v>
      </c>
      <c r="AR8" s="5">
        <f>_xlfn.MODE.MULT(data[Total fertility rate(children born/woman)])</f>
        <v>1.39</v>
      </c>
      <c r="AS8" s="5">
        <f>_xlfn.MODE.MULT(data[Unemployment rate(%)])</f>
        <v>15</v>
      </c>
    </row>
    <row r="9" spans="1:45" ht="15.6" x14ac:dyDescent="0.3">
      <c r="A9" s="13" t="s">
        <v>317</v>
      </c>
      <c r="B9" s="5">
        <f>MAX(data[Area(sq km)])</f>
        <v>17075200</v>
      </c>
      <c r="C9" s="5">
        <f>MAX(data[Birth rate(births/1000 population)])</f>
        <v>48.3</v>
      </c>
      <c r="D9" s="5">
        <f>MAX(data[Current account balance])</f>
        <v>170200000000</v>
      </c>
      <c r="E9" s="5">
        <f>MAX(data[Death rate(deaths/1000 population)])</f>
        <v>29.36</v>
      </c>
      <c r="F9" s="5">
        <f>MAX(data[Debt - external])</f>
        <v>4710000000000</v>
      </c>
      <c r="G9" s="5">
        <f>MAX(data[Electricity - consumption(kWh)])</f>
        <v>3660000000000</v>
      </c>
      <c r="H9" s="5">
        <f>MAX(data[Electricity - production(kWh)])</f>
        <v>3839000000000</v>
      </c>
      <c r="I9" s="5">
        <f>MAX(data[Exports])</f>
        <v>1109000000000</v>
      </c>
      <c r="J9" s="5">
        <f>MAX(data[GDP])</f>
        <v>11750000000000</v>
      </c>
      <c r="K9" s="5">
        <f>MAX(data[GDP - per capita])</f>
        <v>58900</v>
      </c>
      <c r="L9" s="5">
        <f>MAX(data[GDP - real growth rate(%)])</f>
        <v>52.3</v>
      </c>
      <c r="M9" s="5">
        <f>MAX(data[HIV/AIDS - adult prevalence rate(%)])</f>
        <v>38.799999999999997</v>
      </c>
      <c r="N9" s="5">
        <f>MAX(data[HIV/AIDS - deaths])</f>
        <v>370000</v>
      </c>
      <c r="O9" s="5">
        <f>MAX(data[HIV/AIDS - people living with HIV/AIDS])</f>
        <v>5300000</v>
      </c>
      <c r="P9" s="5">
        <f>MAX(data[Highways(km)])</f>
        <v>6393603</v>
      </c>
      <c r="Q9" s="5">
        <f>MAX(data[Imports])</f>
        <v>1476000000000</v>
      </c>
      <c r="R9" s="5">
        <f>MAX(data[Industrial production growth rate(%)])</f>
        <v>30</v>
      </c>
      <c r="S9" s="5">
        <f>MAX(data[Infant mortality rate(deaths/1000 live births)])</f>
        <v>191.19</v>
      </c>
      <c r="T9" s="5">
        <f>MAX(data[Inflation rate (consumer prices)(%)])</f>
        <v>133</v>
      </c>
      <c r="U9" s="5">
        <f>MAX(data[Internet hosts])</f>
        <v>115311958</v>
      </c>
      <c r="V9" s="5">
        <f>MAX(data[Internet users])</f>
        <v>206032067</v>
      </c>
      <c r="W9" s="5">
        <f>MAX(data[Investment (gross fixed)(% of GDP)])</f>
        <v>65.099999999999994</v>
      </c>
      <c r="X9" s="5">
        <f>MAX(data[Labor force])</f>
        <v>760800000</v>
      </c>
      <c r="Y9" s="5">
        <f>MAX(data[Life expectancy at birth(years)])</f>
        <v>83.51</v>
      </c>
      <c r="Z9" s="5">
        <f>MAX(data[Military expenditures - dollar figure])</f>
        <v>370700000000</v>
      </c>
      <c r="AA9" s="5">
        <f>MAX(data[Military expenditures - percent of GDP(%)])</f>
        <v>14.6</v>
      </c>
      <c r="AB9" s="5">
        <f>MAX(data[Natural gas - consumption(cu m)])</f>
        <v>640900000000</v>
      </c>
      <c r="AC9" s="5">
        <f>MAX(data[Natural gas - exports(cu m)])</f>
        <v>171000000000</v>
      </c>
      <c r="AD9" s="5">
        <f>MAX(data[Natural gas - imports(cu m)])</f>
        <v>297800000000</v>
      </c>
      <c r="AE9" s="5">
        <f>MAX(data[Natural gas - production(cu m)])</f>
        <v>578600000000</v>
      </c>
      <c r="AF9" s="5">
        <f>MAX(data[Natural gas - proved reserves(cu m)])</f>
        <v>47000000000000</v>
      </c>
      <c r="AG9" s="5">
        <f>MAX(data[Oil - consumption(bbl/day)])</f>
        <v>19650000</v>
      </c>
      <c r="AH9" s="5">
        <f>MAX(data[Oil - exports(bbl/day)])</f>
        <v>7920000</v>
      </c>
      <c r="AI9" s="5">
        <f>MAX(data[Oil - imports(bbl/day)])</f>
        <v>15690000</v>
      </c>
      <c r="AJ9" s="5">
        <f>MAX(data[Oil - production(bbl/day)])</f>
        <v>9021000</v>
      </c>
      <c r="AK9" s="5">
        <f>MAX(data[Oil - proved reserves(bbl)])</f>
        <v>261700000000</v>
      </c>
      <c r="AL9" s="5">
        <f>MAX(data[Population])</f>
        <v>1306313812</v>
      </c>
      <c r="AM9" s="5">
        <f>MAX(data[Public debt(% of GDP)])</f>
        <v>228.3</v>
      </c>
      <c r="AN9" s="5">
        <f>MAX(data[Railways(km)])</f>
        <v>228464</v>
      </c>
      <c r="AO9" s="5">
        <f>MAX(data[Reserves of foreign exchange &amp; gold])</f>
        <v>664600000000</v>
      </c>
      <c r="AP9" s="5">
        <f>MAX(data[Telephones - main lines in use])</f>
        <v>263000000</v>
      </c>
      <c r="AQ9" s="5">
        <f>MAX(data[Telephones - mobile cellular])</f>
        <v>314644700</v>
      </c>
      <c r="AR9" s="5">
        <f>MAX(data[Total fertility rate(children born/woman)])</f>
        <v>6.84</v>
      </c>
      <c r="AS9" s="5">
        <f>MAX(data[Unemployment rate(%)])</f>
        <v>90</v>
      </c>
    </row>
    <row r="10" spans="1:45" ht="15.6" x14ac:dyDescent="0.3">
      <c r="A10" s="13" t="s">
        <v>316</v>
      </c>
      <c r="B10" s="5">
        <f>MIN(data[Area(sq km)])</f>
        <v>0</v>
      </c>
      <c r="C10" s="5">
        <f>MIN(data[Birth rate(births/1000 population)])</f>
        <v>7.23</v>
      </c>
      <c r="D10" s="5">
        <f>MIN(data[Current account balance])</f>
        <v>-646500000000</v>
      </c>
      <c r="E10" s="5">
        <f>MIN(data[Death rate(deaths/1000 population)])</f>
        <v>2.2999999999999998</v>
      </c>
      <c r="F10" s="5">
        <f>MIN(data[Debt - external])</f>
        <v>0</v>
      </c>
      <c r="G10" s="5">
        <f>MIN(data[Electricity - consumption(kWh)])</f>
        <v>1674000</v>
      </c>
      <c r="H10" s="5">
        <f>MIN(data[Electricity - production(kWh)])</f>
        <v>1800000</v>
      </c>
      <c r="I10" s="5">
        <f>MIN(data[Exports])</f>
        <v>98000</v>
      </c>
      <c r="J10" s="5">
        <f>MIN(data[GDP])</f>
        <v>1500000</v>
      </c>
      <c r="K10" s="5">
        <f>MIN(data[GDP - per capita])</f>
        <v>400</v>
      </c>
      <c r="L10" s="5">
        <f>MIN(data[GDP - real growth rate(%)])</f>
        <v>-8.1999999999999993</v>
      </c>
      <c r="M10" s="5">
        <f>MIN(data[HIV/AIDS - adult prevalence rate(%)])</f>
        <v>0</v>
      </c>
      <c r="N10" s="5">
        <f>MIN(data[HIV/AIDS - deaths])</f>
        <v>0</v>
      </c>
      <c r="O10" s="5">
        <f>MIN(data[HIV/AIDS - people living with HIV/AIDS])</f>
        <v>0</v>
      </c>
      <c r="P10" s="5">
        <f>MIN(data[Highways(km)])</f>
        <v>6</v>
      </c>
      <c r="Q10" s="5">
        <f>MIN(data[Imports])</f>
        <v>300000</v>
      </c>
      <c r="R10" s="5">
        <f>MIN(data[Industrial production growth rate(%)])</f>
        <v>-10</v>
      </c>
      <c r="S10" s="5">
        <f>MIN(data[Infant mortality rate(deaths/1000 live births)])</f>
        <v>2.29</v>
      </c>
      <c r="T10" s="5">
        <f>MIN(data[Inflation rate (consumer prices)(%)])</f>
        <v>-3.6</v>
      </c>
      <c r="U10" s="5">
        <f>MIN(data[Internet hosts])</f>
        <v>1</v>
      </c>
      <c r="V10" s="5">
        <f>MIN(data[Internet users])</f>
        <v>300</v>
      </c>
      <c r="W10" s="5">
        <f>MIN(data[Investment (gross fixed)(% of GDP)])</f>
        <v>8</v>
      </c>
      <c r="X10" s="5">
        <f>MIN(data[Labor force])</f>
        <v>15</v>
      </c>
      <c r="Y10" s="5">
        <f>MIN(data[Life expectancy at birth(years)])</f>
        <v>33.869999999999997</v>
      </c>
      <c r="Z10" s="5">
        <f>MIN(data[Military expenditures - dollar figure])</f>
        <v>700000</v>
      </c>
      <c r="AA10" s="5">
        <f>MIN(data[Military expenditures - percent of GDP(%)])</f>
        <v>0.11</v>
      </c>
      <c r="AB10" s="5">
        <f>MIN(data[Natural gas - consumption(cu m)])</f>
        <v>0</v>
      </c>
      <c r="AC10" s="5">
        <f>MIN(data[Natural gas - exports(cu m)])</f>
        <v>0</v>
      </c>
      <c r="AD10" s="5">
        <f>MIN(data[Natural gas - imports(cu m)])</f>
        <v>0</v>
      </c>
      <c r="AE10" s="5">
        <f>MIN(data[Natural gas - production(cu m)])</f>
        <v>0</v>
      </c>
      <c r="AF10" s="5">
        <f>MIN(data[Natural gas - proved reserves(cu m)])</f>
        <v>0</v>
      </c>
      <c r="AG10" s="5">
        <f>MIN(data[Oil - consumption(bbl/day)])</f>
        <v>0</v>
      </c>
      <c r="AH10" s="5">
        <f>MIN(data[Oil - exports(bbl/day)])</f>
        <v>0</v>
      </c>
      <c r="AI10" s="5">
        <f>MIN(data[Oil - imports(bbl/day)])</f>
        <v>0</v>
      </c>
      <c r="AJ10" s="5">
        <f>MIN(data[Oil - production(bbl/day)])</f>
        <v>0</v>
      </c>
      <c r="AK10" s="5">
        <f>MIN(data[Oil - proved reserves(bbl)])</f>
        <v>0</v>
      </c>
      <c r="AL10" s="5">
        <f>MIN(data[Population])</f>
        <v>46</v>
      </c>
      <c r="AM10" s="5">
        <f>MIN(data[Public debt(% of GDP)])</f>
        <v>2.1</v>
      </c>
      <c r="AN10" s="5">
        <f>MIN(data[Railways(km)])</f>
        <v>6</v>
      </c>
      <c r="AO10" s="5">
        <f>MIN(data[Reserves of foreign exchange &amp; gold])</f>
        <v>29780000</v>
      </c>
      <c r="AP10" s="5">
        <f>MIN(data[Telephones - main lines in use])</f>
        <v>0</v>
      </c>
      <c r="AQ10" s="5">
        <f>MIN(data[Telephones - mobile cellular])</f>
        <v>0</v>
      </c>
      <c r="AR10" s="5">
        <f>MIN(data[Total fertility rate(children born/woman)])</f>
        <v>0.91</v>
      </c>
      <c r="AS10" s="5">
        <f>MIN(data[Unemployment rate(%)])</f>
        <v>0</v>
      </c>
    </row>
    <row r="11" spans="1:45" ht="15.6" x14ac:dyDescent="0.3">
      <c r="A11" s="13" t="s">
        <v>322</v>
      </c>
      <c r="B11" s="5">
        <f>(B9-B10)</f>
        <v>17075200</v>
      </c>
      <c r="C11" s="5">
        <f t="shared" ref="C11:AS11" si="0">(C9-C10)</f>
        <v>41.069999999999993</v>
      </c>
      <c r="D11" s="5">
        <f t="shared" si="0"/>
        <v>816700000000</v>
      </c>
      <c r="E11" s="5">
        <f t="shared" si="0"/>
        <v>27.06</v>
      </c>
      <c r="F11" s="5">
        <f t="shared" si="0"/>
        <v>4710000000000</v>
      </c>
      <c r="G11" s="5">
        <f t="shared" si="0"/>
        <v>3659998326000</v>
      </c>
      <c r="H11" s="5">
        <f t="shared" si="0"/>
        <v>3838998200000</v>
      </c>
      <c r="I11" s="5">
        <f t="shared" si="0"/>
        <v>1108999902000</v>
      </c>
      <c r="J11" s="5">
        <f t="shared" si="0"/>
        <v>11749998500000</v>
      </c>
      <c r="K11" s="5">
        <f t="shared" si="0"/>
        <v>58500</v>
      </c>
      <c r="L11" s="5">
        <f t="shared" si="0"/>
        <v>60.5</v>
      </c>
      <c r="M11" s="5">
        <f t="shared" si="0"/>
        <v>38.799999999999997</v>
      </c>
      <c r="N11" s="5">
        <f t="shared" si="0"/>
        <v>370000</v>
      </c>
      <c r="O11" s="5">
        <f t="shared" si="0"/>
        <v>5300000</v>
      </c>
      <c r="P11" s="5">
        <f t="shared" si="0"/>
        <v>6393597</v>
      </c>
      <c r="Q11" s="5">
        <f t="shared" si="0"/>
        <v>1475999700000</v>
      </c>
      <c r="R11" s="5">
        <f t="shared" si="0"/>
        <v>40</v>
      </c>
      <c r="S11" s="5">
        <f t="shared" si="0"/>
        <v>188.9</v>
      </c>
      <c r="T11" s="5">
        <f t="shared" si="0"/>
        <v>136.6</v>
      </c>
      <c r="U11" s="5">
        <f t="shared" si="0"/>
        <v>115311957</v>
      </c>
      <c r="V11" s="5">
        <f t="shared" si="0"/>
        <v>206031767</v>
      </c>
      <c r="W11" s="5">
        <f t="shared" si="0"/>
        <v>57.099999999999994</v>
      </c>
      <c r="X11" s="5">
        <f t="shared" si="0"/>
        <v>760799985</v>
      </c>
      <c r="Y11" s="5">
        <f t="shared" si="0"/>
        <v>49.640000000000008</v>
      </c>
      <c r="Z11" s="5">
        <f t="shared" si="0"/>
        <v>370699300000</v>
      </c>
      <c r="AA11" s="5">
        <f t="shared" si="0"/>
        <v>14.49</v>
      </c>
      <c r="AB11" s="5">
        <f t="shared" si="0"/>
        <v>640900000000</v>
      </c>
      <c r="AC11" s="5">
        <f t="shared" si="0"/>
        <v>171000000000</v>
      </c>
      <c r="AD11" s="5">
        <f t="shared" si="0"/>
        <v>297800000000</v>
      </c>
      <c r="AE11" s="5">
        <f t="shared" si="0"/>
        <v>578600000000</v>
      </c>
      <c r="AF11" s="5">
        <f t="shared" si="0"/>
        <v>47000000000000</v>
      </c>
      <c r="AG11" s="5">
        <f t="shared" si="0"/>
        <v>19650000</v>
      </c>
      <c r="AH11" s="5">
        <f t="shared" si="0"/>
        <v>7920000</v>
      </c>
      <c r="AI11" s="5">
        <f t="shared" si="0"/>
        <v>15690000</v>
      </c>
      <c r="AJ11" s="5">
        <f t="shared" si="0"/>
        <v>9021000</v>
      </c>
      <c r="AK11" s="5">
        <f t="shared" si="0"/>
        <v>261700000000</v>
      </c>
      <c r="AL11" s="5">
        <f t="shared" si="0"/>
        <v>1306313766</v>
      </c>
      <c r="AM11" s="5">
        <f t="shared" si="0"/>
        <v>226.20000000000002</v>
      </c>
      <c r="AN11" s="5">
        <f t="shared" si="0"/>
        <v>228458</v>
      </c>
      <c r="AO11" s="5">
        <f t="shared" si="0"/>
        <v>664570220000</v>
      </c>
      <c r="AP11" s="5">
        <f t="shared" si="0"/>
        <v>263000000</v>
      </c>
      <c r="AQ11" s="5">
        <f t="shared" si="0"/>
        <v>314644700</v>
      </c>
      <c r="AR11" s="5">
        <f t="shared" si="0"/>
        <v>5.93</v>
      </c>
      <c r="AS11" s="5">
        <f t="shared" si="0"/>
        <v>90</v>
      </c>
    </row>
    <row r="12" spans="1:45" ht="15.6" x14ac:dyDescent="0.3">
      <c r="A12" s="13" t="s">
        <v>312</v>
      </c>
      <c r="B12" s="5">
        <f>_xlfn.QUARTILE.EXC(data[Area(sq km)],1)</f>
        <v>477</v>
      </c>
      <c r="C12" s="5">
        <f>_xlfn.QUARTILE.EXC(data[Birth rate(births/1000 population)],1)</f>
        <v>12.530000000000001</v>
      </c>
      <c r="D12" s="5">
        <f>_xlfn.QUARTILE.EXC(data[Current account balance],1)</f>
        <v>-605350000</v>
      </c>
      <c r="E12" s="5">
        <f>_xlfn.QUARTILE.EXC(data[Death rate(deaths/1000 population)],1)</f>
        <v>6.0649999999999995</v>
      </c>
      <c r="F12" s="5">
        <f>_xlfn.QUARTILE.EXC(data[Debt - external],1)</f>
        <v>634000000</v>
      </c>
      <c r="G12" s="5">
        <f>_xlfn.QUARTILE.EXC(data[Electricity - consumption(kWh)],1)</f>
        <v>451200000</v>
      </c>
      <c r="H12" s="5">
        <f>_xlfn.QUARTILE.EXC(data[Electricity - production(kWh)],1)</f>
        <v>406400000</v>
      </c>
      <c r="I12" s="5">
        <f>_xlfn.QUARTILE.EXC(data[Exports],1)</f>
        <v>221500000</v>
      </c>
      <c r="J12" s="5">
        <f>_xlfn.QUARTILE.EXC(data[GDP],1)</f>
        <v>2499500000</v>
      </c>
      <c r="K12" s="5">
        <f>_xlfn.QUARTILE.EXC(data[GDP - per capita],1)</f>
        <v>1975</v>
      </c>
      <c r="L12" s="5">
        <f>_xlfn.QUARTILE.EXC(data[GDP - real growth rate(%)],1)</f>
        <v>2.2999999999999998</v>
      </c>
      <c r="M12" s="5">
        <f>_xlfn.QUARTILE.EXC(data[HIV/AIDS - adult prevalence rate(%)],1)</f>
        <v>0.1</v>
      </c>
      <c r="N12" s="5">
        <f>_xlfn.QUARTILE.EXC(data[HIV/AIDS - deaths],1)</f>
        <v>200</v>
      </c>
      <c r="O12" s="5">
        <f>_xlfn.QUARTILE.EXC(data[HIV/AIDS - people living with HIV/AIDS],1)</f>
        <v>2850</v>
      </c>
      <c r="P12" s="5">
        <f>_xlfn.QUARTILE.EXC(data[Highways(km)],1)</f>
        <v>1540</v>
      </c>
      <c r="Q12" s="5">
        <f>_xlfn.QUARTILE.EXC(data[Imports],1)</f>
        <v>629125000</v>
      </c>
      <c r="R12" s="5">
        <f>_xlfn.QUARTILE.EXC(data[Industrial production growth rate(%)],1)</f>
        <v>2.5249999999999999</v>
      </c>
      <c r="S12" s="5">
        <f>_xlfn.QUARTILE.EXC(data[Infant mortality rate(deaths/1000 live births)],1)</f>
        <v>7.9499999999999993</v>
      </c>
      <c r="T12" s="5">
        <f>_xlfn.QUARTILE.EXC(data[Inflation rate (consumer prices)(%)],1)</f>
        <v>2</v>
      </c>
      <c r="U12" s="5">
        <f>_xlfn.QUARTILE.EXC(data[Internet hosts],1)</f>
        <v>455</v>
      </c>
      <c r="V12" s="5">
        <f>_xlfn.QUARTILE.EXC(data[Internet users],1)</f>
        <v>21750</v>
      </c>
      <c r="W12" s="5">
        <f>_xlfn.QUARTILE.EXC(data[Investment (gross fixed)(% of GDP)],1)</f>
        <v>17.175000000000001</v>
      </c>
      <c r="X12" s="5">
        <f>_xlfn.QUARTILE.EXC(data[Labor force],1)</f>
        <v>127850</v>
      </c>
      <c r="Y12" s="5">
        <f>_xlfn.QUARTILE.EXC(data[Life expectancy at birth(years)],1)</f>
        <v>62.284999999999997</v>
      </c>
      <c r="Z12" s="5">
        <f>_xlfn.QUARTILE.EXC(data[Military expenditures - dollar figure],1)</f>
        <v>43725000</v>
      </c>
      <c r="AA12" s="5">
        <f>_xlfn.QUARTILE.EXC(data[Military expenditures - percent of GDP(%)],1)</f>
        <v>1.2</v>
      </c>
      <c r="AB12" s="5">
        <f>_xlfn.QUARTILE.EXC(data[Natural gas - consumption(cu m)],1)</f>
        <v>1067500000</v>
      </c>
      <c r="AC12" s="5">
        <f>_xlfn.QUARTILE.EXC(data[Natural gas - exports(cu m)],1)</f>
        <v>0</v>
      </c>
      <c r="AD12" s="5">
        <f>_xlfn.QUARTILE.EXC(data[Natural gas - imports(cu m)],1)</f>
        <v>0</v>
      </c>
      <c r="AE12" s="5">
        <f>_xlfn.QUARTILE.EXC(data[Natural gas - production(cu m)],1)</f>
        <v>30000000</v>
      </c>
      <c r="AF12" s="5">
        <f>_xlfn.QUARTILE.EXC(data[Natural gas - proved reserves(cu m)],1)</f>
        <v>20415000000</v>
      </c>
      <c r="AG12" s="5">
        <f>_xlfn.QUARTILE.EXC(data[Oil - consumption(bbl/day)],1)</f>
        <v>5775</v>
      </c>
      <c r="AH12" s="5">
        <f>_xlfn.QUARTILE.EXC(data[Oil - exports(bbl/day)],1)</f>
        <v>23627.5</v>
      </c>
      <c r="AI12" s="5">
        <f>_xlfn.QUARTILE.EXC(data[Oil - imports(bbl/day)],1)</f>
        <v>50332.5</v>
      </c>
      <c r="AJ12" s="5">
        <f>_xlfn.QUARTILE.EXC(data[Oil - production(bbl/day)],1)</f>
        <v>0</v>
      </c>
      <c r="AK12" s="5">
        <f>_xlfn.QUARTILE.EXC(data[Oil - proved reserves(bbl)],1)</f>
        <v>59375000</v>
      </c>
      <c r="AL12" s="5">
        <f>_xlfn.QUARTILE.EXC(data[Population],1)</f>
        <v>279406.25</v>
      </c>
      <c r="AM12" s="5">
        <f>_xlfn.QUARTILE.EXC(data[Public debt(% of GDP)],1)</f>
        <v>31.424999999999997</v>
      </c>
      <c r="AN12" s="5">
        <f>_xlfn.QUARTILE.EXC(data[Railways(km)],1)</f>
        <v>780.75</v>
      </c>
      <c r="AO12" s="5">
        <f>_xlfn.QUARTILE.EXC(data[Reserves of foreign exchange &amp; gold],1)</f>
        <v>770200000</v>
      </c>
      <c r="AP12" s="5">
        <f>_xlfn.QUARTILE.EXC(data[Telephones - main lines in use],1)</f>
        <v>33550</v>
      </c>
      <c r="AQ12" s="5">
        <f>_xlfn.QUARTILE.EXC(data[Telephones - mobile cellular],1)</f>
        <v>41125</v>
      </c>
      <c r="AR12" s="5">
        <f>_xlfn.QUARTILE.EXC(data[Total fertility rate(children born/woman)],1)</f>
        <v>1.75</v>
      </c>
      <c r="AS12" s="5">
        <f>_xlfn.QUARTILE.EXC(data[Unemployment rate(%)],1)</f>
        <v>5.5250000000000004</v>
      </c>
    </row>
    <row r="13" spans="1:45" ht="15.6" x14ac:dyDescent="0.3">
      <c r="A13" s="13" t="s">
        <v>314</v>
      </c>
      <c r="B13" s="5">
        <f>_xlfn.QUARTILE.EXC(data[Area(sq km)],2)</f>
        <v>48845</v>
      </c>
      <c r="C13" s="5">
        <f>_xlfn.QUARTILE.EXC(data[Birth rate(births/1000 population)],2)</f>
        <v>18.78</v>
      </c>
      <c r="D13" s="5">
        <f>_xlfn.QUARTILE.EXC(data[Current account balance],2)</f>
        <v>-82400000</v>
      </c>
      <c r="E13" s="5">
        <f>_xlfn.QUARTILE.EXC(data[Death rate(deaths/1000 population)],2)</f>
        <v>8</v>
      </c>
      <c r="F13" s="5">
        <f>_xlfn.QUARTILE.EXC(data[Debt - external],2)</f>
        <v>4069000000</v>
      </c>
      <c r="G13" s="5">
        <f>_xlfn.QUARTILE.EXC(data[Electricity - consumption(kWh)],2)</f>
        <v>4450000000</v>
      </c>
      <c r="H13" s="5">
        <f>_xlfn.QUARTILE.EXC(data[Electricity - production(kWh)],2)</f>
        <v>4873000000</v>
      </c>
      <c r="I13" s="5">
        <f>_xlfn.QUARTILE.EXC(data[Exports],2)</f>
        <v>2058000000</v>
      </c>
      <c r="J13" s="5">
        <f>_xlfn.QUARTILE.EXC(data[GDP],2)</f>
        <v>16855000000</v>
      </c>
      <c r="K13" s="5">
        <f>_xlfn.QUARTILE.EXC(data[GDP - per capita],2)</f>
        <v>5900</v>
      </c>
      <c r="L13" s="5">
        <f>_xlfn.QUARTILE.EXC(data[GDP - real growth rate(%)],2)</f>
        <v>4</v>
      </c>
      <c r="M13" s="5">
        <f>_xlfn.QUARTILE.EXC(data[HIV/AIDS - adult prevalence rate(%)],2)</f>
        <v>0.3</v>
      </c>
      <c r="N13" s="5">
        <f>_xlfn.QUARTILE.EXC(data[HIV/AIDS - deaths],2)</f>
        <v>900</v>
      </c>
      <c r="O13" s="5">
        <f>_xlfn.QUARTILE.EXC(data[HIV/AIDS - people living with HIV/AIDS],2)</f>
        <v>14500</v>
      </c>
      <c r="P13" s="5">
        <f>_xlfn.QUARTILE.EXC(data[Highways(km)],2)</f>
        <v>14299</v>
      </c>
      <c r="Q13" s="5">
        <f>_xlfn.QUARTILE.EXC(data[Imports],2)</f>
        <v>2377500000</v>
      </c>
      <c r="R13" s="5">
        <f>_xlfn.QUARTILE.EXC(data[Industrial production growth rate(%)],2)</f>
        <v>4.6500000000000004</v>
      </c>
      <c r="S13" s="5">
        <f>_xlfn.QUARTILE.EXC(data[Infant mortality rate(deaths/1000 live births)],2)</f>
        <v>20.97</v>
      </c>
      <c r="T13" s="5">
        <f>_xlfn.QUARTILE.EXC(data[Inflation rate (consumer prices)(%)],2)</f>
        <v>3.2</v>
      </c>
      <c r="U13" s="5">
        <f>_xlfn.QUARTILE.EXC(data[Internet hosts],2)</f>
        <v>3627</v>
      </c>
      <c r="V13" s="5">
        <f>_xlfn.QUARTILE.EXC(data[Internet users],2)</f>
        <v>132000</v>
      </c>
      <c r="W13" s="5">
        <f>_xlfn.QUARTILE.EXC(data[Investment (gross fixed)(% of GDP)],2)</f>
        <v>19.8</v>
      </c>
      <c r="X13" s="5">
        <f>_xlfn.QUARTILE.EXC(data[Labor force],2)</f>
        <v>2190000</v>
      </c>
      <c r="Y13" s="5">
        <f>_xlfn.QUARTILE.EXC(data[Life expectancy at birth(years)],2)</f>
        <v>71.77</v>
      </c>
      <c r="Z13" s="5">
        <f>_xlfn.QUARTILE.EXC(data[Military expenditures - dollar figure],2)</f>
        <v>221450000</v>
      </c>
      <c r="AA13" s="5">
        <f>_xlfn.QUARTILE.EXC(data[Military expenditures - percent of GDP(%)],2)</f>
        <v>1.89</v>
      </c>
      <c r="AB13" s="5">
        <f>_xlfn.QUARTILE.EXC(data[Natural gas - consumption(cu m)],2)</f>
        <v>5752000000</v>
      </c>
      <c r="AC13" s="5">
        <f>_xlfn.QUARTILE.EXC(data[Natural gas - exports(cu m)],2)</f>
        <v>0</v>
      </c>
      <c r="AD13" s="5">
        <f>_xlfn.QUARTILE.EXC(data[Natural gas - imports(cu m)],2)</f>
        <v>32500000</v>
      </c>
      <c r="AE13" s="5">
        <f>_xlfn.QUARTILE.EXC(data[Natural gas - production(cu m)],2)</f>
        <v>1760000000</v>
      </c>
      <c r="AF13" s="5">
        <f>_xlfn.QUARTILE.EXC(data[Natural gas - proved reserves(cu m)],2)</f>
        <v>107600000000</v>
      </c>
      <c r="AG13" s="5">
        <f>_xlfn.QUARTILE.EXC(data[Oil - consumption(bbl/day)],2)</f>
        <v>30500</v>
      </c>
      <c r="AH13" s="5">
        <f>_xlfn.QUARTILE.EXC(data[Oil - exports(bbl/day)],2)</f>
        <v>201350</v>
      </c>
      <c r="AI13" s="5">
        <f>_xlfn.QUARTILE.EXC(data[Oil - imports(bbl/day)],2)</f>
        <v>275750</v>
      </c>
      <c r="AJ13" s="5">
        <f>_xlfn.QUARTILE.EXC(data[Oil - production(bbl/day)],2)</f>
        <v>0</v>
      </c>
      <c r="AK13" s="5">
        <f>_xlfn.QUARTILE.EXC(data[Oil - proved reserves(bbl)],2)</f>
        <v>408800000</v>
      </c>
      <c r="AL13" s="5">
        <f>_xlfn.QUARTILE.EXC(data[Population],2)</f>
        <v>4440570.5</v>
      </c>
      <c r="AM13" s="5">
        <f>_xlfn.QUARTILE.EXC(data[Public debt(% of GDP)],2)</f>
        <v>50.75</v>
      </c>
      <c r="AN13" s="5">
        <f>_xlfn.QUARTILE.EXC(data[Railways(km)],2)</f>
        <v>2585.5</v>
      </c>
      <c r="AO13" s="5">
        <f>_xlfn.QUARTILE.EXC(data[Reserves of foreign exchange &amp; gold],2)</f>
        <v>3034000000</v>
      </c>
      <c r="AP13" s="5">
        <f>_xlfn.QUARTILE.EXC(data[Telephones - main lines in use],2)</f>
        <v>231350</v>
      </c>
      <c r="AQ13" s="5">
        <f>_xlfn.QUARTILE.EXC(data[Telephones - mobile cellular],2)</f>
        <v>350050</v>
      </c>
      <c r="AR13" s="5">
        <f>_xlfn.QUARTILE.EXC(data[Total fertility rate(children born/woman)],2)</f>
        <v>2.37</v>
      </c>
      <c r="AS13" s="5">
        <f>_xlfn.QUARTILE.EXC(data[Unemployment rate(%)],2)</f>
        <v>10.5</v>
      </c>
    </row>
    <row r="14" spans="1:45" ht="15.6" x14ac:dyDescent="0.3">
      <c r="A14" s="13" t="s">
        <v>313</v>
      </c>
      <c r="B14" s="5">
        <f>QUARTILE(data[Area(sq km)],3)</f>
        <v>333947.5</v>
      </c>
      <c r="C14" s="5">
        <f>QUARTILE(data[Birth rate(births/1000 population)],3)</f>
        <v>30.01</v>
      </c>
      <c r="D14" s="5">
        <f>QUARTILE(data[Current account balance],3)</f>
        <v>1400000000</v>
      </c>
      <c r="E14" s="5">
        <f>QUARTILE(data[Death rate(deaths/1000 population)],3)</f>
        <v>11.26</v>
      </c>
      <c r="F14" s="5">
        <f>QUARTILE(data[Debt - external],3)</f>
        <v>17070000000</v>
      </c>
      <c r="G14" s="5">
        <f>QUARTILE(data[Electricity - consumption(kWh)],3)</f>
        <v>33205000000</v>
      </c>
      <c r="H14" s="5">
        <f>QUARTILE(data[Electricity - production(kWh)],3)</f>
        <v>35510000000</v>
      </c>
      <c r="I14" s="5">
        <f>QUARTILE(data[Exports],3)</f>
        <v>16242500000</v>
      </c>
      <c r="J14" s="5">
        <f>QUARTILE(data[GDP],3)</f>
        <v>91832500000</v>
      </c>
      <c r="K14" s="5">
        <f>QUARTILE(data[GDP - per capita],3)</f>
        <v>16700</v>
      </c>
      <c r="L14" s="5">
        <f>QUARTILE(data[GDP - real growth rate(%)],3)</f>
        <v>6</v>
      </c>
      <c r="M14" s="5">
        <f>QUARTILE(data[HIV/AIDS - adult prevalence rate(%)],3)</f>
        <v>1.9</v>
      </c>
      <c r="N14" s="5">
        <f>QUARTILE(data[HIV/AIDS - deaths],3)</f>
        <v>9775</v>
      </c>
      <c r="O14" s="5">
        <f>QUARTILE(data[HIV/AIDS - people living with HIV/AIDS],3)</f>
        <v>140000</v>
      </c>
      <c r="P14" s="5">
        <f>QUARTILE(data[Highways(km)],3)</f>
        <v>65407.75</v>
      </c>
      <c r="Q14" s="5">
        <f>QUARTILE(data[Imports],3)</f>
        <v>15740000000</v>
      </c>
      <c r="R14" s="5">
        <f>QUARTILE(data[Industrial production growth rate(%)],3)</f>
        <v>8</v>
      </c>
      <c r="S14" s="5">
        <f>QUARTILE(data[Infant mortality rate(deaths/1000 live births)],3)</f>
        <v>55.51</v>
      </c>
      <c r="T14" s="5">
        <f>QUARTILE(data[Inflation rate (consumer prices)(%)],3)</f>
        <v>6.8000000000000007</v>
      </c>
      <c r="U14" s="5">
        <f>QUARTILE(data[Internet hosts],3)</f>
        <v>66818.5</v>
      </c>
      <c r="V14" s="5">
        <f>QUARTILE(data[Internet users],3)</f>
        <v>1263600</v>
      </c>
      <c r="W14" s="5">
        <f>QUARTILE(data[Investment (gross fixed)(% of GDP)],3)</f>
        <v>24.4</v>
      </c>
      <c r="X14" s="5">
        <f>QUARTILE(data[Labor force],3)</f>
        <v>7195000</v>
      </c>
      <c r="Y14" s="5">
        <f>QUARTILE(data[Life expectancy at birth(years)],3)</f>
        <v>77.03</v>
      </c>
      <c r="Z14" s="5">
        <f>QUARTILE(data[Military expenditures - dollar figure],3)</f>
        <v>1681500000</v>
      </c>
      <c r="AA14" s="5">
        <f>QUARTILE(data[Military expenditures - percent of GDP(%)],3)</f>
        <v>3.1</v>
      </c>
      <c r="AB14" s="5">
        <f>QUARTILE(data[Natural gas - consumption(cu m)],3)</f>
        <v>21480000000</v>
      </c>
      <c r="AC14" s="5">
        <f>QUARTILE(data[Natural gas - exports(cu m)],3)</f>
        <v>2018750000</v>
      </c>
      <c r="AD14" s="5">
        <f>QUARTILE(data[Natural gas - imports(cu m)],3)</f>
        <v>4990000000</v>
      </c>
      <c r="AE14" s="5">
        <f>QUARTILE(data[Natural gas - production(cu m)],3)</f>
        <v>20300000000</v>
      </c>
      <c r="AF14" s="5">
        <f>QUARTILE(data[Natural gas - proved reserves(cu m)],3)</f>
        <v>937300000000</v>
      </c>
      <c r="AG14" s="5">
        <f>QUARTILE(data[Oil - consumption(bbl/day)],3)</f>
        <v>209600</v>
      </c>
      <c r="AH14" s="5">
        <f>QUARTILE(data[Oil - exports(bbl/day)],3)</f>
        <v>698275</v>
      </c>
      <c r="AI14" s="5">
        <f>QUARTILE(data[Oil - imports(bbl/day)],3)</f>
        <v>894375</v>
      </c>
      <c r="AJ14" s="5">
        <f>QUARTILE(data[Oil - production(bbl/day)],3)</f>
        <v>72145</v>
      </c>
      <c r="AK14" s="5">
        <f>QUARTILE(data[Oil - proved reserves(bbl)],3)</f>
        <v>4408000000</v>
      </c>
      <c r="AL14" s="5">
        <f>QUARTILE(data[Population],3)</f>
        <v>16280231.75</v>
      </c>
      <c r="AM14" s="5">
        <f>QUARTILE(data[Public debt(% of GDP)],3)</f>
        <v>69.674999999999997</v>
      </c>
      <c r="AN14" s="5">
        <f>QUARTILE(data[Railways(km)],3)</f>
        <v>5195</v>
      </c>
      <c r="AO14" s="5">
        <f>QUARTILE(data[Reserves of foreign exchange &amp; gold],3)</f>
        <v>16255000000</v>
      </c>
      <c r="AP14" s="5">
        <f>QUARTILE(data[Telephones - main lines in use],3)</f>
        <v>1828550</v>
      </c>
      <c r="AQ14" s="5">
        <f>QUARTILE(data[Telephones - mobile cellular],3)</f>
        <v>2605450</v>
      </c>
      <c r="AR14" s="5">
        <f>QUARTILE(data[Total fertility rate(children born/woman)],3)</f>
        <v>3.93</v>
      </c>
      <c r="AS14" s="5">
        <f>QUARTILE(data[Unemployment rate(%)],3)</f>
        <v>19.625</v>
      </c>
    </row>
    <row r="15" spans="1:45" ht="15.6" x14ac:dyDescent="0.3">
      <c r="A15" s="13" t="s">
        <v>326</v>
      </c>
      <c r="B15" s="5">
        <f>_xlfn.STDEV.P(data[Area(sq km)])</f>
        <v>1877835.3046243421</v>
      </c>
      <c r="C15" s="5">
        <f>_xlfn.STDEV.P(data[Birth rate(births/1000 population)])</f>
        <v>11.102214553862678</v>
      </c>
      <c r="D15" s="5">
        <f>_xlfn.STDEV.P(data[Current account balance])</f>
        <v>56150152644.209839</v>
      </c>
      <c r="E15" s="5">
        <f>_xlfn.STDEV.P(data[Death rate(deaths/1000 population)])</f>
        <v>4.9580816648735819</v>
      </c>
      <c r="F15" s="5">
        <f>_xlfn.STDEV.P(data[Debt - external])</f>
        <v>358004732586.62476</v>
      </c>
      <c r="G15" s="5">
        <f>_xlfn.STDEV.P(data[Electricity - consumption(kWh)])</f>
        <v>342622686762.53473</v>
      </c>
      <c r="H15" s="5">
        <f>_xlfn.STDEV.P(data[Electricity - production(kWh)])</f>
        <v>369733607748.15948</v>
      </c>
      <c r="I15" s="5">
        <f>_xlfn.STDEV.P(data[Exports])</f>
        <v>133128562363.60345</v>
      </c>
      <c r="J15" s="5">
        <f>_xlfn.STDEV.P(data[GDP])</f>
        <v>1249605909685.9688</v>
      </c>
      <c r="K15" s="5">
        <f>_xlfn.STDEV.P(data[GDP - per capita])</f>
        <v>11080.443597274518</v>
      </c>
      <c r="L15" s="5">
        <f>_xlfn.STDEV.P(data[GDP - real growth rate(%)])</f>
        <v>5.2720631643503628</v>
      </c>
      <c r="M15" s="5">
        <f>_xlfn.STDEV.P(data[HIV/AIDS - adult prevalence rate(%)])</f>
        <v>5.9024441492683737</v>
      </c>
      <c r="N15" s="5">
        <f>_xlfn.STDEV.P(data[HIV/AIDS - deaths])</f>
        <v>53876.480663374139</v>
      </c>
      <c r="O15" s="5">
        <f>_xlfn.STDEV.P(data[HIV/AIDS - people living with HIV/AIDS])</f>
        <v>689422.72204600554</v>
      </c>
      <c r="P15" s="5">
        <f>_xlfn.STDEV.P(data[Highways(km)])</f>
        <v>580721.87793867104</v>
      </c>
      <c r="Q15" s="5">
        <f>_xlfn.STDEV.P(data[Imports])</f>
        <v>150055127919.15189</v>
      </c>
      <c r="R15" s="5">
        <f>_xlfn.STDEV.P(data[Industrial production growth rate(%)])</f>
        <v>5.488088712172118</v>
      </c>
      <c r="S15" s="5">
        <f>_xlfn.STDEV.P(data[Infant mortality rate(deaths/1000 live births)])</f>
        <v>35.265941186236802</v>
      </c>
      <c r="T15" s="5">
        <f>_xlfn.STDEV.P(data[Inflation rate (consumer prices)(%)])</f>
        <v>10.598413503974717</v>
      </c>
      <c r="U15" s="5">
        <f>_xlfn.STDEV.P(data[Internet hosts])</f>
        <v>8514760.6060768105</v>
      </c>
      <c r="V15" s="5">
        <f>_xlfn.STDEV.P(data[Internet users])</f>
        <v>19462375.199133392</v>
      </c>
      <c r="W15" s="5">
        <f>_xlfn.STDEV.P(data[Investment (gross fixed)(% of GDP)])</f>
        <v>8.0407438780853298</v>
      </c>
      <c r="X15" s="5">
        <f>_xlfn.STDEV.P(data[Labor force])</f>
        <v>64533956.916299552</v>
      </c>
      <c r="Y15" s="5">
        <f>_xlfn.STDEV.P(data[Life expectancy at birth(years)])</f>
        <v>12.043759417666143</v>
      </c>
      <c r="Z15" s="5">
        <f>_xlfn.STDEV.P(data[Military expenditures - dollar figure])</f>
        <v>29441570855.674862</v>
      </c>
      <c r="AA15" s="5">
        <f>_xlfn.STDEV.P(data[Military expenditures - percent of GDP(%)])</f>
        <v>2.3520787515785235</v>
      </c>
      <c r="AB15" s="5">
        <f>_xlfn.STDEV.P(data[Natural gas - consumption(cu m)])</f>
        <v>85014021566.897903</v>
      </c>
      <c r="AC15" s="5">
        <f>_xlfn.STDEV.P(data[Natural gas - exports(cu m)])</f>
        <v>22021643929.453224</v>
      </c>
      <c r="AD15" s="5">
        <f>_xlfn.STDEV.P(data[Natural gas - imports(cu m)])</f>
        <v>32997738503.416225</v>
      </c>
      <c r="AE15" s="5">
        <f>_xlfn.STDEV.P(data[Natural gas - production(cu m)])</f>
        <v>81599338625.276459</v>
      </c>
      <c r="AF15" s="5">
        <f>_xlfn.STDEV.P(data[Natural gas - proved reserves(cu m)])</f>
        <v>5649210403473.4414</v>
      </c>
      <c r="AG15" s="5">
        <f>_xlfn.STDEV.P(data[Oil - consumption(bbl/day)])</f>
        <v>1780891.6127848076</v>
      </c>
      <c r="AH15" s="5">
        <f>_xlfn.STDEV.P(data[Oil - exports(bbl/day)])</f>
        <v>1540201.8920585015</v>
      </c>
      <c r="AI15" s="5">
        <f>_xlfn.STDEV.P(data[Oil - imports(bbl/day)])</f>
        <v>2416204.1468627029</v>
      </c>
      <c r="AJ15" s="5">
        <f>_xlfn.STDEV.P(data[Oil - production(bbl/day)])</f>
        <v>1187508.0151634105</v>
      </c>
      <c r="AK15" s="5">
        <f>_xlfn.STDEV.P(data[Oil - proved reserves(bbl)])</f>
        <v>39031869409.935783</v>
      </c>
      <c r="AL15" s="5">
        <f>_xlfn.STDEV.P(data[Population])</f>
        <v>117298432.03043422</v>
      </c>
      <c r="AM15" s="5">
        <f>_xlfn.STDEV.P(data[Public debt(% of GDP)])</f>
        <v>36.78251880970474</v>
      </c>
      <c r="AN15" s="5">
        <f>_xlfn.STDEV.P(data[Railways(km)])</f>
        <v>29745.823223527063</v>
      </c>
      <c r="AO15" s="5">
        <f>_xlfn.STDEV.P(data[Reserves of foreign exchange &amp; gold])</f>
        <v>79966202401.967224</v>
      </c>
      <c r="AP15" s="5">
        <f>_xlfn.STDEV.P(data[Telephones - main lines in use])</f>
        <v>27114592.481511399</v>
      </c>
      <c r="AQ15" s="5">
        <f>_xlfn.STDEV.P(data[Telephones - mobile cellular])</f>
        <v>30692099.842278596</v>
      </c>
      <c r="AR15" s="5">
        <f>_xlfn.STDEV.P(data[Total fertility rate(children born/woman)])</f>
        <v>1.5534556302198437</v>
      </c>
      <c r="AS15" s="5">
        <f>_xlfn.STDEV.P(data[Unemployment rate(%)])</f>
        <v>15.074391188171093</v>
      </c>
    </row>
    <row r="16" spans="1:45" ht="15.6" x14ac:dyDescent="0.3">
      <c r="A16" s="13" t="s">
        <v>318</v>
      </c>
      <c r="B16" s="5">
        <f>_xlfn.VAR.P(data[Area(sq km)])</f>
        <v>3526265431293.5962</v>
      </c>
      <c r="C16" s="5">
        <f>_xlfn.VAR.P(data[Birth rate(births/1000 population)])</f>
        <v>123.25916800000027</v>
      </c>
      <c r="D16" s="5">
        <f>_xlfn.VAR.P(data[Current account balance])</f>
        <v>3.1528396419680651E+21</v>
      </c>
      <c r="E16" s="5">
        <f>_xlfn.VAR.P(data[Death rate(deaths/1000 population)])</f>
        <v>24.582573795555586</v>
      </c>
      <c r="F16" s="5">
        <f>_xlfn.VAR.P(data[Debt - external])</f>
        <v>1.2816738855442068E+23</v>
      </c>
      <c r="G16" s="5">
        <f>_xlfn.VAR.P(data[Electricity - consumption(kWh)])</f>
        <v>1.1739030548437801E+23</v>
      </c>
      <c r="H16" s="5">
        <f>_xlfn.VAR.P(data[Electricity - production(kWh)])</f>
        <v>1.3670294069846986E+23</v>
      </c>
      <c r="I16" s="5">
        <f>_xlfn.VAR.P(data[Exports])</f>
        <v>1.7723214116999852E+22</v>
      </c>
      <c r="J16" s="5">
        <f>_xlfn.VAR.P(data[GDP])</f>
        <v>1.5615149295220974E+24</v>
      </c>
      <c r="K16" s="5">
        <f>_xlfn.VAR.P(data[GDP - per capita])</f>
        <v>122776230.31238185</v>
      </c>
      <c r="L16" s="5">
        <f>_xlfn.VAR.P(data[GDP - real growth rate(%)])</f>
        <v>27.794650008899964</v>
      </c>
      <c r="M16" s="5">
        <f>_xlfn.VAR.P(data[HIV/AIDS - adult prevalence rate(%)])</f>
        <v>34.838846935232461</v>
      </c>
      <c r="N16" s="5">
        <f>_xlfn.VAR.P(data[HIV/AIDS - deaths])</f>
        <v>2902675168.6709275</v>
      </c>
      <c r="O16" s="5">
        <f>_xlfn.VAR.P(data[HIV/AIDS - people living with HIV/AIDS])</f>
        <v>475303689673.32379</v>
      </c>
      <c r="P16" s="5">
        <f>_xlfn.VAR.P(data[Highways(km)])</f>
        <v>337237899516.6167</v>
      </c>
      <c r="Q16" s="5">
        <f>_xlfn.VAR.P(data[Imports])</f>
        <v>2.2516541414833039E+22</v>
      </c>
      <c r="R16" s="5">
        <f>_xlfn.VAR.P(data[Industrial production growth rate(%)])</f>
        <v>30.119117712671017</v>
      </c>
      <c r="S16" s="5">
        <f>_xlfn.VAR.P(data[Infant mortality rate(deaths/1000 live births)])</f>
        <v>1243.6866077511133</v>
      </c>
      <c r="T16" s="5">
        <f>_xlfn.VAR.P(data[Inflation rate (consumer prices)(%)])</f>
        <v>112.32636880123366</v>
      </c>
      <c r="U16" s="5">
        <f>_xlfn.VAR.P(data[Internet hosts])</f>
        <v>72501148178797.531</v>
      </c>
      <c r="V16" s="5">
        <f>_xlfn.VAR.P(data[Internet users])</f>
        <v>378784048391842.56</v>
      </c>
      <c r="W16" s="5">
        <f>_xlfn.VAR.P(data[Investment (gross fixed)(% of GDP)])</f>
        <v>64.653562112966696</v>
      </c>
      <c r="X16" s="5">
        <f>_xlfn.VAR.P(data[Labor force])</f>
        <v>4164631595274806.5</v>
      </c>
      <c r="Y16" s="5">
        <f>_xlfn.VAR.P(data[Life expectancy at birth(years)])</f>
        <v>145.05214091062192</v>
      </c>
      <c r="Z16" s="5">
        <f>_xlfn.VAR.P(data[Military expenditures - dollar figure])</f>
        <v>8.6680609444972331E+20</v>
      </c>
      <c r="AA16" s="5">
        <f>_xlfn.VAR.P(data[Military expenditures - percent of GDP(%)])</f>
        <v>5.5322744536271857</v>
      </c>
      <c r="AB16" s="5">
        <f>_xlfn.VAR.P(data[Natural gas - consumption(cu m)])</f>
        <v>7.2273838629769812E+21</v>
      </c>
      <c r="AC16" s="5">
        <f>_xlfn.VAR.P(data[Natural gas - exports(cu m)])</f>
        <v>4.8495280135562409E+20</v>
      </c>
      <c r="AD16" s="5">
        <f>_xlfn.VAR.P(data[Natural gas - imports(cu m)])</f>
        <v>1.0888507463398377E+21</v>
      </c>
      <c r="AE16" s="5">
        <f>_xlfn.VAR.P(data[Natural gas - production(cu m)])</f>
        <v>6.6584520640825351E+21</v>
      </c>
      <c r="AF16" s="5">
        <f>_xlfn.VAR.P(data[Natural gas - proved reserves(cu m)])</f>
        <v>3.1913578182712558E+25</v>
      </c>
      <c r="AG16" s="5">
        <f>_xlfn.VAR.P(data[Oil - consumption(bbl/day)])</f>
        <v>3171574936487.2729</v>
      </c>
      <c r="AH16" s="5">
        <f>_xlfn.VAR.P(data[Oil - exports(bbl/day)])</f>
        <v>2372221868300.5879</v>
      </c>
      <c r="AI16" s="5">
        <f>_xlfn.VAR.P(data[Oil - imports(bbl/day)])</f>
        <v>5838042479316.5215</v>
      </c>
      <c r="AJ16" s="5">
        <f>_xlfn.VAR.P(data[Oil - production(bbl/day)])</f>
        <v>1410175286077.3425</v>
      </c>
      <c r="AK16" s="5">
        <f>_xlfn.VAR.P(data[Oil - proved reserves(bbl)])</f>
        <v>1.5234868296342808E+21</v>
      </c>
      <c r="AL16" s="5">
        <f>_xlfn.VAR.P(data[Population])</f>
        <v>1.3758922156798396E+16</v>
      </c>
      <c r="AM16" s="5">
        <f>_xlfn.VAR.P(data[Public debt(% of GDP)])</f>
        <v>1352.9536899862828</v>
      </c>
      <c r="AN16" s="5">
        <f>_xlfn.VAR.P(data[Railways(km)])</f>
        <v>884813999.24532187</v>
      </c>
      <c r="AO16" s="5">
        <f>_xlfn.VAR.P(data[Reserves of foreign exchange &amp; gold])</f>
        <v>6.3945935265923879E+21</v>
      </c>
      <c r="AP16" s="5">
        <f>_xlfn.VAR.P(data[Telephones - main lines in use])</f>
        <v>735201125438434.5</v>
      </c>
      <c r="AQ16" s="5">
        <f>_xlfn.VAR.P(data[Telephones - mobile cellular])</f>
        <v>942004992728397.75</v>
      </c>
      <c r="AR16" s="5">
        <f>_xlfn.VAR.P(data[Total fertility rate(children born/woman)])</f>
        <v>2.4132243950617314</v>
      </c>
      <c r="AS16" s="5">
        <f>_xlfn.VAR.P(data[Unemployment rate(%)])</f>
        <v>227.23726969401028</v>
      </c>
    </row>
    <row r="17" spans="1:45" ht="15.6" x14ac:dyDescent="0.3">
      <c r="A17" s="13" t="s">
        <v>319</v>
      </c>
      <c r="B17" s="5">
        <f>B15/SQRT(B5)</f>
        <v>115792.28536878533</v>
      </c>
      <c r="C17" s="5">
        <f t="shared" ref="C17:AS17" si="1">C15/SQRT(C5)</f>
        <v>0.74014763692417851</v>
      </c>
      <c r="D17" s="5">
        <f t="shared" si="1"/>
        <v>4599999738.8153305</v>
      </c>
      <c r="E17" s="5">
        <f t="shared" si="1"/>
        <v>0.3305387776582388</v>
      </c>
      <c r="F17" s="5">
        <f t="shared" si="1"/>
        <v>25251706858.660561</v>
      </c>
      <c r="G17" s="5">
        <f t="shared" si="1"/>
        <v>23366673294.621384</v>
      </c>
      <c r="H17" s="5">
        <f t="shared" si="1"/>
        <v>25333729367.284008</v>
      </c>
      <c r="I17" s="5">
        <f t="shared" si="1"/>
        <v>8895026227.8280754</v>
      </c>
      <c r="J17" s="5">
        <f t="shared" si="1"/>
        <v>82396573628.69072</v>
      </c>
      <c r="K17" s="5">
        <f t="shared" si="1"/>
        <v>730.62281446061888</v>
      </c>
      <c r="L17" s="5">
        <f t="shared" si="1"/>
        <v>0.36208678471413791</v>
      </c>
      <c r="M17" s="5">
        <f t="shared" si="1"/>
        <v>0.45538345259812985</v>
      </c>
      <c r="N17" s="5">
        <f t="shared" si="1"/>
        <v>4428.6194303176862</v>
      </c>
      <c r="O17" s="5">
        <f t="shared" si="1"/>
        <v>53834.87001670376</v>
      </c>
      <c r="P17" s="5">
        <f t="shared" si="1"/>
        <v>38291.666678649133</v>
      </c>
      <c r="Q17" s="5">
        <f t="shared" si="1"/>
        <v>10025979960.750059</v>
      </c>
      <c r="R17" s="5">
        <f t="shared" si="1"/>
        <v>0.42854772987915757</v>
      </c>
      <c r="S17" s="5">
        <f t="shared" si="1"/>
        <v>2.35106274574912</v>
      </c>
      <c r="T17" s="5">
        <f t="shared" si="1"/>
        <v>0.71131893988547157</v>
      </c>
      <c r="U17" s="5">
        <f t="shared" si="1"/>
        <v>616106.45447014889</v>
      </c>
      <c r="V17" s="5">
        <f t="shared" si="1"/>
        <v>1324246.9005687488</v>
      </c>
      <c r="W17" s="5">
        <f t="shared" si="1"/>
        <v>0.66545669822468589</v>
      </c>
      <c r="X17" s="5">
        <f t="shared" si="1"/>
        <v>4411450.4763198309</v>
      </c>
      <c r="Y17" s="5">
        <f t="shared" si="1"/>
        <v>0.80291729451107618</v>
      </c>
      <c r="Z17" s="5">
        <f t="shared" si="1"/>
        <v>2258065406.2971735</v>
      </c>
      <c r="AA17" s="5">
        <f t="shared" si="1"/>
        <v>0.18310908246886337</v>
      </c>
      <c r="AB17" s="5">
        <f t="shared" si="1"/>
        <v>8180478039.4235258</v>
      </c>
      <c r="AC17" s="5">
        <f t="shared" si="1"/>
        <v>2119033675.1113179</v>
      </c>
      <c r="AD17" s="5">
        <f t="shared" si="1"/>
        <v>3175208867.9327059</v>
      </c>
      <c r="AE17" s="5">
        <f t="shared" si="1"/>
        <v>7888505813.1047964</v>
      </c>
      <c r="AF17" s="5">
        <f t="shared" si="1"/>
        <v>573590411919.97034</v>
      </c>
      <c r="AG17" s="5">
        <f t="shared" si="1"/>
        <v>122312.13813180575</v>
      </c>
      <c r="AH17" s="5">
        <f t="shared" si="1"/>
        <v>202238.41632999727</v>
      </c>
      <c r="AI17" s="5">
        <f t="shared" si="1"/>
        <v>356249.86588301125</v>
      </c>
      <c r="AJ17" s="5">
        <f t="shared" si="1"/>
        <v>81558.385328217206</v>
      </c>
      <c r="AK17" s="5">
        <f t="shared" si="1"/>
        <v>3963085892.3374515</v>
      </c>
      <c r="AL17" s="5">
        <f t="shared" si="1"/>
        <v>7603328.0408957927</v>
      </c>
      <c r="AM17" s="5">
        <f t="shared" si="1"/>
        <v>3.5393995227092505</v>
      </c>
      <c r="AN17" s="5">
        <f t="shared" si="1"/>
        <v>2569.647747572978</v>
      </c>
      <c r="AO17" s="5">
        <f t="shared" si="1"/>
        <v>6595501211.8354111</v>
      </c>
      <c r="AP17" s="5">
        <f t="shared" si="1"/>
        <v>1780160.2085961571</v>
      </c>
      <c r="AQ17" s="5">
        <f t="shared" si="1"/>
        <v>2032633.9673684463</v>
      </c>
      <c r="AR17" s="5">
        <f t="shared" si="1"/>
        <v>0.10356370868132291</v>
      </c>
      <c r="AS17" s="5">
        <f t="shared" si="1"/>
        <v>1.0879004762950379</v>
      </c>
    </row>
    <row r="18" spans="1:45" ht="15.6" x14ac:dyDescent="0.3">
      <c r="A18" s="13" t="s">
        <v>320</v>
      </c>
      <c r="B18" s="5">
        <f>KURT(data[Area(sq km)])</f>
        <v>38.800379646219682</v>
      </c>
      <c r="C18" s="5">
        <f>KURT(data[Birth rate(births/1000 population)])</f>
        <v>-0.72069805471129689</v>
      </c>
      <c r="D18" s="5">
        <f>KURT(data[Current account balance])</f>
        <v>118.93768948334738</v>
      </c>
      <c r="E18" s="5">
        <f>KURT(data[Death rate(deaths/1000 population)])</f>
        <v>2.0777854444468971</v>
      </c>
      <c r="F18" s="5">
        <f>KURT(data[Debt - external])</f>
        <v>143.00531000894753</v>
      </c>
      <c r="G18" s="5">
        <f>KURT(data[Electricity - consumption(kWh)])</f>
        <v>71.384118300067826</v>
      </c>
      <c r="H18" s="5">
        <f>KURT(data[Electricity - production(kWh)])</f>
        <v>66.869229594860499</v>
      </c>
      <c r="I18" s="5">
        <f>KURT(data[Exports])</f>
        <v>30.665793318638631</v>
      </c>
      <c r="J18" s="5">
        <f>KURT(data[GDP])</f>
        <v>63.468524182575543</v>
      </c>
      <c r="K18" s="5">
        <f>KURT(data[GDP - per capita])</f>
        <v>1.2371312368140295</v>
      </c>
      <c r="L18" s="5">
        <f>KURT(data[GDP - real growth rate(%)])</f>
        <v>37.942891149692599</v>
      </c>
      <c r="M18" s="5">
        <f>KURT(data[HIV/AIDS - adult prevalence rate(%)])</f>
        <v>18.4317720636544</v>
      </c>
      <c r="N18" s="5">
        <f>KURT(data[HIV/AIDS - deaths])</f>
        <v>22.616015226382117</v>
      </c>
      <c r="O18" s="5">
        <f>KURT(data[HIV/AIDS - people living with HIV/AIDS])</f>
        <v>34.932636411733789</v>
      </c>
      <c r="P18" s="5">
        <f>KURT(data[Highways(km)])</f>
        <v>74.539314306369292</v>
      </c>
      <c r="Q18" s="5">
        <f>KURT(data[Imports])</f>
        <v>50.120697981371556</v>
      </c>
      <c r="R18" s="5">
        <f>KURT(data[Industrial production growth rate(%)])</f>
        <v>3.1701472044510179</v>
      </c>
      <c r="S18" s="5">
        <f>KURT(data[Infant mortality rate(deaths/1000 live births)])</f>
        <v>1.8919828284482798</v>
      </c>
      <c r="T18" s="5">
        <f>KURT(data[Inflation rate (consumer prices)(%)])</f>
        <v>95.50996013465857</v>
      </c>
      <c r="U18" s="5">
        <f>KURT(data[Internet hosts])</f>
        <v>171.70850082681795</v>
      </c>
      <c r="V18" s="5">
        <f>KURT(data[Internet users])</f>
        <v>73.204843879316613</v>
      </c>
      <c r="W18" s="5">
        <f>KURT(data[Investment (gross fixed)(% of GDP)])</f>
        <v>6.745978856335034</v>
      </c>
      <c r="X18" s="5">
        <f>KURT(data[Labor force])</f>
        <v>96.169872257982774</v>
      </c>
      <c r="Y18" s="5">
        <f>KURT(data[Life expectancy at birth(years)])</f>
        <v>0.15895249616895768</v>
      </c>
      <c r="Z18" s="5">
        <f>KURT(data[Military expenditures - dollar figure])</f>
        <v>141.07938879692537</v>
      </c>
      <c r="AA18" s="5">
        <f>KURT(data[Military expenditures - percent of GDP(%)])</f>
        <v>8.1303102969952317</v>
      </c>
      <c r="AB18" s="5">
        <f>KURT(data[Natural gas - consumption(cu m)])</f>
        <v>33.762874807421937</v>
      </c>
      <c r="AC18" s="5">
        <f>KURT(data[Natural gas - exports(cu m)])</f>
        <v>30.470695344712116</v>
      </c>
      <c r="AD18" s="5">
        <f>KURT(data[Natural gas - imports(cu m)])</f>
        <v>55.052953562763456</v>
      </c>
      <c r="AE18" s="5">
        <f>KURT(data[Natural gas - production(cu m)])</f>
        <v>34.274409928269009</v>
      </c>
      <c r="AF18" s="5">
        <f>KURT(data[Natural gas - proved reserves(cu m)])</f>
        <v>46.445830203865469</v>
      </c>
      <c r="AG18" s="5">
        <f>KURT(data[Oil - consumption(bbl/day)])</f>
        <v>82.001232216942427</v>
      </c>
      <c r="AH18" s="5">
        <f>KURT(data[Oil - exports(bbl/day)])</f>
        <v>9.5925669963840043</v>
      </c>
      <c r="AI18" s="5">
        <f>KURT(data[Oil - imports(bbl/day)])</f>
        <v>30.294252388586351</v>
      </c>
      <c r="AJ18" s="5">
        <f>KURT(data[Oil - production(bbl/day)])</f>
        <v>29.596925653451816</v>
      </c>
      <c r="AK18" s="5">
        <f>KURT(data[Oil - proved reserves(bbl)])</f>
        <v>19.799243594151108</v>
      </c>
      <c r="AL18" s="5">
        <f>KURT(data[Population])</f>
        <v>85.946856080959265</v>
      </c>
      <c r="AM18" s="5">
        <f>KURT(data[Public debt(% of GDP)])</f>
        <v>4.7648916813559445</v>
      </c>
      <c r="AN18" s="5">
        <f>KURT(data[Railways(km)])</f>
        <v>40.02442360313011</v>
      </c>
      <c r="AO18" s="5">
        <f>KURT(data[Reserves of foreign exchange &amp; gold])</f>
        <v>46.217252582235787</v>
      </c>
      <c r="AP18" s="5">
        <f>KURT(data[Telephones - main lines in use])</f>
        <v>64.42983830267319</v>
      </c>
      <c r="AQ18" s="5">
        <f>KURT(data[Telephones - mobile cellular])</f>
        <v>68.700026007631536</v>
      </c>
      <c r="AR18" s="5">
        <f>KURT(data[Total fertility rate(children born/woman)])</f>
        <v>-0.28609269371199719</v>
      </c>
      <c r="AS18" s="5">
        <f>KURT(data[Unemployment rate(%)])</f>
        <v>5.7973033916276826</v>
      </c>
    </row>
    <row r="19" spans="1:45" ht="15.6" x14ac:dyDescent="0.3">
      <c r="A19" s="13" t="s">
        <v>321</v>
      </c>
      <c r="B19" s="5">
        <f>SKEW(data[Area(sq km)])</f>
        <v>5.8568376755682099</v>
      </c>
      <c r="C19" s="5">
        <f>SKEW(data[Birth rate(births/1000 population)])</f>
        <v>0.68354521398509738</v>
      </c>
      <c r="D19" s="5">
        <f>SKEW(data[Current account balance])</f>
        <v>-10.086612028995098</v>
      </c>
      <c r="E19" s="5">
        <f>SKEW(data[Death rate(deaths/1000 population)])</f>
        <v>1.4482354022891899</v>
      </c>
      <c r="F19" s="5">
        <f>SKEW(data[Debt - external])</f>
        <v>11.348024815624386</v>
      </c>
      <c r="G19" s="5">
        <f>SKEW(data[Electricity - consumption(kWh)])</f>
        <v>7.9488959434147848</v>
      </c>
      <c r="H19" s="5">
        <f>SKEW(data[Electricity - production(kWh)])</f>
        <v>7.7212530131184289</v>
      </c>
      <c r="I19" s="5">
        <f>SKEW(data[Exports])</f>
        <v>5.1237033926165259</v>
      </c>
      <c r="J19" s="5">
        <f>SKEW(data[GDP])</f>
        <v>7.6141156405773307</v>
      </c>
      <c r="K19" s="5">
        <f>SKEW(data[GDP - per capita])</f>
        <v>1.3422947857227314</v>
      </c>
      <c r="L19" s="5">
        <f>SKEW(data[GDP - real growth rate(%)])</f>
        <v>4.933479057182792</v>
      </c>
      <c r="M19" s="5">
        <f>SKEW(data[HIV/AIDS - adult prevalence rate(%)])</f>
        <v>4.0487692639605566</v>
      </c>
      <c r="N19" s="5">
        <f>SKEW(data[HIV/AIDS - deaths])</f>
        <v>4.5156153006426765</v>
      </c>
      <c r="O19" s="5">
        <f>SKEW(data[HIV/AIDS - people living with HIV/AIDS])</f>
        <v>5.5441553843468032</v>
      </c>
      <c r="P19" s="5">
        <f>SKEW(data[Highways(km)])</f>
        <v>8.0599747119238359</v>
      </c>
      <c r="Q19" s="5">
        <f>SKEW(data[Imports])</f>
        <v>6.4529852328313932</v>
      </c>
      <c r="R19" s="5">
        <f>SKEW(data[Industrial production growth rate(%)])</f>
        <v>0.99883621158591951</v>
      </c>
      <c r="S19" s="5">
        <f>SKEW(data[Infant mortality rate(deaths/1000 live births)])</f>
        <v>1.435561013617648</v>
      </c>
      <c r="T19" s="5">
        <f>SKEW(data[Inflation rate (consumer prices)(%)])</f>
        <v>8.5914950568187276</v>
      </c>
      <c r="U19" s="5">
        <f>SKEW(data[Internet hosts])</f>
        <v>12.857824159609535</v>
      </c>
      <c r="V19" s="5">
        <f>SKEW(data[Internet users])</f>
        <v>8.1420473001551201</v>
      </c>
      <c r="W19" s="5">
        <f>SKEW(data[Investment (gross fixed)(% of GDP)])</f>
        <v>1.9541359892792054</v>
      </c>
      <c r="X19" s="5">
        <f>SKEW(data[Labor force])</f>
        <v>9.27021003330605</v>
      </c>
      <c r="Y19" s="5">
        <f>SKEW(data[Life expectancy at birth(years)])</f>
        <v>-1.0949756956181731</v>
      </c>
      <c r="Z19" s="5">
        <f>SKEW(data[Military expenditures - dollar figure])</f>
        <v>11.462598184941669</v>
      </c>
      <c r="AA19" s="5">
        <f>SKEW(data[Military expenditures - percent of GDP(%)])</f>
        <v>2.5726540064021823</v>
      </c>
      <c r="AB19" s="5">
        <f>SKEW(data[Natural gas - consumption(cu m)])</f>
        <v>5.6281727552923853</v>
      </c>
      <c r="AC19" s="5">
        <f>SKEW(data[Natural gas - exports(cu m)])</f>
        <v>5.0161744706749003</v>
      </c>
      <c r="AD19" s="5">
        <f>SKEW(data[Natural gas - imports(cu m)])</f>
        <v>6.8206452159114139</v>
      </c>
      <c r="AE19" s="5">
        <f>SKEW(data[Natural gas - production(cu m)])</f>
        <v>5.621028742576013</v>
      </c>
      <c r="AF19" s="5">
        <f>SKEW(data[Natural gas - proved reserves(cu m)])</f>
        <v>6.4466868596783486</v>
      </c>
      <c r="AG19" s="5">
        <f>SKEW(data[Oil - consumption(bbl/day)])</f>
        <v>8.5456221466596354</v>
      </c>
      <c r="AH19" s="5">
        <f>SKEW(data[Oil - exports(bbl/day)])</f>
        <v>2.9782478376845436</v>
      </c>
      <c r="AI19" s="5">
        <f>SKEW(data[Oil - imports(bbl/day)])</f>
        <v>5.1791956553261267</v>
      </c>
      <c r="AJ19" s="5">
        <f>SKEW(data[Oil - production(bbl/day)])</f>
        <v>5.0568700708783281</v>
      </c>
      <c r="AK19" s="5">
        <f>SKEW(data[Oil - proved reserves(bbl)])</f>
        <v>4.1535098972642777</v>
      </c>
      <c r="AL19" s="5">
        <f>SKEW(data[Population])</f>
        <v>8.8092676062917601</v>
      </c>
      <c r="AM19" s="5">
        <f>SKEW(data[Public debt(% of GDP)])</f>
        <v>1.7147699452382099</v>
      </c>
      <c r="AN19" s="5">
        <f>SKEW(data[Railways(km)])</f>
        <v>5.9849143861865111</v>
      </c>
      <c r="AO19" s="5">
        <f>SKEW(data[Reserves of foreign exchange &amp; gold])</f>
        <v>6.4315579131199341</v>
      </c>
      <c r="AP19" s="5">
        <f>SKEW(data[Telephones - main lines in use])</f>
        <v>7.7400886432157128</v>
      </c>
      <c r="AQ19" s="5">
        <f>SKEW(data[Telephones - mobile cellular])</f>
        <v>7.851725786499359</v>
      </c>
      <c r="AR19" s="5">
        <f>SKEW(data[Total fertility rate(children born/woman)])</f>
        <v>0.92979202391785454</v>
      </c>
      <c r="AS19" s="5">
        <f>SKEW(data[Unemployment rate(%)])</f>
        <v>2.1521049018566294</v>
      </c>
    </row>
    <row r="20" spans="1:45" ht="15.6" x14ac:dyDescent="0.3">
      <c r="A20" s="13" t="s">
        <v>315</v>
      </c>
      <c r="B20" s="5">
        <f>_xlfn.CONFIDENCE.T(0.05,B15,data[Area(sq km)])</f>
        <v>142983.89192380715</v>
      </c>
      <c r="C20" s="5">
        <f>_xlfn.CONFIDENCE.T(0.05,C15,data[Birth rate(births/1000 population)])</f>
        <v>5.5210014096413342</v>
      </c>
      <c r="D20" s="5">
        <f>_xlfn.CONFIDENCE.T(0.05,D15,data[Current account balance])</f>
        <v>4545829.8026618455</v>
      </c>
      <c r="E20" s="5">
        <f>_xlfn.CONFIDENCE.T(0.05,E15,data[Death rate(deaths/1000 population)])</f>
        <v>7.8894143378359161</v>
      </c>
      <c r="F20" s="5">
        <f>_xlfn.CONFIDENCE.T(0.05,F15,data[Debt - external])</f>
        <v>8900538.2893947922</v>
      </c>
      <c r="G20" s="5">
        <f>_xlfn.CONFIDENCE.T(0.05,G15,data[Electricity - consumption(kWh)])</f>
        <v>8407908.1269904431</v>
      </c>
      <c r="H20" s="5">
        <f>_xlfn.CONFIDENCE.T(0.05,H15,data[Electricity - production(kWh)])</f>
        <v>8749333.1276199855</v>
      </c>
      <c r="I20" s="5">
        <f>_xlfn.CONFIDENCE.T(0.05,I15,data[Exports])</f>
        <v>2880581.1490149661</v>
      </c>
      <c r="J20" s="5" t="e">
        <f>_xlfn.CONFIDENCE.T(0.05,J15,data[GDP])</f>
        <v>#NUM!</v>
      </c>
      <c r="K20" s="5">
        <f>_xlfn.CONFIDENCE.T(0.05,K15,data[GDP - per capita])</f>
        <v>156.7407801897395</v>
      </c>
      <c r="L20" s="5">
        <f>_xlfn.CONFIDENCE.T(0.05,L15,data[GDP - real growth rate(%)])</f>
        <v>6.5461310274300599</v>
      </c>
      <c r="M20" s="5" t="e">
        <f>_xlfn.CONFIDENCE.T(0.05,M15,data[HIV/AIDS - adult prevalence rate(%)])</f>
        <v>#NUM!</v>
      </c>
      <c r="N20" s="5">
        <f>_xlfn.CONFIDENCE.T(0.05,N15,data[HIV/AIDS - deaths])</f>
        <v>7512.44942433703</v>
      </c>
      <c r="O20" s="5">
        <f>_xlfn.CONFIDENCE.T(0.05,O15,data[HIV/AIDS - people living with HIV/AIDS])</f>
        <v>55275.982313090361</v>
      </c>
      <c r="P20" s="5">
        <f>_xlfn.CONFIDENCE.T(0.05,P15,data[Highways(km)])</f>
        <v>19359.450884489375</v>
      </c>
      <c r="Q20" s="5">
        <f>_xlfn.CONFIDENCE.T(0.05,Q15,data[Imports])</f>
        <v>3838662.0958510847</v>
      </c>
      <c r="R20" s="5">
        <f>_xlfn.CONFIDENCE.T(0.05,R15,data[Industrial production growth rate(%)])</f>
        <v>49.308520751374004</v>
      </c>
      <c r="S20" s="5">
        <f>_xlfn.CONFIDENCE.T(0.05,S15,data[Infant mortality rate(deaths/1000 live births)])</f>
        <v>18.132073827608778</v>
      </c>
      <c r="T20" s="5">
        <f>_xlfn.CONFIDENCE.T(0.05,T15,data[Inflation rate (consumer prices)(%)])</f>
        <v>95.222967338941615</v>
      </c>
      <c r="U20" s="5">
        <f>_xlfn.CONFIDENCE.T(0.05,U15,data[Internet hosts])</f>
        <v>457337.83448350767</v>
      </c>
      <c r="V20" s="5">
        <f>_xlfn.CONFIDENCE.T(0.05,V15,data[Internet users])</f>
        <v>86228.574179298797</v>
      </c>
      <c r="W20" s="5">
        <f>_xlfn.CONFIDENCE.T(0.05,W15,data[Investment (gross fixed)(% of GDP)])</f>
        <v>5.1088449237248295</v>
      </c>
      <c r="X20" s="5">
        <f>_xlfn.CONFIDENCE.T(0.05,X15,data[Labor force])</f>
        <v>207939.47564336524</v>
      </c>
      <c r="Y20" s="5">
        <f>_xlfn.CONFIDENCE.T(0.05,Y15,data[Life expectancy at birth(years)])</f>
        <v>2.7903127537247281</v>
      </c>
      <c r="Z20" s="5">
        <f>_xlfn.CONFIDENCE.T(0.05,Z15,data[Military expenditures - dollar figure])</f>
        <v>2301008.755018576</v>
      </c>
      <c r="AA20" s="5">
        <f>_xlfn.CONFIDENCE.T(0.05,AA15,data[Military expenditures - percent of GDP(%)])</f>
        <v>2.4683552697485567</v>
      </c>
      <c r="AB20" s="5" t="e">
        <f>_xlfn.CONFIDENCE.T(0.05,AB15,data[Natural gas - consumption(cu m)])</f>
        <v>#NUM!</v>
      </c>
      <c r="AC20" s="5" t="e">
        <f>_xlfn.CONFIDENCE.T(0.05,AC15,data[Natural gas - exports(cu m)])</f>
        <v>#NUM!</v>
      </c>
      <c r="AD20" s="5" t="e">
        <f>_xlfn.CONFIDENCE.T(0.05,AD15,data[Natural gas - imports(cu m)])</f>
        <v>#NUM!</v>
      </c>
      <c r="AE20" s="5" t="e">
        <f>_xlfn.CONFIDENCE.T(0.05,AE15,data[Natural gas - production(cu m)])</f>
        <v>#NUM!</v>
      </c>
      <c r="AF20" s="5" t="e">
        <f>_xlfn.CONFIDENCE.T(0.05,AF15,data[Natural gas - proved reserves(cu m)])</f>
        <v>#NUM!</v>
      </c>
      <c r="AG20" s="5">
        <f>_xlfn.CONFIDENCE.T(0.05,AG15,data[Oil - consumption(bbl/day)])</f>
        <v>17452.94523077894</v>
      </c>
      <c r="AH20" s="5" t="e">
        <f>_xlfn.CONFIDENCE.T(0.05,AH15,data[Oil - exports(bbl/day)])</f>
        <v>#NUM!</v>
      </c>
      <c r="AI20" s="5" t="e">
        <f>_xlfn.CONFIDENCE.T(0.05,AI15,data[Oil - imports(bbl/day)])</f>
        <v>#NUM!</v>
      </c>
      <c r="AJ20" s="5">
        <f>_xlfn.CONFIDENCE.T(0.05,AJ15,data[Oil - production(bbl/day)])</f>
        <v>11096.097125415554</v>
      </c>
      <c r="AK20" s="5">
        <f>_xlfn.CONFIDENCE.T(0.05,AK15,data[Oil - proved reserves(bbl)])</f>
        <v>6815256.009104073</v>
      </c>
      <c r="AL20" s="5">
        <f>_xlfn.CONFIDENCE.T(0.05,AL15,data[Population])</f>
        <v>277100.92811320489</v>
      </c>
      <c r="AM20" s="5">
        <f>_xlfn.CONFIDENCE.T(0.05,AM15,data[Public debt(% of GDP)])</f>
        <v>9.2635574021201315</v>
      </c>
      <c r="AN20" s="5" t="e">
        <f>_xlfn.CONFIDENCE.T(0.05,AN15,data[Railways(km)])</f>
        <v>#NUM!</v>
      </c>
      <c r="AO20" s="5">
        <f>_xlfn.CONFIDENCE.T(0.05,AO15,data[Reserves of foreign exchange &amp; gold])</f>
        <v>3387242.1053780648</v>
      </c>
      <c r="AP20" s="5">
        <f>_xlfn.CONFIDENCE.T(0.05,AP15,data[Telephones - main lines in use])</f>
        <v>123290.93522852047</v>
      </c>
      <c r="AQ20" s="5">
        <f>_xlfn.CONFIDENCE.T(0.05,AQ15,data[Telephones - mobile cellular])</f>
        <v>90370.150308453056</v>
      </c>
      <c r="AR20" s="5">
        <f>_xlfn.CONFIDENCE.T(0.05,AR15,data[Total fertility rate(children born/woman)])</f>
        <v>13.957245080449356</v>
      </c>
      <c r="AS20" s="5">
        <f>_xlfn.CONFIDENCE.T(0.05,AS15,data[Unemployment rate(%)])</f>
        <v>8.3479195903372503</v>
      </c>
    </row>
    <row r="23" spans="1:45" ht="25.8" x14ac:dyDescent="0.5">
      <c r="A23" s="6" t="s">
        <v>327</v>
      </c>
    </row>
    <row r="24" spans="1:45" ht="15" thickBot="1" x14ac:dyDescent="0.35"/>
    <row r="25" spans="1:45" s="3" customFormat="1" ht="21" customHeight="1" x14ac:dyDescent="0.3">
      <c r="A25" s="7"/>
      <c r="B25" s="7" t="s">
        <v>1</v>
      </c>
      <c r="C25" s="7" t="s">
        <v>2</v>
      </c>
      <c r="D25" s="7" t="s">
        <v>3</v>
      </c>
      <c r="E25" s="7" t="s">
        <v>4</v>
      </c>
      <c r="F25" s="7" t="s">
        <v>5</v>
      </c>
      <c r="G25" s="7" t="s">
        <v>6</v>
      </c>
      <c r="H25" s="7" t="s">
        <v>7</v>
      </c>
      <c r="I25" s="7" t="s">
        <v>8</v>
      </c>
      <c r="J25" s="7" t="s">
        <v>9</v>
      </c>
      <c r="K25" s="7" t="s">
        <v>10</v>
      </c>
      <c r="L25" s="7" t="s">
        <v>11</v>
      </c>
      <c r="M25" s="7" t="s">
        <v>12</v>
      </c>
      <c r="N25" s="7" t="s">
        <v>13</v>
      </c>
      <c r="O25" s="7" t="s">
        <v>14</v>
      </c>
      <c r="P25" s="7" t="s">
        <v>15</v>
      </c>
      <c r="Q25" s="7" t="s">
        <v>16</v>
      </c>
      <c r="R25" s="7" t="s">
        <v>17</v>
      </c>
      <c r="S25" s="7" t="s">
        <v>18</v>
      </c>
      <c r="T25" s="7" t="s">
        <v>19</v>
      </c>
      <c r="U25" s="7" t="s">
        <v>20</v>
      </c>
      <c r="V25" s="7" t="s">
        <v>21</v>
      </c>
      <c r="W25" s="7" t="s">
        <v>22</v>
      </c>
      <c r="X25" s="7" t="s">
        <v>23</v>
      </c>
      <c r="Y25" s="7" t="s">
        <v>24</v>
      </c>
      <c r="Z25" s="7" t="s">
        <v>25</v>
      </c>
      <c r="AA25" s="7" t="s">
        <v>26</v>
      </c>
      <c r="AB25" s="7" t="s">
        <v>27</v>
      </c>
      <c r="AC25" s="7" t="s">
        <v>28</v>
      </c>
      <c r="AD25" s="7" t="s">
        <v>29</v>
      </c>
      <c r="AE25" s="7" t="s">
        <v>30</v>
      </c>
      <c r="AF25" s="7" t="s">
        <v>31</v>
      </c>
      <c r="AG25" s="7" t="s">
        <v>32</v>
      </c>
      <c r="AH25" s="7" t="s">
        <v>33</v>
      </c>
      <c r="AI25" s="7" t="s">
        <v>34</v>
      </c>
      <c r="AJ25" s="7" t="s">
        <v>35</v>
      </c>
      <c r="AK25" s="7" t="s">
        <v>36</v>
      </c>
      <c r="AL25" s="7" t="s">
        <v>37</v>
      </c>
      <c r="AM25" s="7" t="s">
        <v>38</v>
      </c>
      <c r="AN25" s="7" t="s">
        <v>39</v>
      </c>
      <c r="AO25" s="7" t="s">
        <v>40</v>
      </c>
      <c r="AP25" s="7" t="s">
        <v>41</v>
      </c>
      <c r="AQ25" s="7" t="s">
        <v>42</v>
      </c>
      <c r="AR25" s="7" t="s">
        <v>43</v>
      </c>
      <c r="AS25" s="7" t="s">
        <v>44</v>
      </c>
    </row>
    <row r="26" spans="1:45" ht="15.6" x14ac:dyDescent="0.3">
      <c r="A26" s="11" t="s">
        <v>1</v>
      </c>
      <c r="B26" s="8">
        <v>1</v>
      </c>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row>
    <row r="27" spans="1:45" ht="15.6" x14ac:dyDescent="0.3">
      <c r="A27" s="11" t="s">
        <v>2</v>
      </c>
      <c r="B27" s="8">
        <v>-7.6068988697336151E-2</v>
      </c>
      <c r="C27" s="8">
        <v>1</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row>
    <row r="28" spans="1:45" ht="15.6" x14ac:dyDescent="0.3">
      <c r="A28" s="11" t="s">
        <v>3</v>
      </c>
      <c r="B28" s="8">
        <v>-0.26207773162182513</v>
      </c>
      <c r="C28" s="8">
        <v>7.2115996508243553E-3</v>
      </c>
      <c r="D28" s="8">
        <v>1</v>
      </c>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row>
    <row r="29" spans="1:45" ht="15.6" x14ac:dyDescent="0.3">
      <c r="A29" s="11" t="s">
        <v>4</v>
      </c>
      <c r="B29" s="8">
        <v>3.983551969157912E-2</v>
      </c>
      <c r="C29" s="8">
        <v>0.42336413349347957</v>
      </c>
      <c r="D29" s="8">
        <v>-2.6275120247752581E-3</v>
      </c>
      <c r="E29" s="8">
        <v>1</v>
      </c>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row>
    <row r="30" spans="1:45" ht="15.6" x14ac:dyDescent="0.3">
      <c r="A30" s="11" t="s">
        <v>5</v>
      </c>
      <c r="B30" s="8">
        <v>0.17890981930185851</v>
      </c>
      <c r="C30" s="8">
        <v>-0.16296612579449946</v>
      </c>
      <c r="D30" s="8">
        <v>-0.31096650425772471</v>
      </c>
      <c r="E30" s="8">
        <v>-1.8327754007653178E-2</v>
      </c>
      <c r="F30" s="8">
        <v>1</v>
      </c>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row>
    <row r="31" spans="1:45" ht="15.6" x14ac:dyDescent="0.3">
      <c r="A31" s="11" t="s">
        <v>6</v>
      </c>
      <c r="B31" s="8">
        <v>0.59146580210928279</v>
      </c>
      <c r="C31" s="8">
        <v>-0.19257564421721979</v>
      </c>
      <c r="D31" s="8">
        <v>-0.69926633236322766</v>
      </c>
      <c r="E31" s="8">
        <v>-2.8240079563703804E-2</v>
      </c>
      <c r="F31" s="8">
        <v>0.35810631574374735</v>
      </c>
      <c r="G31" s="8">
        <v>1</v>
      </c>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row>
    <row r="32" spans="1:45" ht="15.6" x14ac:dyDescent="0.3">
      <c r="A32" s="11" t="s">
        <v>7</v>
      </c>
      <c r="B32" s="8">
        <v>0.59019194718525403</v>
      </c>
      <c r="C32" s="8">
        <v>-0.19650782521234603</v>
      </c>
      <c r="D32" s="8">
        <v>-0.68160651499222302</v>
      </c>
      <c r="E32" s="8">
        <v>-3.0846026114900272E-2</v>
      </c>
      <c r="F32" s="8">
        <v>0.36008973514914394</v>
      </c>
      <c r="G32" s="8">
        <v>0.9990466084572146</v>
      </c>
      <c r="H32" s="8">
        <v>1</v>
      </c>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row>
    <row r="33" spans="1:45" ht="15.6" x14ac:dyDescent="0.3">
      <c r="A33" s="11" t="s">
        <v>8</v>
      </c>
      <c r="B33" s="8">
        <v>0.4048981019547408</v>
      </c>
      <c r="C33" s="8">
        <v>-0.30402099031648366</v>
      </c>
      <c r="D33" s="8">
        <v>-0.2665610598583445</v>
      </c>
      <c r="E33" s="8">
        <v>-4.766463608891125E-2</v>
      </c>
      <c r="F33" s="8">
        <v>0.53995274257273396</v>
      </c>
      <c r="G33" s="8">
        <v>0.8173275123283239</v>
      </c>
      <c r="H33" s="8">
        <v>0.82338888330471127</v>
      </c>
      <c r="I33" s="8">
        <v>1</v>
      </c>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row>
    <row r="34" spans="1:45" ht="15.6" x14ac:dyDescent="0.3">
      <c r="A34" s="11" t="s">
        <v>9</v>
      </c>
      <c r="B34" s="8">
        <v>0.52061484045206519</v>
      </c>
      <c r="C34" s="8">
        <v>-0.17879937711729166</v>
      </c>
      <c r="D34" s="8">
        <v>-0.63015842997278415</v>
      </c>
      <c r="E34" s="8">
        <v>-2.9861888987130738E-2</v>
      </c>
      <c r="F34" s="8">
        <v>0.38840793290996023</v>
      </c>
      <c r="G34" s="8">
        <v>0.97715036004519007</v>
      </c>
      <c r="H34" s="8">
        <v>0.98090305965825819</v>
      </c>
      <c r="I34" s="8">
        <v>0.84956538235184176</v>
      </c>
      <c r="J34" s="8">
        <v>1</v>
      </c>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row>
    <row r="35" spans="1:45" ht="15.6" x14ac:dyDescent="0.3">
      <c r="A35" s="11" t="s">
        <v>10</v>
      </c>
      <c r="B35" s="8">
        <v>7.6522990976804137E-2</v>
      </c>
      <c r="C35" s="8">
        <v>-0.64681471292983117</v>
      </c>
      <c r="D35" s="8">
        <v>-0.14374653031556689</v>
      </c>
      <c r="E35" s="8">
        <v>-0.22629506625162488</v>
      </c>
      <c r="F35" s="8">
        <v>0.29120454316668987</v>
      </c>
      <c r="G35" s="8">
        <v>0.27852134706029308</v>
      </c>
      <c r="H35" s="8">
        <v>0.28374741068316467</v>
      </c>
      <c r="I35" s="8">
        <v>0.44402538905203393</v>
      </c>
      <c r="J35" s="8">
        <v>0.24035581531301775</v>
      </c>
      <c r="K35" s="8">
        <v>1</v>
      </c>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row>
    <row r="36" spans="1:45" ht="15.6" x14ac:dyDescent="0.3">
      <c r="A36" s="11" t="s">
        <v>11</v>
      </c>
      <c r="B36" s="8">
        <v>7.0995756703072121E-2</v>
      </c>
      <c r="C36" s="8">
        <v>0.1242390683039372</v>
      </c>
      <c r="D36" s="8">
        <v>5.1202702597365098E-3</v>
      </c>
      <c r="E36" s="8">
        <v>1.5312954450975851E-2</v>
      </c>
      <c r="F36" s="8">
        <v>-1.9725866460993845E-2</v>
      </c>
      <c r="G36" s="8">
        <v>-8.1523071533387247E-3</v>
      </c>
      <c r="H36" s="8">
        <v>-7.3474089954132533E-3</v>
      </c>
      <c r="I36" s="8">
        <v>-4.7639284550472269E-2</v>
      </c>
      <c r="J36" s="8">
        <v>-1.0001452423962644E-2</v>
      </c>
      <c r="K36" s="8">
        <v>-0.11793564208137668</v>
      </c>
      <c r="L36" s="8">
        <v>1</v>
      </c>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row>
    <row r="37" spans="1:45" ht="15.6" x14ac:dyDescent="0.3">
      <c r="A37" s="11" t="s">
        <v>12</v>
      </c>
      <c r="B37" s="8">
        <v>-5.1860429482145115E-2</v>
      </c>
      <c r="C37" s="8">
        <v>0.28180228622689585</v>
      </c>
      <c r="D37" s="8">
        <v>1.2112996668289758E-3</v>
      </c>
      <c r="E37" s="8">
        <v>0.71433298809478374</v>
      </c>
      <c r="F37" s="8">
        <v>-7.0936695729428539E-2</v>
      </c>
      <c r="G37" s="8">
        <v>-7.9576640621243588E-2</v>
      </c>
      <c r="H37" s="8">
        <v>-8.1531473068083074E-2</v>
      </c>
      <c r="I37" s="8">
        <v>-0.14179432133996289</v>
      </c>
      <c r="J37" s="8">
        <v>-8.9609607115142903E-2</v>
      </c>
      <c r="K37" s="8">
        <v>-0.2109036780190906</v>
      </c>
      <c r="L37" s="8">
        <v>-0.10305405367870468</v>
      </c>
      <c r="M37" s="8">
        <v>1</v>
      </c>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row>
    <row r="38" spans="1:45" ht="15.6" x14ac:dyDescent="0.3">
      <c r="A38" s="11" t="s">
        <v>13</v>
      </c>
      <c r="B38" s="8">
        <v>9.7107533061401324E-2</v>
      </c>
      <c r="C38" s="8">
        <v>0.27720625610211669</v>
      </c>
      <c r="D38" s="8">
        <v>-2.2146942835421222E-3</v>
      </c>
      <c r="E38" s="8">
        <v>0.38072016790541874</v>
      </c>
      <c r="F38" s="8">
        <v>-3.9934811428894636E-2</v>
      </c>
      <c r="G38" s="8">
        <v>4.422121647561153E-2</v>
      </c>
      <c r="H38" s="8">
        <v>4.523766289888944E-2</v>
      </c>
      <c r="I38" s="8">
        <v>-5.2937575295763338E-2</v>
      </c>
      <c r="J38" s="8">
        <v>8.7457079773295587E-2</v>
      </c>
      <c r="K38" s="8">
        <v>-0.20512570747365516</v>
      </c>
      <c r="L38" s="8">
        <v>-2.5782115984659203E-2</v>
      </c>
      <c r="M38" s="8">
        <v>0.38675759455975378</v>
      </c>
      <c r="N38" s="8">
        <v>1</v>
      </c>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row>
    <row r="39" spans="1:45" ht="15.6" x14ac:dyDescent="0.3">
      <c r="A39" s="11" t="s">
        <v>14</v>
      </c>
      <c r="B39" s="8">
        <v>0.21131020943271778</v>
      </c>
      <c r="C39" s="8">
        <v>0.16904349116435227</v>
      </c>
      <c r="D39" s="8">
        <v>-7.6711967461333602E-2</v>
      </c>
      <c r="E39" s="8">
        <v>0.32147977715986925</v>
      </c>
      <c r="F39" s="8">
        <v>8.0767772706768874E-3</v>
      </c>
      <c r="G39" s="8">
        <v>0.17704019615829322</v>
      </c>
      <c r="H39" s="8">
        <v>0.17673426864753222</v>
      </c>
      <c r="I39" s="8">
        <v>3.9137420599119628E-2</v>
      </c>
      <c r="J39" s="8">
        <v>0.22021152097000646</v>
      </c>
      <c r="K39" s="8">
        <v>-0.13895758110592593</v>
      </c>
      <c r="L39" s="8">
        <v>-1.5588946586931154E-2</v>
      </c>
      <c r="M39" s="8">
        <v>0.33783570316405354</v>
      </c>
      <c r="N39" s="8">
        <v>0.96999710555100649</v>
      </c>
      <c r="O39" s="8">
        <v>1</v>
      </c>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row>
    <row r="40" spans="1:45" ht="15.6" x14ac:dyDescent="0.3">
      <c r="A40" s="11" t="s">
        <v>15</v>
      </c>
      <c r="B40" s="8">
        <v>0.57905536234230837</v>
      </c>
      <c r="C40" s="8">
        <v>-0.150808787381223</v>
      </c>
      <c r="D40" s="8">
        <v>-0.74363667598706462</v>
      </c>
      <c r="E40" s="8">
        <v>-2.266953030560916E-2</v>
      </c>
      <c r="F40" s="8">
        <v>0.33702523078630997</v>
      </c>
      <c r="G40" s="8">
        <v>0.94713424116139844</v>
      </c>
      <c r="H40" s="8">
        <v>0.94304145419378771</v>
      </c>
      <c r="I40" s="8">
        <v>0.73156033909329088</v>
      </c>
      <c r="J40" s="8">
        <v>0.94106995970465346</v>
      </c>
      <c r="K40" s="8">
        <v>0.237175985948644</v>
      </c>
      <c r="L40" s="8">
        <v>-1.0968837618736092E-2</v>
      </c>
      <c r="M40" s="8">
        <v>-7.6547099805844968E-2</v>
      </c>
      <c r="N40" s="8">
        <v>0.15112058459753089</v>
      </c>
      <c r="O40" s="8">
        <v>0.29211376319312465</v>
      </c>
      <c r="P40" s="8">
        <v>1</v>
      </c>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row>
    <row r="41" spans="1:45" ht="15.6" x14ac:dyDescent="0.3">
      <c r="A41" s="11" t="s">
        <v>16</v>
      </c>
      <c r="B41" s="8">
        <v>0.42432626841517385</v>
      </c>
      <c r="C41" s="8">
        <v>-0.27031042937082211</v>
      </c>
      <c r="D41" s="8">
        <v>-0.60320973854905269</v>
      </c>
      <c r="E41" s="8">
        <v>-4.0813780795362999E-2</v>
      </c>
      <c r="F41" s="8">
        <v>0.5408210848061733</v>
      </c>
      <c r="G41" s="8">
        <v>0.91695648323095669</v>
      </c>
      <c r="H41" s="8">
        <v>0.91723255266787385</v>
      </c>
      <c r="I41" s="8">
        <v>0.94498991883898154</v>
      </c>
      <c r="J41" s="8">
        <v>0.91713997081559628</v>
      </c>
      <c r="K41" s="8">
        <v>0.42549752055249562</v>
      </c>
      <c r="L41" s="8">
        <v>-4.2868081751953009E-2</v>
      </c>
      <c r="M41" s="8">
        <v>-0.11959029397165298</v>
      </c>
      <c r="N41" s="8">
        <v>-4.0847860554746603E-2</v>
      </c>
      <c r="O41" s="8">
        <v>6.4811294035667405E-2</v>
      </c>
      <c r="P41" s="8">
        <v>0.85502275986779008</v>
      </c>
      <c r="Q41" s="8">
        <v>1</v>
      </c>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row>
    <row r="42" spans="1:45" ht="15.6" x14ac:dyDescent="0.3">
      <c r="A42" s="11" t="s">
        <v>17</v>
      </c>
      <c r="B42" s="8">
        <v>5.0961142405340172E-2</v>
      </c>
      <c r="C42" s="8">
        <v>4.3084734915078471E-2</v>
      </c>
      <c r="D42" s="8">
        <v>3.2491665238484457E-2</v>
      </c>
      <c r="E42" s="8">
        <v>4.3293638481771299E-2</v>
      </c>
      <c r="F42" s="8">
        <v>-8.7274409643401191E-2</v>
      </c>
      <c r="G42" s="8">
        <v>1.5082875727448016E-2</v>
      </c>
      <c r="H42" s="8">
        <v>2.0593394541774699E-2</v>
      </c>
      <c r="I42" s="8">
        <v>-3.8811486613992176E-2</v>
      </c>
      <c r="J42" s="8">
        <v>2.1967057291149571E-2</v>
      </c>
      <c r="K42" s="8">
        <v>-0.13373790440161928</v>
      </c>
      <c r="L42" s="8">
        <v>0.41574373231704248</v>
      </c>
      <c r="M42" s="8">
        <v>-4.9639457775702327E-2</v>
      </c>
      <c r="N42" s="8">
        <v>-6.6159853003745911E-2</v>
      </c>
      <c r="O42" s="8">
        <v>-3.1854055515005475E-2</v>
      </c>
      <c r="P42" s="8">
        <v>-3.2082911632573129E-3</v>
      </c>
      <c r="Q42" s="8">
        <v>-4.1762188054164269E-2</v>
      </c>
      <c r="R42" s="8">
        <v>1</v>
      </c>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row>
    <row r="43" spans="1:45" ht="15.6" x14ac:dyDescent="0.3">
      <c r="A43" s="11" t="s">
        <v>18</v>
      </c>
      <c r="B43" s="8">
        <v>-1.4405935616068318E-2</v>
      </c>
      <c r="C43" s="8">
        <v>0.83858868559723521</v>
      </c>
      <c r="D43" s="8">
        <v>1.851849644217668E-2</v>
      </c>
      <c r="E43" s="8">
        <v>0.67799290332586193</v>
      </c>
      <c r="F43" s="8">
        <v>-0.13777204445037008</v>
      </c>
      <c r="G43" s="8">
        <v>-0.15158077241085777</v>
      </c>
      <c r="H43" s="8">
        <v>-0.15390194635360177</v>
      </c>
      <c r="I43" s="8">
        <v>-0.24531201592497495</v>
      </c>
      <c r="J43" s="8">
        <v>-0.13317070385437829</v>
      </c>
      <c r="K43" s="8">
        <v>-0.59360904864441422</v>
      </c>
      <c r="L43" s="8">
        <v>0.17879205874068882</v>
      </c>
      <c r="M43" s="8">
        <v>0.36282668955828246</v>
      </c>
      <c r="N43" s="8">
        <v>0.32733317743666018</v>
      </c>
      <c r="O43" s="8">
        <v>0.25035644426274845</v>
      </c>
      <c r="P43" s="8">
        <v>-0.10811770183142287</v>
      </c>
      <c r="Q43" s="8">
        <v>-0.22042144507205108</v>
      </c>
      <c r="R43" s="8">
        <v>0.14399969132032286</v>
      </c>
      <c r="S43" s="8">
        <v>1</v>
      </c>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row>
    <row r="44" spans="1:45" ht="15.6" x14ac:dyDescent="0.3">
      <c r="A44" s="11" t="s">
        <v>19</v>
      </c>
      <c r="B44" s="8">
        <v>3.088927849697258E-2</v>
      </c>
      <c r="C44" s="8">
        <v>0.20147479104006327</v>
      </c>
      <c r="D44" s="8">
        <v>4.2129678185724535E-3</v>
      </c>
      <c r="E44" s="8">
        <v>0.31498786930487371</v>
      </c>
      <c r="F44" s="8">
        <v>-5.075426341266847E-2</v>
      </c>
      <c r="G44" s="8">
        <v>-4.9775734105523328E-2</v>
      </c>
      <c r="H44" s="8">
        <v>-5.1598650989440616E-2</v>
      </c>
      <c r="I44" s="8">
        <v>-9.5511646216159582E-2</v>
      </c>
      <c r="J44" s="8">
        <v>-5.1817423663133529E-2</v>
      </c>
      <c r="K44" s="8">
        <v>-0.21867910058215737</v>
      </c>
      <c r="L44" s="8">
        <v>2.6648826967961312E-2</v>
      </c>
      <c r="M44" s="8">
        <v>0.2837416531864127</v>
      </c>
      <c r="N44" s="8">
        <v>0.25245032899832925</v>
      </c>
      <c r="O44" s="8">
        <v>0.19535520601734721</v>
      </c>
      <c r="P44" s="8">
        <v>-4.2321135003693659E-2</v>
      </c>
      <c r="Q44" s="8">
        <v>-8.636318578992494E-2</v>
      </c>
      <c r="R44" s="8">
        <v>-0.11874567708766853</v>
      </c>
      <c r="S44" s="8">
        <v>0.26771785717473795</v>
      </c>
      <c r="T44" s="8">
        <v>1</v>
      </c>
      <c r="U44" s="8"/>
      <c r="V44" s="8"/>
      <c r="W44" s="8"/>
      <c r="X44" s="8"/>
      <c r="Y44" s="8"/>
      <c r="Z44" s="8"/>
      <c r="AA44" s="8"/>
      <c r="AB44" s="8"/>
      <c r="AC44" s="8"/>
      <c r="AD44" s="8"/>
      <c r="AE44" s="8"/>
      <c r="AF44" s="8"/>
      <c r="AG44" s="8"/>
      <c r="AH44" s="8"/>
      <c r="AI44" s="8"/>
      <c r="AJ44" s="8"/>
      <c r="AK44" s="8"/>
      <c r="AL44" s="8"/>
      <c r="AM44" s="8"/>
      <c r="AN44" s="8"/>
      <c r="AO44" s="8"/>
      <c r="AP44" s="8"/>
      <c r="AQ44" s="8"/>
      <c r="AR44" s="8"/>
      <c r="AS44" s="8"/>
    </row>
    <row r="45" spans="1:45" ht="15.6" x14ac:dyDescent="0.3">
      <c r="A45" s="11" t="s">
        <v>20</v>
      </c>
      <c r="B45" s="8">
        <v>0.37110549607118326</v>
      </c>
      <c r="C45" s="8">
        <v>-9.8426632108808781E-2</v>
      </c>
      <c r="D45" s="8">
        <v>-0.9074346138352033</v>
      </c>
      <c r="E45" s="8">
        <v>-2.8752963069474086E-2</v>
      </c>
      <c r="F45" s="8">
        <v>0.29870249868018917</v>
      </c>
      <c r="G45" s="8">
        <v>0.82495566008808707</v>
      </c>
      <c r="H45" s="8">
        <v>0.80890717917500488</v>
      </c>
      <c r="I45" s="8">
        <v>0.53059783748885481</v>
      </c>
      <c r="J45" s="8">
        <v>0.73595594774694195</v>
      </c>
      <c r="K45" s="8">
        <v>0.26173325241873829</v>
      </c>
      <c r="L45" s="8">
        <v>-2.4992076814985192E-2</v>
      </c>
      <c r="M45" s="8">
        <v>-3.8942073708660721E-2</v>
      </c>
      <c r="N45" s="8">
        <v>-1.7511800648667704E-2</v>
      </c>
      <c r="O45" s="8">
        <v>7.5007794135383915E-2</v>
      </c>
      <c r="P45" s="8">
        <v>0.8180764315474095</v>
      </c>
      <c r="Q45" s="8">
        <v>0.76079639088564799</v>
      </c>
      <c r="R45" s="8">
        <v>-3.1760375394921193E-2</v>
      </c>
      <c r="S45" s="8">
        <v>-0.10238713905352087</v>
      </c>
      <c r="T45" s="8">
        <v>-3.9634681384712968E-2</v>
      </c>
      <c r="U45" s="8">
        <v>1</v>
      </c>
      <c r="V45" s="8"/>
      <c r="W45" s="8"/>
      <c r="X45" s="8"/>
      <c r="Y45" s="8"/>
      <c r="Z45" s="8"/>
      <c r="AA45" s="8"/>
      <c r="AB45" s="8"/>
      <c r="AC45" s="8"/>
      <c r="AD45" s="8"/>
      <c r="AE45" s="8"/>
      <c r="AF45" s="8"/>
      <c r="AG45" s="8"/>
      <c r="AH45" s="8"/>
      <c r="AI45" s="8"/>
      <c r="AJ45" s="8"/>
      <c r="AK45" s="8"/>
      <c r="AL45" s="8"/>
      <c r="AM45" s="8"/>
      <c r="AN45" s="8"/>
      <c r="AO45" s="8"/>
      <c r="AP45" s="8"/>
      <c r="AQ45" s="8"/>
      <c r="AR45" s="8"/>
      <c r="AS45" s="8"/>
    </row>
    <row r="46" spans="1:45" ht="15.6" x14ac:dyDescent="0.3">
      <c r="A46" s="11" t="s">
        <v>21</v>
      </c>
      <c r="B46" s="8">
        <v>0.43454213690420568</v>
      </c>
      <c r="C46" s="8">
        <v>-0.18823070944641995</v>
      </c>
      <c r="D46" s="8">
        <v>-0.62745801432589043</v>
      </c>
      <c r="E46" s="8">
        <v>-3.5187126277788819E-2</v>
      </c>
      <c r="F46" s="8">
        <v>0.39762331567151638</v>
      </c>
      <c r="G46" s="8">
        <v>0.94931792889465472</v>
      </c>
      <c r="H46" s="8">
        <v>0.95380237543018087</v>
      </c>
      <c r="I46" s="8">
        <v>0.86594661403153694</v>
      </c>
      <c r="J46" s="8">
        <v>0.97976565950307226</v>
      </c>
      <c r="K46" s="8">
        <v>0.26873913875805377</v>
      </c>
      <c r="L46" s="8">
        <v>-2.7553926768709748E-2</v>
      </c>
      <c r="M46" s="8">
        <v>-9.2174672772980956E-2</v>
      </c>
      <c r="N46" s="8">
        <v>1.5112433762514303E-2</v>
      </c>
      <c r="O46" s="8">
        <v>0.12709548600643999</v>
      </c>
      <c r="P46" s="8">
        <v>0.89668496765360395</v>
      </c>
      <c r="Q46" s="8">
        <v>0.91228851154954504</v>
      </c>
      <c r="R46" s="8">
        <v>9.4149070016609528E-3</v>
      </c>
      <c r="S46" s="8">
        <v>-0.151429357301642</v>
      </c>
      <c r="T46" s="8">
        <v>-5.9217976949502836E-2</v>
      </c>
      <c r="U46" s="8">
        <v>0.6932700309908959</v>
      </c>
      <c r="V46" s="8">
        <v>1</v>
      </c>
      <c r="W46" s="8"/>
      <c r="X46" s="8"/>
      <c r="Y46" s="8"/>
      <c r="Z46" s="8"/>
      <c r="AA46" s="8"/>
      <c r="AB46" s="8"/>
      <c r="AC46" s="8"/>
      <c r="AD46" s="8"/>
      <c r="AE46" s="8"/>
      <c r="AF46" s="8"/>
      <c r="AG46" s="8"/>
      <c r="AH46" s="8"/>
      <c r="AI46" s="8"/>
      <c r="AJ46" s="8"/>
      <c r="AK46" s="8"/>
      <c r="AL46" s="8"/>
      <c r="AM46" s="8"/>
      <c r="AN46" s="8"/>
      <c r="AO46" s="8"/>
      <c r="AP46" s="8"/>
      <c r="AQ46" s="8"/>
      <c r="AR46" s="8"/>
      <c r="AS46" s="8"/>
    </row>
    <row r="47" spans="1:45" ht="15.6" x14ac:dyDescent="0.3">
      <c r="A47" s="11" t="s">
        <v>22</v>
      </c>
      <c r="B47" s="8">
        <v>1.5372806217364031E-2</v>
      </c>
      <c r="C47" s="8">
        <v>7.3300320821677279E-4</v>
      </c>
      <c r="D47" s="8">
        <v>5.0072630299126945E-2</v>
      </c>
      <c r="E47" s="8">
        <v>0.13230649082604617</v>
      </c>
      <c r="F47" s="8">
        <v>-6.6096640802632819E-2</v>
      </c>
      <c r="G47" s="8">
        <v>4.441352981471346E-3</v>
      </c>
      <c r="H47" s="8">
        <v>1.2127048585471225E-2</v>
      </c>
      <c r="I47" s="8">
        <v>-9.4872741874264376E-3</v>
      </c>
      <c r="J47" s="8">
        <v>2.6419872445666077E-2</v>
      </c>
      <c r="K47" s="8">
        <v>-7.6167332623566342E-2</v>
      </c>
      <c r="L47" s="8">
        <v>0.24438068520233086</v>
      </c>
      <c r="M47" s="8">
        <v>9.7768629771631671E-2</v>
      </c>
      <c r="N47" s="8">
        <v>-4.8579198453011077E-2</v>
      </c>
      <c r="O47" s="8">
        <v>-3.9299349652354709E-2</v>
      </c>
      <c r="P47" s="8">
        <v>-2.1599263387930716E-2</v>
      </c>
      <c r="Q47" s="8">
        <v>-2.3627113164218696E-2</v>
      </c>
      <c r="R47" s="8">
        <v>0.22690451921159113</v>
      </c>
      <c r="S47" s="8">
        <v>0.18849549004809052</v>
      </c>
      <c r="T47" s="8">
        <v>-4.5731846711014254E-2</v>
      </c>
      <c r="U47" s="8">
        <v>-6.9685824612952418E-2</v>
      </c>
      <c r="V47" s="8">
        <v>2.179387907998221E-2</v>
      </c>
      <c r="W47" s="8">
        <v>1</v>
      </c>
      <c r="X47" s="8"/>
      <c r="Y47" s="8"/>
      <c r="Z47" s="8"/>
      <c r="AA47" s="8"/>
      <c r="AB47" s="8"/>
      <c r="AC47" s="8"/>
      <c r="AD47" s="8"/>
      <c r="AE47" s="8"/>
      <c r="AF47" s="8"/>
      <c r="AG47" s="8"/>
      <c r="AH47" s="8"/>
      <c r="AI47" s="8"/>
      <c r="AJ47" s="8"/>
      <c r="AK47" s="8"/>
      <c r="AL47" s="8"/>
      <c r="AM47" s="8"/>
      <c r="AN47" s="8"/>
      <c r="AO47" s="8"/>
      <c r="AP47" s="8"/>
      <c r="AQ47" s="8"/>
      <c r="AR47" s="8"/>
      <c r="AS47" s="8"/>
    </row>
    <row r="48" spans="1:45" ht="15.6" x14ac:dyDescent="0.3">
      <c r="A48" s="11" t="s">
        <v>23</v>
      </c>
      <c r="B48" s="8">
        <v>0.48533548386315084</v>
      </c>
      <c r="C48" s="8">
        <v>-6.6524534829309243E-2</v>
      </c>
      <c r="D48" s="8">
        <v>-7.6228335532354627E-2</v>
      </c>
      <c r="E48" s="8">
        <v>-2.5468483317782262E-2</v>
      </c>
      <c r="F48" s="8">
        <v>0.1124362094353852</v>
      </c>
      <c r="G48" s="8">
        <v>0.55374583504633801</v>
      </c>
      <c r="H48" s="8">
        <v>0.57498626339644487</v>
      </c>
      <c r="I48" s="8">
        <v>0.46214577219859482</v>
      </c>
      <c r="J48" s="8">
        <v>0.64330270513894028</v>
      </c>
      <c r="K48" s="8">
        <v>-1.8675060504600154E-2</v>
      </c>
      <c r="L48" s="8">
        <v>7.7651936183917664E-2</v>
      </c>
      <c r="M48" s="8">
        <v>-6.2114993744302537E-2</v>
      </c>
      <c r="N48" s="8">
        <v>0.29310065978570304</v>
      </c>
      <c r="O48" s="8">
        <v>0.40007259671921758</v>
      </c>
      <c r="P48" s="8">
        <v>0.5494088454731475</v>
      </c>
      <c r="Q48" s="8">
        <v>0.43896857473099227</v>
      </c>
      <c r="R48" s="8">
        <v>0.17723490297312761</v>
      </c>
      <c r="S48" s="8">
        <v>4.3767144587138528E-3</v>
      </c>
      <c r="T48" s="8">
        <v>-8.1520541627582814E-3</v>
      </c>
      <c r="U48" s="8">
        <v>0.18398511267490594</v>
      </c>
      <c r="V48" s="8">
        <v>0.54783876031614009</v>
      </c>
      <c r="W48" s="8">
        <v>0.19940386111764805</v>
      </c>
      <c r="X48" s="8">
        <v>1</v>
      </c>
      <c r="Y48" s="8"/>
      <c r="Z48" s="8"/>
      <c r="AA48" s="8"/>
      <c r="AB48" s="8"/>
      <c r="AC48" s="8"/>
      <c r="AD48" s="8"/>
      <c r="AE48" s="8"/>
      <c r="AF48" s="8"/>
      <c r="AG48" s="8"/>
      <c r="AH48" s="8"/>
      <c r="AI48" s="8"/>
      <c r="AJ48" s="8"/>
      <c r="AK48" s="8"/>
      <c r="AL48" s="8"/>
      <c r="AM48" s="8"/>
      <c r="AN48" s="8"/>
      <c r="AO48" s="8"/>
      <c r="AP48" s="8"/>
      <c r="AQ48" s="8"/>
      <c r="AR48" s="8"/>
      <c r="AS48" s="8"/>
    </row>
    <row r="49" spans="1:45" ht="15.6" x14ac:dyDescent="0.3">
      <c r="A49" s="11" t="s">
        <v>24</v>
      </c>
      <c r="B49" s="8">
        <v>1.2579792996114669E-2</v>
      </c>
      <c r="C49" s="8">
        <v>-0.7977145631975463</v>
      </c>
      <c r="D49" s="8">
        <v>-1.521565566059158E-2</v>
      </c>
      <c r="E49" s="8">
        <v>-0.80908314057014741</v>
      </c>
      <c r="F49" s="8">
        <v>0.15104744248804888</v>
      </c>
      <c r="G49" s="8">
        <v>0.15677860968964227</v>
      </c>
      <c r="H49" s="8">
        <v>0.16062922582038644</v>
      </c>
      <c r="I49" s="8">
        <v>0.26387362599348491</v>
      </c>
      <c r="J49" s="8">
        <v>0.14490107572323055</v>
      </c>
      <c r="K49" s="8">
        <v>0.60615216644643433</v>
      </c>
      <c r="L49" s="8">
        <v>-5.9210470830094362E-2</v>
      </c>
      <c r="M49" s="8">
        <v>-0.66874450741388469</v>
      </c>
      <c r="N49" s="8">
        <v>-0.43102243787587335</v>
      </c>
      <c r="O49" s="8">
        <v>-0.34439217175720238</v>
      </c>
      <c r="P49" s="8">
        <v>0.12388733614935993</v>
      </c>
      <c r="Q49" s="8">
        <v>0.23696729084196147</v>
      </c>
      <c r="R49" s="8">
        <v>-0.10202102676603762</v>
      </c>
      <c r="S49" s="8">
        <v>-0.89369820248444132</v>
      </c>
      <c r="T49" s="8">
        <v>-0.32551281649713243</v>
      </c>
      <c r="U49" s="8">
        <v>0.10661995250521775</v>
      </c>
      <c r="V49" s="8">
        <v>0.16066227164937077</v>
      </c>
      <c r="W49" s="8">
        <v>-0.11917747375419671</v>
      </c>
      <c r="X49" s="8">
        <v>1.9158412077237483E-2</v>
      </c>
      <c r="Y49" s="8">
        <v>1</v>
      </c>
      <c r="Z49" s="8"/>
      <c r="AA49" s="8"/>
      <c r="AB49" s="8"/>
      <c r="AC49" s="8"/>
      <c r="AD49" s="8"/>
      <c r="AE49" s="8"/>
      <c r="AF49" s="8"/>
      <c r="AG49" s="8"/>
      <c r="AH49" s="8"/>
      <c r="AI49" s="8"/>
      <c r="AJ49" s="8"/>
      <c r="AK49" s="8"/>
      <c r="AL49" s="8"/>
      <c r="AM49" s="8"/>
      <c r="AN49" s="8"/>
      <c r="AO49" s="8"/>
      <c r="AP49" s="8"/>
      <c r="AQ49" s="8"/>
      <c r="AR49" s="8"/>
      <c r="AS49" s="8"/>
    </row>
    <row r="50" spans="1:45" ht="15.6" x14ac:dyDescent="0.3">
      <c r="A50" s="11" t="s">
        <v>25</v>
      </c>
      <c r="B50" s="8">
        <v>0.51279032579872608</v>
      </c>
      <c r="C50" s="8">
        <v>-0.1441477134963127</v>
      </c>
      <c r="D50" s="8">
        <v>-0.86335479965597461</v>
      </c>
      <c r="E50" s="8">
        <v>-6.6662823221758913E-2</v>
      </c>
      <c r="F50" s="8">
        <v>0.3853949927789358</v>
      </c>
      <c r="G50" s="8">
        <v>0.95403603340597098</v>
      </c>
      <c r="H50" s="8">
        <v>0.94370311722215028</v>
      </c>
      <c r="I50" s="8">
        <v>0.66289871000768952</v>
      </c>
      <c r="J50" s="8">
        <v>0.90212377266701094</v>
      </c>
      <c r="K50" s="8">
        <v>0.30326011314215895</v>
      </c>
      <c r="L50" s="8">
        <v>-2.3397918550381709E-2</v>
      </c>
      <c r="M50" s="8">
        <v>-6.1311672397080977E-2</v>
      </c>
      <c r="N50" s="8">
        <v>-3.8676980810636247E-3</v>
      </c>
      <c r="O50" s="8">
        <v>0.10227548486164832</v>
      </c>
      <c r="P50" s="8">
        <v>0.90107011505787105</v>
      </c>
      <c r="Q50" s="8">
        <v>0.88373008652341767</v>
      </c>
      <c r="R50" s="8">
        <v>-2.2452243475903029E-2</v>
      </c>
      <c r="S50" s="8">
        <v>-0.14373573187128758</v>
      </c>
      <c r="T50" s="8">
        <v>-5.8887355229514333E-2</v>
      </c>
      <c r="U50" s="8">
        <v>0.96960627548587963</v>
      </c>
      <c r="V50" s="8">
        <v>0.91010540170396614</v>
      </c>
      <c r="W50" s="8">
        <v>-3.4577730839688001E-2</v>
      </c>
      <c r="X50" s="8">
        <v>0.31371315062323701</v>
      </c>
      <c r="Y50" s="8">
        <v>0.15262857947677941</v>
      </c>
      <c r="Z50" s="8">
        <v>1</v>
      </c>
      <c r="AA50" s="8"/>
      <c r="AB50" s="8"/>
      <c r="AC50" s="8"/>
      <c r="AD50" s="8"/>
      <c r="AE50" s="8"/>
      <c r="AF50" s="8"/>
      <c r="AG50" s="8"/>
      <c r="AH50" s="8"/>
      <c r="AI50" s="8"/>
      <c r="AJ50" s="8"/>
      <c r="AK50" s="8"/>
      <c r="AL50" s="8"/>
      <c r="AM50" s="8"/>
      <c r="AN50" s="8"/>
      <c r="AO50" s="8"/>
      <c r="AP50" s="8"/>
      <c r="AQ50" s="8"/>
      <c r="AR50" s="8"/>
      <c r="AS50" s="8"/>
    </row>
    <row r="51" spans="1:45" ht="15.6" x14ac:dyDescent="0.3">
      <c r="A51" s="11" t="s">
        <v>26</v>
      </c>
      <c r="B51" s="8">
        <v>1.1051272778555297E-2</v>
      </c>
      <c r="C51" s="8">
        <v>7.9073828547052416E-2</v>
      </c>
      <c r="D51" s="8">
        <v>-1.9897870484750148E-2</v>
      </c>
      <c r="E51" s="8">
        <v>-0.12911387794404278</v>
      </c>
      <c r="F51" s="8">
        <v>-1.7201342739117585E-2</v>
      </c>
      <c r="G51" s="8">
        <v>1.5639204333118679E-2</v>
      </c>
      <c r="H51" s="8">
        <v>1.7360496561769724E-2</v>
      </c>
      <c r="I51" s="8">
        <v>-2.9161459776405354E-2</v>
      </c>
      <c r="J51" s="8">
        <v>1.3872326323898209E-2</v>
      </c>
      <c r="K51" s="8">
        <v>-2.68855077755236E-2</v>
      </c>
      <c r="L51" s="8">
        <v>1.8195316334049395E-2</v>
      </c>
      <c r="M51" s="8">
        <v>-5.055304587885575E-2</v>
      </c>
      <c r="N51" s="8">
        <v>-6.1689430209317032E-2</v>
      </c>
      <c r="O51" s="8">
        <v>-5.6856120408975183E-2</v>
      </c>
      <c r="P51" s="8">
        <v>-5.0615652513163072E-5</v>
      </c>
      <c r="Q51" s="8">
        <v>-1.782660457958091E-2</v>
      </c>
      <c r="R51" s="8">
        <v>-2.7317231864558568E-2</v>
      </c>
      <c r="S51" s="8">
        <v>2.0648156562949192E-2</v>
      </c>
      <c r="T51" s="8">
        <v>2.8289269048471493E-2</v>
      </c>
      <c r="U51" s="8">
        <v>1.0910322578561853E-2</v>
      </c>
      <c r="V51" s="8">
        <v>7.258713186287776E-3</v>
      </c>
      <c r="W51" s="8">
        <v>-7.3409652422810279E-2</v>
      </c>
      <c r="X51" s="8">
        <v>3.7213840409246565E-2</v>
      </c>
      <c r="Y51" s="8">
        <v>3.4722687522465739E-2</v>
      </c>
      <c r="Z51" s="8">
        <v>3.9366578187978007E-2</v>
      </c>
      <c r="AA51" s="8">
        <v>1</v>
      </c>
      <c r="AB51" s="8"/>
      <c r="AC51" s="8"/>
      <c r="AD51" s="8"/>
      <c r="AE51" s="8"/>
      <c r="AF51" s="8"/>
      <c r="AG51" s="8"/>
      <c r="AH51" s="8"/>
      <c r="AI51" s="8"/>
      <c r="AJ51" s="8"/>
      <c r="AK51" s="8"/>
      <c r="AL51" s="8"/>
      <c r="AM51" s="8"/>
      <c r="AN51" s="8"/>
      <c r="AO51" s="8"/>
      <c r="AP51" s="8"/>
      <c r="AQ51" s="8"/>
      <c r="AR51" s="8"/>
      <c r="AS51" s="8"/>
    </row>
    <row r="52" spans="1:45" ht="15.6" x14ac:dyDescent="0.3">
      <c r="A52" s="11" t="s">
        <v>27</v>
      </c>
      <c r="B52" s="8">
        <v>0.60809866620555164</v>
      </c>
      <c r="C52" s="8">
        <v>-0.16668188165475586</v>
      </c>
      <c r="D52" s="8">
        <v>-0.70328371147954771</v>
      </c>
      <c r="E52" s="8">
        <v>3.3654106872179831E-2</v>
      </c>
      <c r="F52" s="8">
        <v>0.33974484098962621</v>
      </c>
      <c r="G52" s="8">
        <v>0.89073002635212284</v>
      </c>
      <c r="H52" s="8">
        <v>0.87870154510138065</v>
      </c>
      <c r="I52" s="8">
        <v>0.68594028639451687</v>
      </c>
      <c r="J52" s="8">
        <v>0.81796796779803249</v>
      </c>
      <c r="K52" s="8">
        <v>0.25654943956353488</v>
      </c>
      <c r="L52" s="8">
        <v>-5.6531781441261128E-2</v>
      </c>
      <c r="M52" s="8">
        <v>-5.4083011470948697E-2</v>
      </c>
      <c r="N52" s="8">
        <v>-2.3459398110357882E-2</v>
      </c>
      <c r="O52" s="8">
        <v>0.1059671600060286</v>
      </c>
      <c r="P52" s="8">
        <v>0.82072508267254052</v>
      </c>
      <c r="Q52" s="8">
        <v>0.80044206450565869</v>
      </c>
      <c r="R52" s="8">
        <v>-7.422577098920935E-2</v>
      </c>
      <c r="S52" s="8">
        <v>-0.15062437172260182</v>
      </c>
      <c r="T52" s="8">
        <v>-2.1470373440704328E-2</v>
      </c>
      <c r="U52" s="8">
        <v>0.78821158409316949</v>
      </c>
      <c r="V52" s="8">
        <v>0.79777602904607237</v>
      </c>
      <c r="W52" s="8">
        <v>-8.0779356450491849E-2</v>
      </c>
      <c r="X52" s="8">
        <v>0.25736879300907395</v>
      </c>
      <c r="Y52" s="8">
        <v>0.1305728345639747</v>
      </c>
      <c r="Z52" s="8">
        <v>0.95887785025198902</v>
      </c>
      <c r="AA52" s="8">
        <v>-1.1504199060868763E-2</v>
      </c>
      <c r="AB52" s="8">
        <v>1</v>
      </c>
      <c r="AC52" s="8"/>
      <c r="AD52" s="8"/>
      <c r="AE52" s="8"/>
      <c r="AF52" s="8"/>
      <c r="AG52" s="8"/>
      <c r="AH52" s="8"/>
      <c r="AI52" s="8"/>
      <c r="AJ52" s="8"/>
      <c r="AK52" s="8"/>
      <c r="AL52" s="8"/>
      <c r="AM52" s="8"/>
      <c r="AN52" s="8"/>
      <c r="AO52" s="8"/>
      <c r="AP52" s="8"/>
      <c r="AQ52" s="8"/>
      <c r="AR52" s="8"/>
      <c r="AS52" s="8"/>
    </row>
    <row r="53" spans="1:45" ht="15.6" x14ac:dyDescent="0.3">
      <c r="A53" s="11" t="s">
        <v>28</v>
      </c>
      <c r="B53" s="8">
        <v>0.65226387032960043</v>
      </c>
      <c r="C53" s="8">
        <v>-0.13363494019905572</v>
      </c>
      <c r="D53" s="8">
        <v>5.2170908367252487E-2</v>
      </c>
      <c r="E53" s="8">
        <v>4.0831368518329053E-2</v>
      </c>
      <c r="F53" s="8">
        <v>9.9190609559752632E-2</v>
      </c>
      <c r="G53" s="8">
        <v>0.31902136345268584</v>
      </c>
      <c r="H53" s="8">
        <v>0.31556126754541469</v>
      </c>
      <c r="I53" s="8">
        <v>0.28950016765754605</v>
      </c>
      <c r="J53" s="8">
        <v>0.25071137108339364</v>
      </c>
      <c r="K53" s="8">
        <v>0.13581332192386805</v>
      </c>
      <c r="L53" s="8">
        <v>-5.6815131280474503E-2</v>
      </c>
      <c r="M53" s="8">
        <v>-5.1984613931034998E-2</v>
      </c>
      <c r="N53" s="8">
        <v>-4.6014860725703342E-2</v>
      </c>
      <c r="O53" s="8">
        <v>2.6385314742044728E-2</v>
      </c>
      <c r="P53" s="8">
        <v>0.24994374032289229</v>
      </c>
      <c r="Q53" s="8">
        <v>0.22264717859564034</v>
      </c>
      <c r="R53" s="8">
        <v>-1.4537886954045811E-2</v>
      </c>
      <c r="S53" s="8">
        <v>-9.1002208732012382E-2</v>
      </c>
      <c r="T53" s="8">
        <v>4.0227221260967297E-3</v>
      </c>
      <c r="U53" s="8">
        <v>8.7930033309332925E-2</v>
      </c>
      <c r="V53" s="8">
        <v>0.24937321095026677</v>
      </c>
      <c r="W53" s="8">
        <v>-4.3921393500296259E-2</v>
      </c>
      <c r="X53" s="8">
        <v>8.9815526300888751E-2</v>
      </c>
      <c r="Y53" s="8">
        <v>5.9107864414105461E-2</v>
      </c>
      <c r="Z53" s="8">
        <v>4.9717934284821949E-2</v>
      </c>
      <c r="AA53" s="8">
        <v>-5.0629188444864796E-2</v>
      </c>
      <c r="AB53" s="8">
        <v>0.53803015138116828</v>
      </c>
      <c r="AC53" s="8">
        <v>1</v>
      </c>
      <c r="AD53" s="8"/>
      <c r="AE53" s="8"/>
      <c r="AF53" s="8"/>
      <c r="AG53" s="8"/>
      <c r="AH53" s="8"/>
      <c r="AI53" s="8"/>
      <c r="AJ53" s="8"/>
      <c r="AK53" s="8"/>
      <c r="AL53" s="8"/>
      <c r="AM53" s="8"/>
      <c r="AN53" s="8"/>
      <c r="AO53" s="8"/>
      <c r="AP53" s="8"/>
      <c r="AQ53" s="8"/>
      <c r="AR53" s="8"/>
      <c r="AS53" s="8"/>
    </row>
    <row r="54" spans="1:45" ht="15.6" x14ac:dyDescent="0.3">
      <c r="A54" s="11" t="s">
        <v>29</v>
      </c>
      <c r="B54" s="8">
        <v>0.23790103001651847</v>
      </c>
      <c r="C54" s="8">
        <v>-0.22617407110018234</v>
      </c>
      <c r="D54" s="8">
        <v>-0.41659726313636403</v>
      </c>
      <c r="E54" s="8">
        <v>7.8668745330253323E-2</v>
      </c>
      <c r="F54" s="8">
        <v>0.27391111773625504</v>
      </c>
      <c r="G54" s="8">
        <v>0.75670385921973804</v>
      </c>
      <c r="H54" s="8">
        <v>0.75581184071215246</v>
      </c>
      <c r="I54" s="8">
        <v>0.81009112046302467</v>
      </c>
      <c r="J54" s="8">
        <v>0.7949653453721417</v>
      </c>
      <c r="K54" s="8">
        <v>0.28005885932973479</v>
      </c>
      <c r="L54" s="8">
        <v>-9.7176529414036622E-2</v>
      </c>
      <c r="M54" s="8">
        <v>-7.8285695460518251E-2</v>
      </c>
      <c r="N54" s="8">
        <v>-7.0721063663384209E-2</v>
      </c>
      <c r="O54" s="8">
        <v>1.394067385914873E-2</v>
      </c>
      <c r="P54" s="8">
        <v>0.70857718717702844</v>
      </c>
      <c r="Q54" s="8">
        <v>0.77998215015286076</v>
      </c>
      <c r="R54" s="8">
        <v>-8.2499431047753508E-2</v>
      </c>
      <c r="S54" s="8">
        <v>-0.17778837028627895</v>
      </c>
      <c r="T54" s="8">
        <v>-7.4959890529992912E-2</v>
      </c>
      <c r="U54" s="8">
        <v>0.48705470852922267</v>
      </c>
      <c r="V54" s="8">
        <v>0.86565542352235314</v>
      </c>
      <c r="W54" s="8">
        <v>-4.9403752827896087E-2</v>
      </c>
      <c r="X54" s="8">
        <v>0.2233838356066529</v>
      </c>
      <c r="Y54" s="8">
        <v>0.17603513400256027</v>
      </c>
      <c r="Z54" s="8">
        <v>0.69580784972356768</v>
      </c>
      <c r="AA54" s="8">
        <v>-0.13262230996582022</v>
      </c>
      <c r="AB54" s="8">
        <v>0.74966999052787897</v>
      </c>
      <c r="AC54" s="8">
        <v>0.33030708021235888</v>
      </c>
      <c r="AD54" s="8">
        <v>1</v>
      </c>
      <c r="AE54" s="8"/>
      <c r="AF54" s="8"/>
      <c r="AG54" s="8"/>
      <c r="AH54" s="8"/>
      <c r="AI54" s="8"/>
      <c r="AJ54" s="8"/>
      <c r="AK54" s="8"/>
      <c r="AL54" s="8"/>
      <c r="AM54" s="8"/>
      <c r="AN54" s="8"/>
      <c r="AO54" s="8"/>
      <c r="AP54" s="8"/>
      <c r="AQ54" s="8"/>
      <c r="AR54" s="8"/>
      <c r="AS54" s="8"/>
    </row>
    <row r="55" spans="1:45" ht="15.6" x14ac:dyDescent="0.3">
      <c r="A55" s="11" t="s">
        <v>30</v>
      </c>
      <c r="B55" s="8">
        <v>0.75729480348613099</v>
      </c>
      <c r="C55" s="8">
        <v>-0.12801542400697405</v>
      </c>
      <c r="D55" s="8">
        <v>-0.55894366940981499</v>
      </c>
      <c r="E55" s="8">
        <v>1.4457443770639573E-2</v>
      </c>
      <c r="F55" s="8">
        <v>0.30294618184304306</v>
      </c>
      <c r="G55" s="8">
        <v>0.72630354321135904</v>
      </c>
      <c r="H55" s="8">
        <v>0.71276110925392844</v>
      </c>
      <c r="I55" s="8">
        <v>0.47951733484338194</v>
      </c>
      <c r="J55" s="8">
        <v>0.60833414261397933</v>
      </c>
      <c r="K55" s="8">
        <v>0.20584985902428482</v>
      </c>
      <c r="L55" s="8">
        <v>-3.4878272819333242E-2</v>
      </c>
      <c r="M55" s="8">
        <v>-4.90162507873367E-2</v>
      </c>
      <c r="N55" s="8">
        <v>-2.0042558349859046E-2</v>
      </c>
      <c r="O55" s="8">
        <v>0.10655060639541084</v>
      </c>
      <c r="P55" s="8">
        <v>0.64961447927089844</v>
      </c>
      <c r="Q55" s="8">
        <v>0.59421558191000745</v>
      </c>
      <c r="R55" s="8">
        <v>-5.437910375446884E-2</v>
      </c>
      <c r="S55" s="8">
        <v>-0.11554157149827626</v>
      </c>
      <c r="T55" s="8">
        <v>9.3796104450730045E-3</v>
      </c>
      <c r="U55" s="8">
        <v>0.66112125541086841</v>
      </c>
      <c r="V55" s="8">
        <v>0.5546068436495416</v>
      </c>
      <c r="W55" s="8">
        <v>-7.4004568143578156E-2</v>
      </c>
      <c r="X55" s="8">
        <v>0.2074310829969617</v>
      </c>
      <c r="Y55" s="8">
        <v>8.6457450306791819E-2</v>
      </c>
      <c r="Z55" s="8">
        <v>0.88225053974873058</v>
      </c>
      <c r="AA55" s="8">
        <v>1.4007108269377238E-2</v>
      </c>
      <c r="AB55" s="8">
        <v>0.91019810136207946</v>
      </c>
      <c r="AC55" s="8">
        <v>0.73632615318582795</v>
      </c>
      <c r="AD55" s="8">
        <v>0.46651307413946858</v>
      </c>
      <c r="AE55" s="8">
        <v>1</v>
      </c>
      <c r="AF55" s="8"/>
      <c r="AG55" s="8"/>
      <c r="AH55" s="8"/>
      <c r="AI55" s="8"/>
      <c r="AJ55" s="8"/>
      <c r="AK55" s="8"/>
      <c r="AL55" s="8"/>
      <c r="AM55" s="8"/>
      <c r="AN55" s="8"/>
      <c r="AO55" s="8"/>
      <c r="AP55" s="8"/>
      <c r="AQ55" s="8"/>
      <c r="AR55" s="8"/>
      <c r="AS55" s="8"/>
    </row>
    <row r="56" spans="1:45" ht="15.6" x14ac:dyDescent="0.3">
      <c r="A56" s="11" t="s">
        <v>31</v>
      </c>
      <c r="B56" s="8">
        <v>0.5810132749495508</v>
      </c>
      <c r="C56" s="8">
        <v>-0.13987860656209306</v>
      </c>
      <c r="D56" s="8">
        <v>1.4181892248490218E-3</v>
      </c>
      <c r="E56" s="8">
        <v>-3.3407809770202967E-2</v>
      </c>
      <c r="F56" s="8">
        <v>1.5553295939659326E-2</v>
      </c>
      <c r="G56" s="8">
        <v>0.20240257883199603</v>
      </c>
      <c r="H56" s="8">
        <v>0.19433664284331101</v>
      </c>
      <c r="I56" s="8">
        <v>8.1464237146632368E-2</v>
      </c>
      <c r="J56" s="8">
        <v>0.10674574094336163</v>
      </c>
      <c r="K56" s="8">
        <v>5.0125689952950012E-2</v>
      </c>
      <c r="L56" s="8">
        <v>8.1991173786649219E-2</v>
      </c>
      <c r="M56" s="8">
        <v>-8.055602884150552E-2</v>
      </c>
      <c r="N56" s="8">
        <v>-2.3190382305069923E-2</v>
      </c>
      <c r="O56" s="8">
        <v>5.7250345886159619E-2</v>
      </c>
      <c r="P56" s="8">
        <v>9.1476346394295124E-2</v>
      </c>
      <c r="Q56" s="8">
        <v>5.8956801020411488E-2</v>
      </c>
      <c r="R56" s="8">
        <v>-2.7285529476449508E-3</v>
      </c>
      <c r="S56" s="8">
        <v>-9.2878749508068736E-2</v>
      </c>
      <c r="T56" s="8">
        <v>0.15398475011602467</v>
      </c>
      <c r="U56" s="8">
        <v>6.319287308591981E-2</v>
      </c>
      <c r="V56" s="8">
        <v>5.8954196183378049E-2</v>
      </c>
      <c r="W56" s="8">
        <v>2.3563631091875387E-2</v>
      </c>
      <c r="X56" s="8">
        <v>6.6782407136630001E-2</v>
      </c>
      <c r="Y56" s="8">
        <v>5.8951297722389759E-2</v>
      </c>
      <c r="Z56" s="8">
        <v>0.1242982703612862</v>
      </c>
      <c r="AA56" s="8">
        <v>0.18195570838354799</v>
      </c>
      <c r="AB56" s="8">
        <v>0.45966731840773956</v>
      </c>
      <c r="AC56" s="8">
        <v>0.66125977308238981</v>
      </c>
      <c r="AD56" s="8">
        <v>8.5895599239882145E-2</v>
      </c>
      <c r="AE56" s="8">
        <v>0.66486106165787939</v>
      </c>
      <c r="AF56" s="8">
        <v>1</v>
      </c>
      <c r="AG56" s="8"/>
      <c r="AH56" s="8"/>
      <c r="AI56" s="8"/>
      <c r="AJ56" s="8"/>
      <c r="AK56" s="8"/>
      <c r="AL56" s="8"/>
      <c r="AM56" s="8"/>
      <c r="AN56" s="8"/>
      <c r="AO56" s="8"/>
      <c r="AP56" s="8"/>
      <c r="AQ56" s="8"/>
      <c r="AR56" s="8"/>
      <c r="AS56" s="8"/>
    </row>
    <row r="57" spans="1:45" ht="15.6" x14ac:dyDescent="0.3">
      <c r="A57" s="11" t="s">
        <v>32</v>
      </c>
      <c r="B57" s="8">
        <v>0.50511447583594504</v>
      </c>
      <c r="C57" s="8">
        <v>-0.18653718505382424</v>
      </c>
      <c r="D57" s="8">
        <v>-0.75503224581460937</v>
      </c>
      <c r="E57" s="8">
        <v>-5.1314225196165443E-2</v>
      </c>
      <c r="F57" s="8">
        <v>0.37214610245174107</v>
      </c>
      <c r="G57" s="8">
        <v>0.98209315387977025</v>
      </c>
      <c r="H57" s="8">
        <v>0.97716446844833493</v>
      </c>
      <c r="I57" s="8">
        <v>0.81811259255661339</v>
      </c>
      <c r="J57" s="8">
        <v>0.9619864418315317</v>
      </c>
      <c r="K57" s="8">
        <v>0.30214915065717141</v>
      </c>
      <c r="L57" s="8">
        <v>-1.7097331297702599E-2</v>
      </c>
      <c r="M57" s="8">
        <v>-8.9430786229981532E-2</v>
      </c>
      <c r="N57" s="8">
        <v>1.5804918769003886E-2</v>
      </c>
      <c r="O57" s="8">
        <v>0.13872383568561089</v>
      </c>
      <c r="P57" s="8">
        <v>0.95124407295923707</v>
      </c>
      <c r="Q57" s="8">
        <v>0.92801533613365483</v>
      </c>
      <c r="R57" s="8">
        <v>-1.4151112196539714E-2</v>
      </c>
      <c r="S57" s="8">
        <v>-0.15798236616026812</v>
      </c>
      <c r="T57" s="8">
        <v>-5.3390836480549139E-2</v>
      </c>
      <c r="U57" s="8">
        <v>0.86049711403840035</v>
      </c>
      <c r="V57" s="8">
        <v>0.94872394086270717</v>
      </c>
      <c r="W57" s="8">
        <v>-2.7944557022220175E-2</v>
      </c>
      <c r="X57" s="8">
        <v>0.44857207894665829</v>
      </c>
      <c r="Y57" s="8">
        <v>0.17164615841553191</v>
      </c>
      <c r="Z57" s="8">
        <v>0.9725883298038065</v>
      </c>
      <c r="AA57" s="8">
        <v>2.2353868868305732E-2</v>
      </c>
      <c r="AB57" s="8">
        <v>0.89227059553095989</v>
      </c>
      <c r="AC57" s="8">
        <v>0.2624714671421759</v>
      </c>
      <c r="AD57" s="8">
        <v>0.79222413139893322</v>
      </c>
      <c r="AE57" s="8">
        <v>0.69307036637200525</v>
      </c>
      <c r="AF57" s="8">
        <v>0.14565472396435553</v>
      </c>
      <c r="AG57" s="8">
        <v>1</v>
      </c>
      <c r="AH57" s="8"/>
      <c r="AI57" s="8"/>
      <c r="AJ57" s="8"/>
      <c r="AK57" s="8"/>
      <c r="AL57" s="8"/>
      <c r="AM57" s="8"/>
      <c r="AN57" s="8"/>
      <c r="AO57" s="8"/>
      <c r="AP57" s="8"/>
      <c r="AQ57" s="8"/>
      <c r="AR57" s="8"/>
      <c r="AS57" s="8"/>
    </row>
    <row r="58" spans="1:45" ht="15.6" x14ac:dyDescent="0.3">
      <c r="A58" s="11" t="s">
        <v>33</v>
      </c>
      <c r="B58" s="8">
        <v>0.45384038648190106</v>
      </c>
      <c r="C58" s="8">
        <v>5.5745542329048575E-2</v>
      </c>
      <c r="D58" s="8">
        <v>0.23869602550576208</v>
      </c>
      <c r="E58" s="8">
        <v>-6.8676607280774543E-2</v>
      </c>
      <c r="F58" s="8">
        <v>6.6364510416224862E-2</v>
      </c>
      <c r="G58" s="8">
        <v>0.41582468368250025</v>
      </c>
      <c r="H58" s="8">
        <v>0.40140316041660234</v>
      </c>
      <c r="I58" s="8">
        <v>0.26751792440871086</v>
      </c>
      <c r="J58" s="8">
        <v>0.32792933364942828</v>
      </c>
      <c r="K58" s="8">
        <v>2.7854142584326294E-2</v>
      </c>
      <c r="L58" s="8">
        <v>0.11309650807893228</v>
      </c>
      <c r="M58" s="8">
        <v>-4.8629169318509025E-2</v>
      </c>
      <c r="N58" s="8">
        <v>7.560216359685637E-2</v>
      </c>
      <c r="O58" s="8">
        <v>0.47708710945679383</v>
      </c>
      <c r="P58" s="8">
        <v>0.36137666280661779</v>
      </c>
      <c r="Q58" s="8">
        <v>0.24184329773349758</v>
      </c>
      <c r="R58" s="8">
        <v>-0.14911178791719201</v>
      </c>
      <c r="S58" s="8">
        <v>-7.3023844254640063E-2</v>
      </c>
      <c r="T58" s="8">
        <v>4.4342125080171366E-2</v>
      </c>
      <c r="U58" s="8">
        <v>0.30774759086170184</v>
      </c>
      <c r="V58" s="8">
        <v>0.31078328766849089</v>
      </c>
      <c r="W58" s="8">
        <v>-0.11567742237750497</v>
      </c>
      <c r="X58" s="8">
        <v>0.10037962073109979</v>
      </c>
      <c r="Y58" s="8">
        <v>3.1367832811931048E-2</v>
      </c>
      <c r="Z58" s="8">
        <v>9.577633052954744E-2</v>
      </c>
      <c r="AA58" s="8">
        <v>0.2976436621005879</v>
      </c>
      <c r="AB58" s="8">
        <v>0.64601445316983819</v>
      </c>
      <c r="AC58" s="8">
        <v>0.56789169153932373</v>
      </c>
      <c r="AD58" s="8">
        <v>0.33531137399935157</v>
      </c>
      <c r="AE58" s="8">
        <v>0.66551544898776649</v>
      </c>
      <c r="AF58" s="8">
        <v>0.58547613484175554</v>
      </c>
      <c r="AG58" s="8">
        <v>0.43495464098649905</v>
      </c>
      <c r="AH58" s="8">
        <v>1</v>
      </c>
      <c r="AI58" s="8"/>
      <c r="AJ58" s="8"/>
      <c r="AK58" s="8"/>
      <c r="AL58" s="8"/>
      <c r="AM58" s="8"/>
      <c r="AN58" s="8"/>
      <c r="AO58" s="8"/>
      <c r="AP58" s="8"/>
      <c r="AQ58" s="8"/>
      <c r="AR58" s="8"/>
      <c r="AS58" s="8"/>
    </row>
    <row r="59" spans="1:45" ht="15.6" x14ac:dyDescent="0.3">
      <c r="A59" s="11" t="s">
        <v>34</v>
      </c>
      <c r="B59" s="8">
        <v>0.2223238352721674</v>
      </c>
      <c r="C59" s="8">
        <v>-0.26874744474815238</v>
      </c>
      <c r="D59" s="8">
        <v>0.62866102711853766</v>
      </c>
      <c r="E59" s="8">
        <v>0.16472166015644951</v>
      </c>
      <c r="F59" s="8">
        <v>0.33724873130454447</v>
      </c>
      <c r="G59" s="8">
        <v>0.90732244899112191</v>
      </c>
      <c r="H59" s="8">
        <v>0.89115815698627765</v>
      </c>
      <c r="I59" s="8">
        <v>0.82182176424818854</v>
      </c>
      <c r="J59" s="8">
        <v>0.90353281851093104</v>
      </c>
      <c r="K59" s="8">
        <v>0.18381993575897596</v>
      </c>
      <c r="L59" s="8">
        <v>-0.14934112375466058</v>
      </c>
      <c r="M59" s="8">
        <v>-0.15681973000161514</v>
      </c>
      <c r="N59" s="8">
        <v>0.10606112911194571</v>
      </c>
      <c r="O59" s="8">
        <v>0.20304369252401011</v>
      </c>
      <c r="P59" s="8">
        <v>0.91691995832456108</v>
      </c>
      <c r="Q59" s="8">
        <v>0.8511758827918422</v>
      </c>
      <c r="R59" s="8">
        <v>-9.1806018305791118E-2</v>
      </c>
      <c r="S59" s="8">
        <v>-0.20492667899082956</v>
      </c>
      <c r="T59" s="8">
        <v>-0.14922713732772472</v>
      </c>
      <c r="U59" s="8">
        <v>0.94410333045249051</v>
      </c>
      <c r="V59" s="8">
        <v>0.94629062194506597</v>
      </c>
      <c r="W59" s="8">
        <v>7.8479687402486814E-2</v>
      </c>
      <c r="X59" s="8">
        <v>0.3493515649353941</v>
      </c>
      <c r="Y59" s="8">
        <v>0.21709006064192227</v>
      </c>
      <c r="Z59" s="8">
        <v>0.76607891604394107</v>
      </c>
      <c r="AA59" s="8">
        <v>-9.5231110737052121E-2</v>
      </c>
      <c r="AB59" s="8">
        <v>0.937938297353893</v>
      </c>
      <c r="AC59" s="8">
        <v>0.48442344692592282</v>
      </c>
      <c r="AD59" s="8">
        <v>0.96372451060290543</v>
      </c>
      <c r="AE59" s="8">
        <v>0.6592983511453443</v>
      </c>
      <c r="AF59" s="8">
        <v>0.1619966670963707</v>
      </c>
      <c r="AG59" s="8">
        <v>0.9667284038489915</v>
      </c>
      <c r="AH59" s="8">
        <v>0.39470118991636843</v>
      </c>
      <c r="AI59" s="8">
        <v>1</v>
      </c>
      <c r="AJ59" s="8"/>
      <c r="AK59" s="8"/>
      <c r="AL59" s="8"/>
      <c r="AM59" s="8"/>
      <c r="AN59" s="8"/>
      <c r="AO59" s="8"/>
      <c r="AP59" s="8"/>
      <c r="AQ59" s="8"/>
      <c r="AR59" s="8"/>
      <c r="AS59" s="8"/>
    </row>
    <row r="60" spans="1:45" ht="15.6" x14ac:dyDescent="0.3">
      <c r="A60" s="11" t="s">
        <v>35</v>
      </c>
      <c r="B60" s="8">
        <v>0.68584113618331533</v>
      </c>
      <c r="C60" s="8">
        <v>-8.0837178375438551E-2</v>
      </c>
      <c r="D60" s="8">
        <v>-0.32565452502886483</v>
      </c>
      <c r="E60" s="8">
        <v>-0.11205338563350402</v>
      </c>
      <c r="F60" s="8">
        <v>0.25114059172178133</v>
      </c>
      <c r="G60" s="8">
        <v>0.56894592890157358</v>
      </c>
      <c r="H60" s="8">
        <v>0.56398009501469626</v>
      </c>
      <c r="I60" s="8">
        <v>0.40049153538258853</v>
      </c>
      <c r="J60" s="8">
        <v>0.48833749457150416</v>
      </c>
      <c r="K60" s="8">
        <v>0.16398041388484008</v>
      </c>
      <c r="L60" s="8">
        <v>0.14042990241135675</v>
      </c>
      <c r="M60" s="8">
        <v>-0.10812068978638859</v>
      </c>
      <c r="N60" s="8">
        <v>4.565902933482572E-2</v>
      </c>
      <c r="O60" s="8">
        <v>0.16032667017079547</v>
      </c>
      <c r="P60" s="8">
        <v>0.50719434070149594</v>
      </c>
      <c r="Q60" s="8">
        <v>0.44535790653401175</v>
      </c>
      <c r="R60" s="8">
        <v>-2.3354139704334993E-2</v>
      </c>
      <c r="S60" s="8">
        <v>-0.10685773660407716</v>
      </c>
      <c r="T60" s="8">
        <v>2.1666840513735137E-2</v>
      </c>
      <c r="U60" s="8">
        <v>0.45615270235315586</v>
      </c>
      <c r="V60" s="8">
        <v>0.41941339880230843</v>
      </c>
      <c r="W60" s="8">
        <v>-6.173094662831375E-2</v>
      </c>
      <c r="X60" s="8">
        <v>0.30963611437617267</v>
      </c>
      <c r="Y60" s="8">
        <v>0.12586036695450481</v>
      </c>
      <c r="Z60" s="8">
        <v>0.55388893567204667</v>
      </c>
      <c r="AA60" s="8">
        <v>0.20371864233310794</v>
      </c>
      <c r="AB60" s="8">
        <v>0.64463758965825357</v>
      </c>
      <c r="AC60" s="8">
        <v>0.502472554836498</v>
      </c>
      <c r="AD60" s="8">
        <v>0.23689713563978143</v>
      </c>
      <c r="AE60" s="8">
        <v>0.74529755753040294</v>
      </c>
      <c r="AF60" s="8">
        <v>0.63559463568980235</v>
      </c>
      <c r="AG60" s="8">
        <v>0.54747436826779428</v>
      </c>
      <c r="AH60" s="8">
        <v>0.91313932825134447</v>
      </c>
      <c r="AI60" s="8">
        <v>0.13442764335970109</v>
      </c>
      <c r="AJ60" s="8">
        <v>1</v>
      </c>
      <c r="AK60" s="8"/>
      <c r="AL60" s="8"/>
      <c r="AM60" s="8"/>
      <c r="AN60" s="8"/>
      <c r="AO60" s="8"/>
      <c r="AP60" s="8"/>
      <c r="AQ60" s="8"/>
      <c r="AR60" s="8"/>
      <c r="AS60" s="8"/>
    </row>
    <row r="61" spans="1:45" ht="15.6" x14ac:dyDescent="0.3">
      <c r="A61" s="11" t="s">
        <v>36</v>
      </c>
      <c r="B61" s="8">
        <v>0.31304168916844999</v>
      </c>
      <c r="C61" s="8">
        <v>-9.5075509308663389E-3</v>
      </c>
      <c r="D61" s="8">
        <v>5.6218052229174573E-2</v>
      </c>
      <c r="E61" s="8">
        <v>-0.23755107526882796</v>
      </c>
      <c r="F61" s="8">
        <v>7.5196485707212907E-2</v>
      </c>
      <c r="G61" s="8">
        <v>0.10585578160347928</v>
      </c>
      <c r="H61" s="8">
        <v>0.10617257152071202</v>
      </c>
      <c r="I61" s="8">
        <v>0.10689387063279375</v>
      </c>
      <c r="J61" s="8">
        <v>5.8740288765143908E-2</v>
      </c>
      <c r="K61" s="8">
        <v>0.13472517335662426</v>
      </c>
      <c r="L61" s="8">
        <v>0.2616164408244962</v>
      </c>
      <c r="M61" s="8">
        <v>-0.11766221456744137</v>
      </c>
      <c r="N61" s="8">
        <v>-9.5017193914586195E-3</v>
      </c>
      <c r="O61" s="8">
        <v>2.7902803097789772E-3</v>
      </c>
      <c r="P61" s="8">
        <v>9.5916084949047672E-2</v>
      </c>
      <c r="Q61" s="8">
        <v>5.8808852154772939E-2</v>
      </c>
      <c r="R61" s="8">
        <v>-0.15840612390411238</v>
      </c>
      <c r="S61" s="8">
        <v>-0.12232635597546304</v>
      </c>
      <c r="T61" s="8">
        <v>0.13171232425250018</v>
      </c>
      <c r="U61" s="8">
        <v>3.4677428531694678E-2</v>
      </c>
      <c r="V61" s="8">
        <v>4.6857807721213091E-2</v>
      </c>
      <c r="W61" s="8">
        <v>-6.6615945289924358E-2</v>
      </c>
      <c r="X61" s="8">
        <v>8.9037692620671516E-3</v>
      </c>
      <c r="Y61" s="8">
        <v>0.16021407297663626</v>
      </c>
      <c r="Z61" s="8">
        <v>5.3037744477970564E-2</v>
      </c>
      <c r="AA61" s="8">
        <v>0.21135674067880755</v>
      </c>
      <c r="AB61" s="8">
        <v>0.16498562528232461</v>
      </c>
      <c r="AC61" s="8">
        <v>0.2586555788276319</v>
      </c>
      <c r="AD61" s="8">
        <v>7.8657069884254371E-3</v>
      </c>
      <c r="AE61" s="8">
        <v>0.26414037822933173</v>
      </c>
      <c r="AF61" s="8">
        <v>0.40707975078399988</v>
      </c>
      <c r="AG61" s="8">
        <v>0.12318512536029608</v>
      </c>
      <c r="AH61" s="8">
        <v>0.70973900533703871</v>
      </c>
      <c r="AI61" s="8">
        <v>-2.6625635913266721E-2</v>
      </c>
      <c r="AJ61" s="8">
        <v>0.7263466926656168</v>
      </c>
      <c r="AK61" s="8">
        <v>1</v>
      </c>
      <c r="AL61" s="8"/>
      <c r="AM61" s="8"/>
      <c r="AN61" s="8"/>
      <c r="AO61" s="8"/>
      <c r="AP61" s="8"/>
      <c r="AQ61" s="8"/>
      <c r="AR61" s="8"/>
      <c r="AS61" s="8"/>
    </row>
    <row r="62" spans="1:45" ht="15.6" x14ac:dyDescent="0.3">
      <c r="A62" s="11" t="s">
        <v>37</v>
      </c>
      <c r="B62" s="8">
        <v>0.48526351500506065</v>
      </c>
      <c r="C62" s="8">
        <v>-6.100273280936206E-2</v>
      </c>
      <c r="D62" s="8">
        <v>-8.6227791972502521E-2</v>
      </c>
      <c r="E62" s="8">
        <v>-2.5840402316357997E-2</v>
      </c>
      <c r="F62" s="8">
        <v>0.11755380782654024</v>
      </c>
      <c r="G62" s="8">
        <v>0.55579955331160502</v>
      </c>
      <c r="H62" s="8">
        <v>0.57462563394050048</v>
      </c>
      <c r="I62" s="8">
        <v>0.46088445319705168</v>
      </c>
      <c r="J62" s="8">
        <v>0.64961884760999067</v>
      </c>
      <c r="K62" s="8">
        <v>-1.4745281731819262E-2</v>
      </c>
      <c r="L62" s="8">
        <v>6.2669616900677919E-2</v>
      </c>
      <c r="M62" s="8">
        <v>-6.6468774477985923E-2</v>
      </c>
      <c r="N62" s="8">
        <v>0.34294899309720395</v>
      </c>
      <c r="O62" s="8">
        <v>0.45728844321769768</v>
      </c>
      <c r="P62" s="8">
        <v>0.58076290785549234</v>
      </c>
      <c r="Q62" s="8">
        <v>0.44195992650516669</v>
      </c>
      <c r="R62" s="8">
        <v>0.15251049684885915</v>
      </c>
      <c r="S62" s="8">
        <v>7.1893367168157666E-3</v>
      </c>
      <c r="T62" s="8">
        <v>-5.4244781007543085E-3</v>
      </c>
      <c r="U62" s="8">
        <v>0.19530633328671951</v>
      </c>
      <c r="V62" s="8">
        <v>0.54893119767628529</v>
      </c>
      <c r="W62" s="8">
        <v>0.14789378620319268</v>
      </c>
      <c r="X62" s="8">
        <v>0.9903720533979552</v>
      </c>
      <c r="Y62" s="8">
        <v>1.9002020971365389E-2</v>
      </c>
      <c r="Z62" s="8">
        <v>0.31327951649005048</v>
      </c>
      <c r="AA62" s="8">
        <v>3.4224435939761842E-2</v>
      </c>
      <c r="AB62" s="8">
        <v>0.27822571546463926</v>
      </c>
      <c r="AC62" s="8">
        <v>9.9267690842255549E-2</v>
      </c>
      <c r="AD62" s="8">
        <v>0.24641874049755064</v>
      </c>
      <c r="AE62" s="8">
        <v>0.22151850491704064</v>
      </c>
      <c r="AF62" s="8">
        <v>7.3221374224904948E-2</v>
      </c>
      <c r="AG62" s="8">
        <v>0.46312088487226105</v>
      </c>
      <c r="AH62" s="8">
        <v>0.13365978839663256</v>
      </c>
      <c r="AI62" s="8">
        <v>0.40009840481575104</v>
      </c>
      <c r="AJ62" s="8">
        <v>0.31861882662744095</v>
      </c>
      <c r="AK62" s="8">
        <v>1.4875799222925378E-2</v>
      </c>
      <c r="AL62" s="8">
        <v>1</v>
      </c>
      <c r="AM62" s="8"/>
      <c r="AN62" s="8"/>
      <c r="AO62" s="8"/>
      <c r="AP62" s="8"/>
      <c r="AQ62" s="8"/>
      <c r="AR62" s="8"/>
      <c r="AS62" s="8"/>
    </row>
    <row r="63" spans="1:45" ht="15.6" x14ac:dyDescent="0.3">
      <c r="A63" s="11" t="s">
        <v>38</v>
      </c>
      <c r="B63" s="8">
        <v>-0.11636504851417984</v>
      </c>
      <c r="C63" s="8">
        <v>0.13518899394347408</v>
      </c>
      <c r="D63" s="8">
        <v>3.393187818955587E-2</v>
      </c>
      <c r="E63" s="8">
        <v>3.7136709898132121E-2</v>
      </c>
      <c r="F63" s="8">
        <v>-2.6414831971086728E-2</v>
      </c>
      <c r="G63" s="8">
        <v>3.4981339575308162E-2</v>
      </c>
      <c r="H63" s="8">
        <v>3.0330191864876899E-2</v>
      </c>
      <c r="I63" s="8">
        <v>6.6269448354011717E-2</v>
      </c>
      <c r="J63" s="8">
        <v>5.3447300236034119E-2</v>
      </c>
      <c r="K63" s="8">
        <v>-9.1275353537455001E-2</v>
      </c>
      <c r="L63" s="8">
        <v>-0.16377838233593703</v>
      </c>
      <c r="M63" s="8">
        <v>4.0244211523790978E-2</v>
      </c>
      <c r="N63" s="8">
        <v>-9.1737006259699837E-5</v>
      </c>
      <c r="O63" s="8">
        <v>-1.0051959641518591E-2</v>
      </c>
      <c r="P63" s="8">
        <v>3.6109925695662515E-2</v>
      </c>
      <c r="Q63" s="8">
        <v>5.1567850755089739E-2</v>
      </c>
      <c r="R63" s="8">
        <v>-4.1956754114197324E-2</v>
      </c>
      <c r="S63" s="8">
        <v>0.10627836776703643</v>
      </c>
      <c r="T63" s="8">
        <v>3.1445398573517885E-2</v>
      </c>
      <c r="U63" s="8">
        <v>5.1518254408030519E-2</v>
      </c>
      <c r="V63" s="8">
        <v>5.3307605582059679E-2</v>
      </c>
      <c r="W63" s="8">
        <v>-1.205977467263139E-2</v>
      </c>
      <c r="X63" s="8">
        <v>-3.6148875358138224E-2</v>
      </c>
      <c r="Y63" s="8">
        <v>-6.5517865813763038E-2</v>
      </c>
      <c r="Z63" s="8">
        <v>5.4007346406426432E-2</v>
      </c>
      <c r="AA63" s="8">
        <v>-4.3724683645614392E-3</v>
      </c>
      <c r="AB63" s="8">
        <v>4.8773477112332042E-2</v>
      </c>
      <c r="AC63" s="8">
        <v>-0.12700275060512178</v>
      </c>
      <c r="AD63" s="8">
        <v>0.26762206370269803</v>
      </c>
      <c r="AE63" s="8">
        <v>-5.7515643526126717E-2</v>
      </c>
      <c r="AF63" s="8">
        <v>-0.1640866708285067</v>
      </c>
      <c r="AG63" s="8">
        <v>6.5204996313484698E-2</v>
      </c>
      <c r="AH63" s="8">
        <v>-0.14562740171961483</v>
      </c>
      <c r="AI63" s="8">
        <v>0.49495321882852555</v>
      </c>
      <c r="AJ63" s="8">
        <v>-0.13636063101518739</v>
      </c>
      <c r="AK63" s="8">
        <v>-0.11443894925699455</v>
      </c>
      <c r="AL63" s="8">
        <v>-2.6452116841283065E-2</v>
      </c>
      <c r="AM63" s="8">
        <v>1</v>
      </c>
      <c r="AN63" s="8"/>
      <c r="AO63" s="8"/>
      <c r="AP63" s="8"/>
      <c r="AQ63" s="8"/>
      <c r="AR63" s="8"/>
      <c r="AS63" s="8"/>
    </row>
    <row r="64" spans="1:45" ht="15.6" x14ac:dyDescent="0.3">
      <c r="A64" s="11" t="s">
        <v>39</v>
      </c>
      <c r="B64" s="8">
        <v>0.62928631421160008</v>
      </c>
      <c r="C64" s="8">
        <v>-0.22626783128677644</v>
      </c>
      <c r="D64" s="8">
        <v>-0.7198319487010425</v>
      </c>
      <c r="E64" s="8">
        <v>-3.9872335117291456E-2</v>
      </c>
      <c r="F64" s="8">
        <v>0.32616721527448111</v>
      </c>
      <c r="G64" s="8">
        <v>0.9548665485159028</v>
      </c>
      <c r="H64" s="8">
        <v>0.95168022335308144</v>
      </c>
      <c r="I64" s="8">
        <v>0.78556124615479028</v>
      </c>
      <c r="J64" s="8">
        <v>0.93791438029097618</v>
      </c>
      <c r="K64" s="8">
        <v>0.33040846671163177</v>
      </c>
      <c r="L64" s="8">
        <v>-3.1811093323968496E-2</v>
      </c>
      <c r="M64" s="8">
        <v>-7.9983046208245631E-2</v>
      </c>
      <c r="N64" s="8">
        <v>9.732274732636563E-2</v>
      </c>
      <c r="O64" s="8">
        <v>0.24357778852075493</v>
      </c>
      <c r="P64" s="8">
        <v>0.94404992701764079</v>
      </c>
      <c r="Q64" s="8">
        <v>0.87413687272948626</v>
      </c>
      <c r="R64" s="8">
        <v>-3.0494200839866471E-2</v>
      </c>
      <c r="S64" s="8">
        <v>-0.18722378844821422</v>
      </c>
      <c r="T64" s="8">
        <v>-6.3084181188064456E-2</v>
      </c>
      <c r="U64" s="8">
        <v>0.75417217621846011</v>
      </c>
      <c r="V64" s="8">
        <v>0.91670327842921862</v>
      </c>
      <c r="W64" s="8">
        <v>-2.5330275477288219E-2</v>
      </c>
      <c r="X64" s="8">
        <v>0.48430589150693948</v>
      </c>
      <c r="Y64" s="8">
        <v>0.18487583364182311</v>
      </c>
      <c r="Z64" s="8">
        <v>0.92015832577580847</v>
      </c>
      <c r="AA64" s="8">
        <v>-1.6572043017398644E-3</v>
      </c>
      <c r="AB64" s="8">
        <v>0.91224918749023487</v>
      </c>
      <c r="AC64" s="8">
        <v>0.41586311010894333</v>
      </c>
      <c r="AD64" s="8">
        <v>0.80480576219300204</v>
      </c>
      <c r="AE64" s="8">
        <v>0.7563491994144248</v>
      </c>
      <c r="AF64" s="8">
        <v>0.25980936826150131</v>
      </c>
      <c r="AG64" s="8">
        <v>0.94129267240730818</v>
      </c>
      <c r="AH64" s="8">
        <v>0.47108782474065791</v>
      </c>
      <c r="AI64" s="8">
        <v>0.90685091861414346</v>
      </c>
      <c r="AJ64" s="8">
        <v>0.552432880152949</v>
      </c>
      <c r="AK64" s="8">
        <v>0.11488241448146715</v>
      </c>
      <c r="AL64" s="8">
        <v>0.50578821157284437</v>
      </c>
      <c r="AM64" s="8">
        <v>-2.3859962397051387E-2</v>
      </c>
      <c r="AN64" s="8">
        <v>1</v>
      </c>
      <c r="AO64" s="8"/>
      <c r="AP64" s="8"/>
      <c r="AQ64" s="8"/>
      <c r="AR64" s="8"/>
      <c r="AS64" s="8"/>
    </row>
    <row r="65" spans="1:45" ht="15.6" x14ac:dyDescent="0.3">
      <c r="A65" s="11" t="s">
        <v>40</v>
      </c>
      <c r="B65" s="8">
        <v>0.32828324902771822</v>
      </c>
      <c r="C65" s="8">
        <v>-0.25540268572715458</v>
      </c>
      <c r="D65" s="8">
        <v>0.16622460516051787</v>
      </c>
      <c r="E65" s="8">
        <v>-0.12524516351694981</v>
      </c>
      <c r="F65" s="8">
        <v>0.14758901826237589</v>
      </c>
      <c r="G65" s="8">
        <v>0.50729931445725651</v>
      </c>
      <c r="H65" s="8">
        <v>0.52865151099240382</v>
      </c>
      <c r="I65" s="8">
        <v>0.62154839500612868</v>
      </c>
      <c r="J65" s="8">
        <v>0.58664951254738218</v>
      </c>
      <c r="K65" s="8">
        <v>0.2831118136344617</v>
      </c>
      <c r="L65" s="8">
        <v>3.0109902954275947E-2</v>
      </c>
      <c r="M65" s="8">
        <v>-0.10841946198634293</v>
      </c>
      <c r="N65" s="8">
        <v>2.2685913176415905E-2</v>
      </c>
      <c r="O65" s="8">
        <v>8.5207683741234788E-2</v>
      </c>
      <c r="P65" s="8">
        <v>0.35604504650579655</v>
      </c>
      <c r="Q65" s="8">
        <v>0.47808384076455862</v>
      </c>
      <c r="R65" s="8">
        <v>0.1231165353864145</v>
      </c>
      <c r="S65" s="8">
        <v>-0.21017299075616719</v>
      </c>
      <c r="T65" s="8">
        <v>-9.5512081599336801E-2</v>
      </c>
      <c r="U65" s="8">
        <v>0.14899472689288074</v>
      </c>
      <c r="V65" s="8">
        <v>0.60665391883367137</v>
      </c>
      <c r="W65" s="8">
        <v>0.15315721333289387</v>
      </c>
      <c r="X65" s="8">
        <v>0.62707863504471639</v>
      </c>
      <c r="Y65" s="8">
        <v>0.22598628576170762</v>
      </c>
      <c r="Z65" s="8">
        <v>0.28547137325075045</v>
      </c>
      <c r="AA65" s="8">
        <v>-3.3414768760700892E-3</v>
      </c>
      <c r="AB65" s="8">
        <v>0.1870264965502674</v>
      </c>
      <c r="AC65" s="8">
        <v>5.5502719584891572E-2</v>
      </c>
      <c r="AD65" s="8">
        <v>0.37386916291891176</v>
      </c>
      <c r="AE65" s="8">
        <v>0.11781507776513712</v>
      </c>
      <c r="AF65" s="8">
        <v>8.5858431436883778E-2</v>
      </c>
      <c r="AG65" s="8">
        <v>0.43153866621578346</v>
      </c>
      <c r="AH65" s="8">
        <v>4.6055022572573942E-3</v>
      </c>
      <c r="AI65" s="8">
        <v>0.78261290705870834</v>
      </c>
      <c r="AJ65" s="8">
        <v>0.21170065698252008</v>
      </c>
      <c r="AK65" s="8">
        <v>1.5693870281248506E-2</v>
      </c>
      <c r="AL65" s="8">
        <v>0.59074476837627965</v>
      </c>
      <c r="AM65" s="8">
        <v>0.10416484696967757</v>
      </c>
      <c r="AN65" s="8">
        <v>0.33681658211681265</v>
      </c>
      <c r="AO65" s="8">
        <v>1</v>
      </c>
      <c r="AP65" s="8"/>
      <c r="AQ65" s="8"/>
      <c r="AR65" s="8"/>
      <c r="AS65" s="8"/>
    </row>
    <row r="66" spans="1:45" ht="15.6" x14ac:dyDescent="0.3">
      <c r="A66" s="11" t="s">
        <v>41</v>
      </c>
      <c r="B66" s="8">
        <v>0.47816018511562153</v>
      </c>
      <c r="C66" s="8">
        <v>-0.18328410922298063</v>
      </c>
      <c r="D66" s="8">
        <v>-0.39294495184888645</v>
      </c>
      <c r="E66" s="8">
        <v>-3.563637800743507E-2</v>
      </c>
      <c r="F66" s="8">
        <v>0.30568733184132296</v>
      </c>
      <c r="G66" s="8">
        <v>0.89996040281277478</v>
      </c>
      <c r="H66" s="8">
        <v>0.91393428771289942</v>
      </c>
      <c r="I66" s="8">
        <v>0.81895803204498241</v>
      </c>
      <c r="J66" s="8">
        <v>0.94711053784377597</v>
      </c>
      <c r="K66" s="8">
        <v>0.19195651089812599</v>
      </c>
      <c r="L66" s="8">
        <v>5.1191412526313844E-3</v>
      </c>
      <c r="M66" s="8">
        <v>-9.1165136019599732E-2</v>
      </c>
      <c r="N66" s="8">
        <v>5.6851476821702267E-2</v>
      </c>
      <c r="O66" s="8">
        <v>0.16958651934657362</v>
      </c>
      <c r="P66" s="8">
        <v>0.82233384833258394</v>
      </c>
      <c r="Q66" s="8">
        <v>0.83205541665553251</v>
      </c>
      <c r="R66" s="8">
        <v>7.294934824268888E-2</v>
      </c>
      <c r="S66" s="8">
        <v>-0.1298283849775991</v>
      </c>
      <c r="T66" s="8">
        <v>-4.6364538480285232E-2</v>
      </c>
      <c r="U66" s="8">
        <v>0.54965241642359675</v>
      </c>
      <c r="V66" s="8">
        <v>0.92809459641386283</v>
      </c>
      <c r="W66" s="8">
        <v>0.10446265872678095</v>
      </c>
      <c r="X66" s="8">
        <v>0.77935646647769441</v>
      </c>
      <c r="Y66" s="8">
        <v>0.14082882708578046</v>
      </c>
      <c r="Z66" s="8">
        <v>0.70692880282308024</v>
      </c>
      <c r="AA66" s="8">
        <v>3.1018771293209822E-2</v>
      </c>
      <c r="AB66" s="8">
        <v>0.67241754028804157</v>
      </c>
      <c r="AC66" s="8">
        <v>0.23230734039705117</v>
      </c>
      <c r="AD66" s="8">
        <v>0.69823764935846344</v>
      </c>
      <c r="AE66" s="8">
        <v>0.49101742810465715</v>
      </c>
      <c r="AF66" s="8">
        <v>0.11168866531388799</v>
      </c>
      <c r="AG66" s="8">
        <v>0.84306922582271537</v>
      </c>
      <c r="AH66" s="8">
        <v>0.25746630918103008</v>
      </c>
      <c r="AI66" s="8">
        <v>0.75426606521254591</v>
      </c>
      <c r="AJ66" s="8">
        <v>0.44793528336811744</v>
      </c>
      <c r="AK66" s="8">
        <v>5.5777976125805769E-2</v>
      </c>
      <c r="AL66" s="8">
        <v>0.75600156113173211</v>
      </c>
      <c r="AM66" s="8">
        <v>1.290092334601311E-2</v>
      </c>
      <c r="AN66" s="8">
        <v>0.83505275971469606</v>
      </c>
      <c r="AO66" s="8">
        <v>0.71612478346122144</v>
      </c>
      <c r="AP66" s="8">
        <v>1</v>
      </c>
      <c r="AQ66" s="8"/>
      <c r="AR66" s="8"/>
      <c r="AS66" s="8"/>
    </row>
    <row r="67" spans="1:45" ht="15.6" x14ac:dyDescent="0.3">
      <c r="A67" s="11" t="s">
        <v>42</v>
      </c>
      <c r="B67" s="8">
        <v>0.45781176209648139</v>
      </c>
      <c r="C67" s="8">
        <v>-0.19740258315334316</v>
      </c>
      <c r="D67" s="8">
        <v>-0.31756175894876348</v>
      </c>
      <c r="E67" s="8">
        <v>-3.4399021443292425E-2</v>
      </c>
      <c r="F67" s="8">
        <v>0.35094447487863034</v>
      </c>
      <c r="G67" s="8">
        <v>0.85991316417661068</v>
      </c>
      <c r="H67" s="8">
        <v>0.87433699504034423</v>
      </c>
      <c r="I67" s="8">
        <v>0.84597414479303334</v>
      </c>
      <c r="J67" s="8">
        <v>0.92734949834324287</v>
      </c>
      <c r="K67" s="8">
        <v>0.2119699797991457</v>
      </c>
      <c r="L67" s="8">
        <v>-9.4809134192012316E-3</v>
      </c>
      <c r="M67" s="8">
        <v>-9.453243588707097E-2</v>
      </c>
      <c r="N67" s="8">
        <v>4.0519361095302818E-2</v>
      </c>
      <c r="O67" s="8">
        <v>0.13868941146361838</v>
      </c>
      <c r="P67" s="8">
        <v>0.7808318504359415</v>
      </c>
      <c r="Q67" s="8">
        <v>0.82862261847122554</v>
      </c>
      <c r="R67" s="8">
        <v>5.3405687600907269E-2</v>
      </c>
      <c r="S67" s="8">
        <v>-0.14463950720519292</v>
      </c>
      <c r="T67" s="8">
        <v>-5.5599900148371621E-2</v>
      </c>
      <c r="U67" s="8">
        <v>0.47532654959758025</v>
      </c>
      <c r="V67" s="8">
        <v>0.93674057557881374</v>
      </c>
      <c r="W67" s="8">
        <v>8.9198281298272647E-2</v>
      </c>
      <c r="X67" s="8">
        <v>0.71230101368143273</v>
      </c>
      <c r="Y67" s="8">
        <v>0.15436077171830778</v>
      </c>
      <c r="Z67" s="8">
        <v>0.65145371282359221</v>
      </c>
      <c r="AA67" s="8">
        <v>2.9763390507900438E-2</v>
      </c>
      <c r="AB67" s="8">
        <v>0.63416840834554733</v>
      </c>
      <c r="AC67" s="8">
        <v>0.21516673345695794</v>
      </c>
      <c r="AD67" s="8">
        <v>0.76510751332230298</v>
      </c>
      <c r="AE67" s="8">
        <v>0.41381586038069762</v>
      </c>
      <c r="AF67" s="8">
        <v>4.7443554092005902E-2</v>
      </c>
      <c r="AG67" s="8">
        <v>0.81909066317474344</v>
      </c>
      <c r="AH67" s="8">
        <v>0.25745594530060278</v>
      </c>
      <c r="AI67" s="8">
        <v>0.82859991904272312</v>
      </c>
      <c r="AJ67" s="8">
        <v>0.38157082536509457</v>
      </c>
      <c r="AK67" s="8">
        <v>2.9644781368284343E-2</v>
      </c>
      <c r="AL67" s="8">
        <v>0.69075279790255961</v>
      </c>
      <c r="AM67" s="8">
        <v>2.9892127985534984E-2</v>
      </c>
      <c r="AN67" s="8">
        <v>0.80528913064467977</v>
      </c>
      <c r="AO67" s="8">
        <v>0.75537512018405595</v>
      </c>
      <c r="AP67" s="8">
        <v>0.97916863957969025</v>
      </c>
      <c r="AQ67" s="8">
        <v>1</v>
      </c>
      <c r="AR67" s="8"/>
      <c r="AS67" s="8"/>
    </row>
    <row r="68" spans="1:45" ht="15.6" x14ac:dyDescent="0.3">
      <c r="A68" s="11" t="s">
        <v>43</v>
      </c>
      <c r="B68" s="8">
        <v>-7.1587920806088723E-2</v>
      </c>
      <c r="C68" s="8">
        <v>0.9830179229599717</v>
      </c>
      <c r="D68" s="8">
        <v>1.3798521706784011E-3</v>
      </c>
      <c r="E68" s="8">
        <v>0.43992014099926663</v>
      </c>
      <c r="F68" s="8">
        <v>-0.14080742455995385</v>
      </c>
      <c r="G68" s="8">
        <v>-0.17191149618043383</v>
      </c>
      <c r="H68" s="8">
        <v>-0.17517925181025495</v>
      </c>
      <c r="I68" s="8">
        <v>-0.2682895778754063</v>
      </c>
      <c r="J68" s="8">
        <v>-0.1614169212849787</v>
      </c>
      <c r="K68" s="8">
        <v>-0.57364573517677753</v>
      </c>
      <c r="L68" s="8">
        <v>0.11937538415055507</v>
      </c>
      <c r="M68" s="8">
        <v>0.25300535518884754</v>
      </c>
      <c r="N68" s="8">
        <v>0.26251942225942249</v>
      </c>
      <c r="O68" s="8">
        <v>0.15232346080535333</v>
      </c>
      <c r="P68" s="8">
        <v>-0.13589587053465738</v>
      </c>
      <c r="Q68" s="8">
        <v>-0.2378566021175276</v>
      </c>
      <c r="R68" s="8">
        <v>2.7958514862794191E-2</v>
      </c>
      <c r="S68" s="8">
        <v>0.81774339526106044</v>
      </c>
      <c r="T68" s="8">
        <v>0.17491488611940742</v>
      </c>
      <c r="U68" s="8">
        <v>-8.0747112185736269E-2</v>
      </c>
      <c r="V68" s="8">
        <v>-0.16785815692999764</v>
      </c>
      <c r="W68" s="8">
        <v>-2.778180894867132E-2</v>
      </c>
      <c r="X68" s="8">
        <v>-7.1780451841387066E-2</v>
      </c>
      <c r="Y68" s="8">
        <v>-0.7682709656048301</v>
      </c>
      <c r="Z68" s="8">
        <v>-0.12326399444632219</v>
      </c>
      <c r="AA68" s="8">
        <v>0.11225564014980446</v>
      </c>
      <c r="AB68" s="8">
        <v>-0.14242144096645673</v>
      </c>
      <c r="AC68" s="8">
        <v>-0.12116714112407855</v>
      </c>
      <c r="AD68" s="8">
        <v>-0.19371168405470415</v>
      </c>
      <c r="AE68" s="8">
        <v>-0.11171993692164295</v>
      </c>
      <c r="AF68" s="8">
        <v>-0.13038992119702039</v>
      </c>
      <c r="AG68" s="8">
        <v>-0.16678558145653175</v>
      </c>
      <c r="AH68" s="8">
        <v>7.557369849093229E-2</v>
      </c>
      <c r="AI68" s="8">
        <v>-0.24206822632910135</v>
      </c>
      <c r="AJ68" s="8">
        <v>-7.1347695316695492E-2</v>
      </c>
      <c r="AK68" s="8">
        <v>4.9944128635533646E-4</v>
      </c>
      <c r="AL68" s="8">
        <v>-6.7016891650091059E-2</v>
      </c>
      <c r="AM68" s="8">
        <v>0.11582134434723346</v>
      </c>
      <c r="AN68" s="8">
        <v>-0.19883143842086889</v>
      </c>
      <c r="AO68" s="8">
        <v>-0.24092222289110463</v>
      </c>
      <c r="AP68" s="8">
        <v>-0.16775042630504672</v>
      </c>
      <c r="AQ68" s="8">
        <v>-0.18007130777135569</v>
      </c>
      <c r="AR68" s="8">
        <v>1</v>
      </c>
      <c r="AS68" s="8"/>
    </row>
    <row r="69" spans="1:45" ht="16.2" thickBot="1" x14ac:dyDescent="0.35">
      <c r="A69" s="12" t="s">
        <v>44</v>
      </c>
      <c r="B69" s="9">
        <v>-8.3254576525755158E-2</v>
      </c>
      <c r="C69" s="9">
        <v>0.53122155817394556</v>
      </c>
      <c r="D69" s="9">
        <v>2.7420525134315536E-2</v>
      </c>
      <c r="E69" s="9">
        <v>0.2961388913701159</v>
      </c>
      <c r="F69" s="9">
        <v>-0.10655930416889249</v>
      </c>
      <c r="G69" s="9">
        <v>-0.11532557285376734</v>
      </c>
      <c r="H69" s="9">
        <v>-0.11891432342364262</v>
      </c>
      <c r="I69" s="9">
        <v>-0.17545246485327179</v>
      </c>
      <c r="J69" s="9">
        <v>-0.11206223591466663</v>
      </c>
      <c r="K69" s="9">
        <v>-0.4409273568848473</v>
      </c>
      <c r="L69" s="9">
        <v>8.4185451429126118E-2</v>
      </c>
      <c r="M69" s="9">
        <v>0.41390323662823614</v>
      </c>
      <c r="N69" s="9">
        <v>0.21968483681825385</v>
      </c>
      <c r="O69" s="9">
        <v>0.1369977100652455</v>
      </c>
      <c r="P69" s="9">
        <v>-0.10293533772171003</v>
      </c>
      <c r="Q69" s="9">
        <v>-0.16020562421543436</v>
      </c>
      <c r="R69" s="9">
        <v>4.2572657082728983E-3</v>
      </c>
      <c r="S69" s="9">
        <v>0.46490379420027816</v>
      </c>
      <c r="T69" s="9">
        <v>0.28301751767778666</v>
      </c>
      <c r="U69" s="9">
        <v>-7.828993639673025E-2</v>
      </c>
      <c r="V69" s="9">
        <v>-0.11461070942222502</v>
      </c>
      <c r="W69" s="9">
        <v>3.165852962477584E-2</v>
      </c>
      <c r="X69" s="9">
        <v>-6.2921776873238647E-2</v>
      </c>
      <c r="Y69" s="9">
        <v>-0.51671800356911179</v>
      </c>
      <c r="Z69" s="9">
        <v>-0.10300220276395795</v>
      </c>
      <c r="AA69" s="9">
        <v>0.10470983723877593</v>
      </c>
      <c r="AB69" s="9">
        <v>-0.13414138383032648</v>
      </c>
      <c r="AC69" s="9">
        <v>-3.1827253865574279E-2</v>
      </c>
      <c r="AD69" s="9">
        <v>-0.12408000705432899</v>
      </c>
      <c r="AE69" s="9">
        <v>-0.10047149339401025</v>
      </c>
      <c r="AF69" s="9">
        <v>-7.1269574157847876E-2</v>
      </c>
      <c r="AG69" s="9">
        <v>-0.11969977209155548</v>
      </c>
      <c r="AH69" s="9">
        <v>0.16351188347453105</v>
      </c>
      <c r="AI69" s="9">
        <v>-2.8285330906251748E-2</v>
      </c>
      <c r="AJ69" s="9">
        <v>-7.8417961452061521E-2</v>
      </c>
      <c r="AK69" s="9">
        <v>3.4516197766812327E-2</v>
      </c>
      <c r="AL69" s="9">
        <v>-7.1708566315054997E-2</v>
      </c>
      <c r="AM69" s="9">
        <v>0.11561978884538196</v>
      </c>
      <c r="AN69" s="9">
        <v>-0.14343979363612111</v>
      </c>
      <c r="AO69" s="9">
        <v>-0.17961228973158858</v>
      </c>
      <c r="AP69" s="9">
        <v>-0.10531290249091568</v>
      </c>
      <c r="AQ69" s="9">
        <v>-0.10918195143085734</v>
      </c>
      <c r="AR69" s="9">
        <v>0.5105658402033737</v>
      </c>
      <c r="AS69" s="9">
        <v>1</v>
      </c>
    </row>
    <row r="73" spans="1:45" ht="25.8" x14ac:dyDescent="0.5">
      <c r="A73" s="6" t="s">
        <v>328</v>
      </c>
    </row>
    <row r="74" spans="1:45" ht="15" thickBot="1" x14ac:dyDescent="0.35"/>
    <row r="75" spans="1:45" s="10" customFormat="1" ht="15.6" x14ac:dyDescent="0.3">
      <c r="A75" s="14"/>
      <c r="B75" s="14" t="s">
        <v>1</v>
      </c>
      <c r="C75" s="14" t="s">
        <v>2</v>
      </c>
      <c r="D75" s="14" t="s">
        <v>3</v>
      </c>
      <c r="E75" s="14" t="s">
        <v>4</v>
      </c>
      <c r="F75" s="14" t="s">
        <v>5</v>
      </c>
      <c r="G75" s="14" t="s">
        <v>6</v>
      </c>
      <c r="H75" s="14" t="s">
        <v>7</v>
      </c>
      <c r="I75" s="14" t="s">
        <v>8</v>
      </c>
      <c r="J75" s="14" t="s">
        <v>9</v>
      </c>
      <c r="K75" s="14" t="s">
        <v>10</v>
      </c>
      <c r="L75" s="14" t="s">
        <v>11</v>
      </c>
      <c r="M75" s="14" t="s">
        <v>12</v>
      </c>
      <c r="N75" s="14" t="s">
        <v>13</v>
      </c>
      <c r="O75" s="14" t="s">
        <v>14</v>
      </c>
      <c r="P75" s="14" t="s">
        <v>15</v>
      </c>
      <c r="Q75" s="14" t="s">
        <v>16</v>
      </c>
      <c r="R75" s="14" t="s">
        <v>17</v>
      </c>
      <c r="S75" s="14" t="s">
        <v>18</v>
      </c>
      <c r="T75" s="14" t="s">
        <v>19</v>
      </c>
      <c r="U75" s="14" t="s">
        <v>20</v>
      </c>
      <c r="V75" s="14" t="s">
        <v>21</v>
      </c>
      <c r="W75" s="14" t="s">
        <v>22</v>
      </c>
      <c r="X75" s="14" t="s">
        <v>23</v>
      </c>
      <c r="Y75" s="14" t="s">
        <v>24</v>
      </c>
      <c r="Z75" s="14" t="s">
        <v>25</v>
      </c>
      <c r="AA75" s="14" t="s">
        <v>26</v>
      </c>
      <c r="AB75" s="14" t="s">
        <v>27</v>
      </c>
      <c r="AC75" s="14" t="s">
        <v>28</v>
      </c>
      <c r="AD75" s="14" t="s">
        <v>29</v>
      </c>
      <c r="AE75" s="14" t="s">
        <v>30</v>
      </c>
      <c r="AF75" s="14" t="s">
        <v>31</v>
      </c>
      <c r="AG75" s="14" t="s">
        <v>32</v>
      </c>
      <c r="AH75" s="14" t="s">
        <v>33</v>
      </c>
      <c r="AI75" s="14" t="s">
        <v>34</v>
      </c>
      <c r="AJ75" s="14" t="s">
        <v>35</v>
      </c>
      <c r="AK75" s="14" t="s">
        <v>36</v>
      </c>
      <c r="AL75" s="14" t="s">
        <v>37</v>
      </c>
      <c r="AM75" s="14" t="s">
        <v>38</v>
      </c>
      <c r="AN75" s="14" t="s">
        <v>39</v>
      </c>
      <c r="AO75" s="14" t="s">
        <v>40</v>
      </c>
      <c r="AP75" s="14" t="s">
        <v>41</v>
      </c>
      <c r="AQ75" s="14" t="s">
        <v>42</v>
      </c>
      <c r="AR75" s="14" t="s">
        <v>43</v>
      </c>
      <c r="AS75" s="14" t="s">
        <v>44</v>
      </c>
    </row>
    <row r="76" spans="1:45" ht="15.6" x14ac:dyDescent="0.3">
      <c r="A76" s="15" t="s">
        <v>1</v>
      </c>
      <c r="B76" s="17">
        <f>VARP(Raw_Data!$B$2:$B$264)</f>
        <v>3526265431293.5962</v>
      </c>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row>
    <row r="77" spans="1:45" ht="15.6" x14ac:dyDescent="0.3">
      <c r="A77" s="15" t="s">
        <v>2</v>
      </c>
      <c r="B77" s="17">
        <v>-1526246.1660888891</v>
      </c>
      <c r="C77" s="17">
        <f>VARP(Raw_Data!$C$2:$C$264)</f>
        <v>123.25916800000027</v>
      </c>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row>
    <row r="78" spans="1:45" ht="15.6" x14ac:dyDescent="0.3">
      <c r="A78" s="15" t="s">
        <v>3</v>
      </c>
      <c r="B78" s="17">
        <v>-3.157032277278364E+16</v>
      </c>
      <c r="C78" s="17">
        <v>4440556221.5305595</v>
      </c>
      <c r="D78" s="17">
        <f>VARP(Raw_Data!$D$2:$D$264)</f>
        <v>3.1528396419680651E+21</v>
      </c>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row>
    <row r="79" spans="1:45" ht="15.6" x14ac:dyDescent="0.3">
      <c r="A79" s="15" t="s">
        <v>4</v>
      </c>
      <c r="B79" s="17">
        <v>356936.9354506667</v>
      </c>
      <c r="C79" s="17">
        <v>23.304369333333341</v>
      </c>
      <c r="D79" s="17">
        <v>-748592702.49988532</v>
      </c>
      <c r="E79" s="17">
        <f>VARP(Raw_Data!$E$2:$E$264)</f>
        <v>24.582573795555586</v>
      </c>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row>
    <row r="80" spans="1:45" ht="15.6" x14ac:dyDescent="0.3">
      <c r="A80" s="15" t="s">
        <v>5</v>
      </c>
      <c r="B80" s="17">
        <v>1.2084187970438646E+17</v>
      </c>
      <c r="C80" s="17">
        <v>-659031331827.21143</v>
      </c>
      <c r="D80" s="17">
        <v>-7.1625807208493928E+21</v>
      </c>
      <c r="E80" s="17">
        <v>-34080201772.5742</v>
      </c>
      <c r="F80" s="17">
        <f>VARP(Raw_Data!$F$2:$F$264)</f>
        <v>1.2816738855442068E+23</v>
      </c>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row>
    <row r="81" spans="1:45" ht="15.6" x14ac:dyDescent="0.3">
      <c r="A81" s="15" t="s">
        <v>6</v>
      </c>
      <c r="B81" s="17">
        <v>3.7355614223878547E+17</v>
      </c>
      <c r="C81" s="17">
        <v>-736686849335.42798</v>
      </c>
      <c r="D81" s="17">
        <v>-1.3694781942670555E+22</v>
      </c>
      <c r="E81" s="17">
        <v>-49112765046.385735</v>
      </c>
      <c r="F81" s="17">
        <v>3.899592913837729E+22</v>
      </c>
      <c r="G81" s="17">
        <f>VARP(Raw_Data!$G$2:$G$264)</f>
        <v>1.1739030548437801E+23</v>
      </c>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row>
    <row r="82" spans="1:45" ht="15.6" x14ac:dyDescent="0.3">
      <c r="A82" s="15" t="s">
        <v>7</v>
      </c>
      <c r="B82" s="17">
        <v>4.038947168792672E+17</v>
      </c>
      <c r="C82" s="17">
        <v>-811608193714.20325</v>
      </c>
      <c r="D82" s="17">
        <v>-1.4283875304463091E+22</v>
      </c>
      <c r="E82" s="17">
        <v>-58077054842.860771</v>
      </c>
      <c r="F82" s="17">
        <v>4.2096259212238182E+22</v>
      </c>
      <c r="G82" s="17">
        <v>1.271182756069977E+23</v>
      </c>
      <c r="H82" s="17">
        <f>VARP(Raw_Data!$H$2:$H$264)</f>
        <v>1.3670294069846986E+23</v>
      </c>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row>
    <row r="83" spans="1:45" ht="15.6" x14ac:dyDescent="0.3">
      <c r="A83" s="15" t="s">
        <v>8</v>
      </c>
      <c r="B83" s="17">
        <v>9.7605278996583072E+16</v>
      </c>
      <c r="C83" s="17">
        <v>-454888618241.53265</v>
      </c>
      <c r="D83" s="17">
        <v>-2.0021988651564828E+21</v>
      </c>
      <c r="E83" s="17">
        <v>-32125247925.332451</v>
      </c>
      <c r="F83" s="17">
        <v>1.7336725465547625E+22</v>
      </c>
      <c r="G83" s="17">
        <v>3.8456584534651618E+22</v>
      </c>
      <c r="H83" s="17">
        <v>4.1802948349068023E+22</v>
      </c>
      <c r="I83" s="17">
        <f>VARP(Raw_Data!$I$2:$I$264)</f>
        <v>1.7723214116999852E+22</v>
      </c>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row>
    <row r="84" spans="1:45" ht="15.6" x14ac:dyDescent="0.3">
      <c r="A84" s="15" t="s">
        <v>9</v>
      </c>
      <c r="B84" s="17">
        <v>1.1643259258237512E+18</v>
      </c>
      <c r="C84" s="17">
        <v>-2506436887017.7778</v>
      </c>
      <c r="D84" s="17">
        <v>-4.3249413857294835E+22</v>
      </c>
      <c r="E84" s="17">
        <v>-186944248532.80038</v>
      </c>
      <c r="F84" s="17">
        <v>1.4187064244087326E+23</v>
      </c>
      <c r="G84" s="17">
        <v>4.3378777950102597E+23</v>
      </c>
      <c r="H84" s="17">
        <v>4.7199912951349831E+23</v>
      </c>
      <c r="I84" s="17">
        <v>1.4369682919013691E+23</v>
      </c>
      <c r="J84" s="17">
        <f>VARP(Raw_Data!$J$2:$J$264)</f>
        <v>1.5615149295220974E+24</v>
      </c>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row>
    <row r="85" spans="1:45" ht="15.6" x14ac:dyDescent="0.3">
      <c r="A85" s="15" t="s">
        <v>10</v>
      </c>
      <c r="B85" s="17">
        <v>1517518651.5821364</v>
      </c>
      <c r="C85" s="17">
        <v>-79840.105999999971</v>
      </c>
      <c r="D85" s="17">
        <v>-82636493662044.531</v>
      </c>
      <c r="E85" s="17">
        <v>-12474.419937777786</v>
      </c>
      <c r="F85" s="17">
        <v>1019589366789487</v>
      </c>
      <c r="G85" s="17">
        <v>1034621443690564.8</v>
      </c>
      <c r="H85" s="17">
        <v>1122287332926994.6</v>
      </c>
      <c r="I85" s="17">
        <v>629815688379063.75</v>
      </c>
      <c r="J85" s="17">
        <v>3328011757909660.5</v>
      </c>
      <c r="K85" s="17">
        <f>VARP(Raw_Data!$K$2:$K$264)</f>
        <v>122776230.31238185</v>
      </c>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row>
    <row r="86" spans="1:45" ht="15.6" x14ac:dyDescent="0.3">
      <c r="A86" s="15" t="s">
        <v>11</v>
      </c>
      <c r="B86" s="17">
        <v>694408.51750622981</v>
      </c>
      <c r="C86" s="17">
        <v>7.3858470294784526</v>
      </c>
      <c r="D86" s="17">
        <v>1634817254.853384</v>
      </c>
      <c r="E86" s="17">
        <v>0.40662594104308419</v>
      </c>
      <c r="F86" s="17">
        <v>-38820951723.151787</v>
      </c>
      <c r="G86" s="17">
        <v>-15451082956.33773</v>
      </c>
      <c r="H86" s="17">
        <v>-15027798506.500038</v>
      </c>
      <c r="I86" s="17">
        <v>-34782175848.319145</v>
      </c>
      <c r="J86" s="17">
        <v>-68471770373.798462</v>
      </c>
      <c r="K86" s="17">
        <v>-6885.7725057849766</v>
      </c>
      <c r="L86" s="17">
        <f>VARP(Raw_Data!$L$2:$L$264)</f>
        <v>27.794650008899964</v>
      </c>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row>
    <row r="87" spans="1:45" ht="15.6" x14ac:dyDescent="0.3">
      <c r="A87" s="15" t="s">
        <v>12</v>
      </c>
      <c r="B87" s="17">
        <v>-622809.91024376394</v>
      </c>
      <c r="C87" s="17">
        <v>19.555126781168202</v>
      </c>
      <c r="D87" s="17">
        <v>427275034.86326015</v>
      </c>
      <c r="E87" s="17">
        <v>22.344669184983331</v>
      </c>
      <c r="F87" s="17">
        <v>-169877531681.45523</v>
      </c>
      <c r="G87" s="17">
        <v>-155782712183.99011</v>
      </c>
      <c r="H87" s="17">
        <v>-170811260938.38065</v>
      </c>
      <c r="I87" s="17">
        <v>-106819852033.06316</v>
      </c>
      <c r="J87" s="17">
        <v>-615078395508.26501</v>
      </c>
      <c r="K87" s="17">
        <v>-13388.204702570903</v>
      </c>
      <c r="L87" s="17">
        <v>-3.4087268815662091</v>
      </c>
      <c r="M87" s="17">
        <f>VARP(Raw_Data!$M$2:$M$264)</f>
        <v>34.838846935232461</v>
      </c>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row>
    <row r="88" spans="1:45" ht="15.6" x14ac:dyDescent="0.3">
      <c r="A88" s="15" t="s">
        <v>13</v>
      </c>
      <c r="B88" s="17">
        <v>10880098413.414719</v>
      </c>
      <c r="C88" s="17">
        <v>175513.3072442039</v>
      </c>
      <c r="D88" s="17">
        <v>-7508425087115.3691</v>
      </c>
      <c r="E88" s="17">
        <v>108455.91349067522</v>
      </c>
      <c r="F88" s="17">
        <v>-933192044968160.63</v>
      </c>
      <c r="G88" s="17">
        <v>839731590693702.13</v>
      </c>
      <c r="H88" s="17">
        <v>919233505124070.25</v>
      </c>
      <c r="I88" s="17">
        <v>-385163466299213.69</v>
      </c>
      <c r="J88" s="17">
        <v>5820006693937806</v>
      </c>
      <c r="K88" s="17">
        <v>-121054733.5647184</v>
      </c>
      <c r="L88" s="17">
        <v>-6196.8798093387131</v>
      </c>
      <c r="M88" s="17">
        <v>130470.72510528017</v>
      </c>
      <c r="N88" s="17">
        <f>VARP(Raw_Data!$N$2:$N$264)</f>
        <v>2902675168.6709275</v>
      </c>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row>
    <row r="89" spans="1:45" ht="15.6" x14ac:dyDescent="0.3">
      <c r="A89" s="15" t="s">
        <v>14</v>
      </c>
      <c r="B89" s="17">
        <v>299870118644.87482</v>
      </c>
      <c r="C89" s="17">
        <v>1364908.9643554515</v>
      </c>
      <c r="D89" s="17">
        <v>-3263996883077032.5</v>
      </c>
      <c r="E89" s="17">
        <v>1150568.1488983396</v>
      </c>
      <c r="F89" s="17">
        <v>2305356105866232</v>
      </c>
      <c r="G89" s="17">
        <v>4.0975543007989336E+16</v>
      </c>
      <c r="H89" s="17">
        <v>4.3774839067342336E+16</v>
      </c>
      <c r="I89" s="17">
        <v>3482696367529061.5</v>
      </c>
      <c r="J89" s="17">
        <v>1.7867457676363318E+17</v>
      </c>
      <c r="K89" s="17">
        <v>-1028359586.2339573</v>
      </c>
      <c r="L89" s="17">
        <v>-60851.879479844902</v>
      </c>
      <c r="M89" s="17">
        <v>1410546.7878075696</v>
      </c>
      <c r="N89" s="17">
        <v>37709236202.189735</v>
      </c>
      <c r="O89" s="17">
        <f>VARP(Raw_Data!$O$2:$O$264)</f>
        <v>475303689673.32379</v>
      </c>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row>
    <row r="90" spans="1:45" ht="15.6" x14ac:dyDescent="0.3">
      <c r="A90" s="15" t="s">
        <v>15</v>
      </c>
      <c r="B90" s="17">
        <v>600876219737.20398</v>
      </c>
      <c r="C90" s="17">
        <v>-986804.40493028401</v>
      </c>
      <c r="D90" s="17">
        <v>-2.5508037381747248E+16</v>
      </c>
      <c r="E90" s="17">
        <v>-66875.427185561261</v>
      </c>
      <c r="F90" s="17">
        <v>6.448006182724348E+16</v>
      </c>
      <c r="G90" s="17">
        <v>1.9622925063167485E+17</v>
      </c>
      <c r="H90" s="17">
        <v>2.1178086653523408E+17</v>
      </c>
      <c r="I90" s="17">
        <v>5.8215781960924808E+16</v>
      </c>
      <c r="J90" s="17">
        <v>6.9721089002969203E+17</v>
      </c>
      <c r="K90" s="17">
        <v>1525797594.0655801</v>
      </c>
      <c r="L90" s="17">
        <v>-35485.009626941581</v>
      </c>
      <c r="M90" s="17">
        <v>-263821.93019995646</v>
      </c>
      <c r="N90" s="17">
        <v>5006397793.0577106</v>
      </c>
      <c r="O90" s="17">
        <v>119668587825.60542</v>
      </c>
      <c r="P90" s="17">
        <f>VARP(Raw_Data!$P$2:$P$264)</f>
        <v>337237899516.6167</v>
      </c>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row>
    <row r="91" spans="1:45" ht="15.6" x14ac:dyDescent="0.3">
      <c r="A91" s="15" t="s">
        <v>16</v>
      </c>
      <c r="B91" s="17">
        <v>1.1529410003250488E+17</v>
      </c>
      <c r="C91" s="17">
        <v>-456020128237.60632</v>
      </c>
      <c r="D91" s="17">
        <v>-5.3468297953393267E+21</v>
      </c>
      <c r="E91" s="17">
        <v>-31015354030.63715</v>
      </c>
      <c r="F91" s="17">
        <v>2.4000812050758916E+22</v>
      </c>
      <c r="G91" s="17">
        <v>4.8663197307091173E+22</v>
      </c>
      <c r="H91" s="17">
        <v>5.2527263257058544E+22</v>
      </c>
      <c r="I91" s="17">
        <v>1.8877707777571677E+22</v>
      </c>
      <c r="J91" s="17">
        <v>1.7485917744686097E+23</v>
      </c>
      <c r="K91" s="17">
        <v>680307309338625.13</v>
      </c>
      <c r="L91" s="17">
        <v>-35312520249.214111</v>
      </c>
      <c r="M91" s="17">
        <v>-106090182014.66524</v>
      </c>
      <c r="N91" s="17">
        <v>-350701261717483.44</v>
      </c>
      <c r="O91" s="17">
        <v>6794854666019099</v>
      </c>
      <c r="P91" s="17">
        <v>7.6709197538230416E+16</v>
      </c>
      <c r="Q91" s="17">
        <f>VARP(Raw_Data!$Q$2:$Q$264)</f>
        <v>2.2516541414833039E+22</v>
      </c>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row>
    <row r="92" spans="1:45" ht="15.6" x14ac:dyDescent="0.3">
      <c r="A92" s="15" t="s">
        <v>17</v>
      </c>
      <c r="B92" s="17">
        <v>580150.38010856695</v>
      </c>
      <c r="C92" s="17">
        <v>2.5515560992133666</v>
      </c>
      <c r="D92" s="17">
        <v>10508546201.492533</v>
      </c>
      <c r="E92" s="17">
        <v>1.1915548195265169</v>
      </c>
      <c r="F92" s="17">
        <v>-199557567629.02682</v>
      </c>
      <c r="G92" s="17">
        <v>32741232450.947102</v>
      </c>
      <c r="H92" s="17">
        <v>48276303761.406242</v>
      </c>
      <c r="I92" s="17">
        <v>-32858356213.763153</v>
      </c>
      <c r="J92" s="17">
        <v>176557083599.79172</v>
      </c>
      <c r="K92" s="17">
        <v>-8094.4903889054112</v>
      </c>
      <c r="L92" s="17">
        <v>9.319829675354363</v>
      </c>
      <c r="M92" s="17">
        <v>-1.6268275862068973</v>
      </c>
      <c r="N92" s="17">
        <v>-20235.538952662722</v>
      </c>
      <c r="O92" s="17">
        <v>-123721.17698979587</v>
      </c>
      <c r="P92" s="17">
        <v>-12048.636941548393</v>
      </c>
      <c r="Q92" s="17">
        <v>-40036812640.603554</v>
      </c>
      <c r="R92" s="17">
        <f>VARP(Raw_Data!$R$2:$R$264)</f>
        <v>30.119117712671017</v>
      </c>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row>
    <row r="93" spans="1:45" ht="15.6" x14ac:dyDescent="0.3">
      <c r="A93" s="15" t="s">
        <v>18</v>
      </c>
      <c r="B93" s="17">
        <v>-918130.20639289008</v>
      </c>
      <c r="C93" s="17">
        <v>328.3326662222222</v>
      </c>
      <c r="D93" s="17">
        <v>34448832250.69593</v>
      </c>
      <c r="E93" s="17">
        <v>118.54801944888885</v>
      </c>
      <c r="F93" s="17">
        <v>-1789866508511.7329</v>
      </c>
      <c r="G93" s="17">
        <v>-1878817210396.833</v>
      </c>
      <c r="H93" s="17">
        <v>-2063812514017.9805</v>
      </c>
      <c r="I93" s="17">
        <v>-1171000022909.4463</v>
      </c>
      <c r="J93" s="17">
        <v>-5929872150532.0811</v>
      </c>
      <c r="K93" s="17">
        <v>-232748.87481777777</v>
      </c>
      <c r="L93" s="17">
        <v>33.763508027210882</v>
      </c>
      <c r="M93" s="17">
        <v>81.346534289504859</v>
      </c>
      <c r="N93" s="17">
        <v>663125.57510759356</v>
      </c>
      <c r="O93" s="17">
        <v>6399700.9086585892</v>
      </c>
      <c r="P93" s="17">
        <v>-2268609.7778014364</v>
      </c>
      <c r="Q93" s="17">
        <v>-1186346726557.0657</v>
      </c>
      <c r="R93" s="17">
        <v>26.759639692875155</v>
      </c>
      <c r="S93" s="17">
        <f>VARP(Raw_Data!$S$2:$S$264)</f>
        <v>1243.6866077511133</v>
      </c>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row>
    <row r="94" spans="1:45" ht="15.6" x14ac:dyDescent="0.3">
      <c r="A94" s="15" t="s">
        <v>19</v>
      </c>
      <c r="B94" s="17">
        <v>595358.81914617354</v>
      </c>
      <c r="C94" s="17">
        <v>23.725508100331535</v>
      </c>
      <c r="D94" s="17">
        <v>2956327835.6380239</v>
      </c>
      <c r="E94" s="17">
        <v>16.682436771543546</v>
      </c>
      <c r="F94" s="17">
        <v>-204090343525.69122</v>
      </c>
      <c r="G94" s="17">
        <v>-188300342708.23016</v>
      </c>
      <c r="H94" s="17">
        <v>-211617009284.18396</v>
      </c>
      <c r="I94" s="17">
        <v>-139271898138.34003</v>
      </c>
      <c r="J94" s="17">
        <v>-697852419222.46582</v>
      </c>
      <c r="K94" s="17">
        <v>-25939.48074425778</v>
      </c>
      <c r="L94" s="17">
        <v>1.5334371923719721</v>
      </c>
      <c r="M94" s="17">
        <v>20.215816809406299</v>
      </c>
      <c r="N94" s="17">
        <v>171660.62653986766</v>
      </c>
      <c r="O94" s="17">
        <v>1643499.4435375708</v>
      </c>
      <c r="P94" s="17">
        <v>-269273.37986280618</v>
      </c>
      <c r="Q94" s="17">
        <v>-142019335065.09464</v>
      </c>
      <c r="R94" s="17">
        <v>-7.7503829565734668</v>
      </c>
      <c r="S94" s="17">
        <v>100.27108196242786</v>
      </c>
      <c r="T94" s="17">
        <f>VARP(Raw_Data!$T$2:$T$264)</f>
        <v>112.32636880123366</v>
      </c>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row>
    <row r="95" spans="1:45" ht="15.6" x14ac:dyDescent="0.3">
      <c r="A95" s="15" t="s">
        <v>20</v>
      </c>
      <c r="B95" s="17">
        <v>6127043296819.9414</v>
      </c>
      <c r="C95" s="17">
        <v>-9513756.7267997246</v>
      </c>
      <c r="D95" s="17">
        <v>-4.9236338438232678E+17</v>
      </c>
      <c r="E95" s="17">
        <v>-1251122.4237293629</v>
      </c>
      <c r="F95" s="17">
        <v>9.6738844812679027E+17</v>
      </c>
      <c r="G95" s="17">
        <v>2.6245553984147077E+18</v>
      </c>
      <c r="H95" s="17">
        <v>2.7646237701676416E+18</v>
      </c>
      <c r="I95" s="17">
        <v>6.5498899592238464E+17</v>
      </c>
      <c r="J95" s="17">
        <v>8.5905827282217554E+18</v>
      </c>
      <c r="K95" s="17">
        <v>24385368151.525345</v>
      </c>
      <c r="L95" s="17">
        <v>-904388.92497736507</v>
      </c>
      <c r="M95" s="17">
        <v>-2108875.0787752643</v>
      </c>
      <c r="N95" s="17">
        <v>-9143517673.0834274</v>
      </c>
      <c r="O95" s="17">
        <v>481075581142.68158</v>
      </c>
      <c r="P95" s="17">
        <v>4480828848814.6777</v>
      </c>
      <c r="Q95" s="17">
        <v>1.060987532750094E+18</v>
      </c>
      <c r="R95" s="17">
        <v>-1656991.3594831433</v>
      </c>
      <c r="S95" s="17">
        <v>-31251303.079724658</v>
      </c>
      <c r="T95" s="17">
        <v>-3812359.8493575202</v>
      </c>
      <c r="U95" s="17">
        <f>VARP(Raw_Data!$U$2:$U$264)</f>
        <v>72501148178797.531</v>
      </c>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row>
    <row r="96" spans="1:45" ht="15.6" x14ac:dyDescent="0.3">
      <c r="A96" s="15" t="s">
        <v>21</v>
      </c>
      <c r="B96" s="17">
        <v>15562540493666.201</v>
      </c>
      <c r="C96" s="17">
        <v>-41310380.224656031</v>
      </c>
      <c r="D96" s="17">
        <v>-5.7655375619772493E+17</v>
      </c>
      <c r="E96" s="17">
        <v>-3463145.6518285628</v>
      </c>
      <c r="F96" s="17">
        <v>1.9574719256925238E+18</v>
      </c>
      <c r="G96" s="17">
        <v>6.6073553088923689E+18</v>
      </c>
      <c r="H96" s="17">
        <v>7.1650665304687176E+18</v>
      </c>
      <c r="I96" s="17">
        <v>2.3096647768918502E+18</v>
      </c>
      <c r="J96" s="17">
        <v>2.4653561086602535E+19</v>
      </c>
      <c r="K96" s="17">
        <v>57087606072.420555</v>
      </c>
      <c r="L96" s="17">
        <v>-2920431.2169018462</v>
      </c>
      <c r="M96" s="17">
        <v>-8458708.1050234865</v>
      </c>
      <c r="N96" s="17">
        <v>13445331948.660265</v>
      </c>
      <c r="O96" s="17">
        <v>1378715635569.8372</v>
      </c>
      <c r="P96" s="17">
        <v>10577369343451.182</v>
      </c>
      <c r="Q96" s="17">
        <v>2.7443357905202534E+18</v>
      </c>
      <c r="R96" s="17">
        <v>1157837.6084133522</v>
      </c>
      <c r="S96" s="17">
        <v>-106032381.90782364</v>
      </c>
      <c r="T96" s="17">
        <v>-12645157.675818155</v>
      </c>
      <c r="U96" s="17">
        <v>122431041011349.63</v>
      </c>
      <c r="V96" s="17">
        <f>VARP(Raw_Data!$V$2:$V$264)</f>
        <v>378784048391842.56</v>
      </c>
      <c r="W96" s="17"/>
      <c r="X96" s="17"/>
      <c r="Y96" s="17"/>
      <c r="Z96" s="17"/>
      <c r="AA96" s="17"/>
      <c r="AB96" s="17"/>
      <c r="AC96" s="17"/>
      <c r="AD96" s="17"/>
      <c r="AE96" s="17"/>
      <c r="AF96" s="17"/>
      <c r="AG96" s="17"/>
      <c r="AH96" s="17"/>
      <c r="AI96" s="17"/>
      <c r="AJ96" s="17"/>
      <c r="AK96" s="17"/>
      <c r="AL96" s="17"/>
      <c r="AM96" s="17"/>
      <c r="AN96" s="17"/>
      <c r="AO96" s="17"/>
      <c r="AP96" s="17"/>
      <c r="AQ96" s="17"/>
      <c r="AR96" s="17"/>
      <c r="AS96" s="17"/>
    </row>
    <row r="97" spans="1:45" ht="15.6" x14ac:dyDescent="0.3">
      <c r="A97" s="15" t="s">
        <v>22</v>
      </c>
      <c r="B97" s="17">
        <v>269556.95937324065</v>
      </c>
      <c r="C97" s="17">
        <v>6.452350347156878E-2</v>
      </c>
      <c r="D97" s="17">
        <v>23144711831.404327</v>
      </c>
      <c r="E97" s="17">
        <v>5.4298375398761518</v>
      </c>
      <c r="F97" s="17">
        <v>-232427530521.19461</v>
      </c>
      <c r="G97" s="17">
        <v>14663164139.51968</v>
      </c>
      <c r="H97" s="17">
        <v>43003144720.069496</v>
      </c>
      <c r="I97" s="17">
        <v>-12217698602.036057</v>
      </c>
      <c r="J97" s="17">
        <v>328115743638.58167</v>
      </c>
      <c r="K97" s="17">
        <v>-6790.1699427659987</v>
      </c>
      <c r="L97" s="17">
        <v>8.1868113154438014</v>
      </c>
      <c r="M97" s="17">
        <v>4.8978328554901625</v>
      </c>
      <c r="N97" s="17">
        <v>-22441.639531279056</v>
      </c>
      <c r="O97" s="17">
        <v>-235787.59105752595</v>
      </c>
      <c r="P97" s="17">
        <v>-124608.10420810654</v>
      </c>
      <c r="Q97" s="17">
        <v>-34524757158.003418</v>
      </c>
      <c r="R97" s="17">
        <v>10.019422239810055</v>
      </c>
      <c r="S97" s="17">
        <v>50.161407768812154</v>
      </c>
      <c r="T97" s="17">
        <v>-4.5813464064552445</v>
      </c>
      <c r="U97" s="17">
        <v>-5472759.0561950086</v>
      </c>
      <c r="V97" s="17">
        <v>4102674.4261915996</v>
      </c>
      <c r="W97" s="17">
        <f>VARP(Raw_Data!$W$2:$W$264)</f>
        <v>64.653562112966696</v>
      </c>
      <c r="X97" s="17"/>
      <c r="Y97" s="17"/>
      <c r="Z97" s="17"/>
      <c r="AA97" s="17"/>
      <c r="AB97" s="17"/>
      <c r="AC97" s="17"/>
      <c r="AD97" s="17"/>
      <c r="AE97" s="17"/>
      <c r="AF97" s="17"/>
      <c r="AG97" s="17"/>
      <c r="AH97" s="17"/>
      <c r="AI97" s="17"/>
      <c r="AJ97" s="17"/>
      <c r="AK97" s="17"/>
      <c r="AL97" s="17"/>
      <c r="AM97" s="17"/>
      <c r="AN97" s="17"/>
      <c r="AO97" s="17"/>
      <c r="AP97" s="17"/>
      <c r="AQ97" s="17"/>
      <c r="AR97" s="17"/>
      <c r="AS97" s="17"/>
    </row>
    <row r="98" spans="1:45" ht="15.6" x14ac:dyDescent="0.3">
      <c r="A98" s="15" t="s">
        <v>23</v>
      </c>
      <c r="B98" s="17">
        <v>57912300032390.914</v>
      </c>
      <c r="C98" s="17">
        <v>-47144699.434707992</v>
      </c>
      <c r="D98" s="17">
        <v>-3.4038700623344659E+17</v>
      </c>
      <c r="E98" s="17">
        <v>-8218441.0875959899</v>
      </c>
      <c r="F98" s="17">
        <v>2.8422380511014072E+18</v>
      </c>
      <c r="G98" s="17">
        <v>1.3143014447446362E+19</v>
      </c>
      <c r="H98" s="17">
        <v>1.4801625584658455E+19</v>
      </c>
      <c r="I98" s="17">
        <v>4.2145329595098737E+18</v>
      </c>
      <c r="J98" s="17">
        <v>5.4398400188957475E+19</v>
      </c>
      <c r="K98" s="17">
        <v>-13646946358.387043</v>
      </c>
      <c r="L98" s="17">
        <v>23907652.358819228</v>
      </c>
      <c r="M98" s="17">
        <v>-27466918.129242685</v>
      </c>
      <c r="N98" s="17">
        <v>1261264952812.0569</v>
      </c>
      <c r="O98" s="17">
        <v>20986912935821.125</v>
      </c>
      <c r="P98" s="17">
        <v>21686273819553.008</v>
      </c>
      <c r="Q98" s="17">
        <v>4.5171997080666271E+18</v>
      </c>
      <c r="R98" s="17">
        <v>70129306.161502764</v>
      </c>
      <c r="S98" s="17">
        <v>9761722.5908294115</v>
      </c>
      <c r="T98" s="17">
        <v>-5578004.5875907214</v>
      </c>
      <c r="U98" s="17">
        <v>114863321173239.94</v>
      </c>
      <c r="V98" s="17">
        <v>737068019078188.75</v>
      </c>
      <c r="W98" s="17">
        <v>124356854.55924666</v>
      </c>
      <c r="X98" s="17">
        <f>VARP(Raw_Data!$X$2:$X$264)</f>
        <v>4164631595274806.5</v>
      </c>
      <c r="Y98" s="17"/>
      <c r="Z98" s="17"/>
      <c r="AA98" s="17"/>
      <c r="AB98" s="17"/>
      <c r="AC98" s="17"/>
      <c r="AD98" s="17"/>
      <c r="AE98" s="17"/>
      <c r="AF98" s="17"/>
      <c r="AG98" s="17"/>
      <c r="AH98" s="17"/>
      <c r="AI98" s="17"/>
      <c r="AJ98" s="17"/>
      <c r="AK98" s="17"/>
      <c r="AL98" s="17"/>
      <c r="AM98" s="17"/>
      <c r="AN98" s="17"/>
      <c r="AO98" s="17"/>
      <c r="AP98" s="17"/>
      <c r="AQ98" s="17"/>
      <c r="AR98" s="17"/>
      <c r="AS98" s="17"/>
    </row>
    <row r="99" spans="1:45" ht="15.6" x14ac:dyDescent="0.3">
      <c r="A99" s="15" t="s">
        <v>24</v>
      </c>
      <c r="B99" s="17">
        <v>273805.95782459155</v>
      </c>
      <c r="C99" s="17">
        <v>-106.66432962962959</v>
      </c>
      <c r="D99" s="17">
        <v>-10494591695.734415</v>
      </c>
      <c r="E99" s="17">
        <v>-48.31354433185188</v>
      </c>
      <c r="F99" s="17">
        <v>663472779721.45703</v>
      </c>
      <c r="G99" s="17">
        <v>661447868295.5741</v>
      </c>
      <c r="H99" s="17">
        <v>732013428487.50952</v>
      </c>
      <c r="I99" s="17">
        <v>428569922816.1875</v>
      </c>
      <c r="J99" s="17">
        <v>2203509042936.71</v>
      </c>
      <c r="K99" s="17">
        <v>81166.22209777782</v>
      </c>
      <c r="L99" s="17">
        <v>-3.8143060090702967</v>
      </c>
      <c r="M99" s="17">
        <v>-50.732037003836666</v>
      </c>
      <c r="N99" s="17">
        <v>-305548.30189319281</v>
      </c>
      <c r="O99" s="17">
        <v>-3045904.7074210551</v>
      </c>
      <c r="P99" s="17">
        <v>888192.32990192657</v>
      </c>
      <c r="Q99" s="17">
        <v>433944128213.7027</v>
      </c>
      <c r="R99" s="17">
        <v>-6.8119113252286505</v>
      </c>
      <c r="S99" s="17">
        <v>-379.58446926814815</v>
      </c>
      <c r="T99" s="17">
        <v>-41.949922958236897</v>
      </c>
      <c r="U99" s="17">
        <v>11282180.533793902</v>
      </c>
      <c r="V99" s="17">
        <v>38415064.116607159</v>
      </c>
      <c r="W99" s="17">
        <v>-11.857102411334212</v>
      </c>
      <c r="X99" s="17">
        <v>14819189.624331599</v>
      </c>
      <c r="Y99" s="17">
        <f>VARP(Raw_Data!$Y$2:$Y$264)</f>
        <v>145.05214091062192</v>
      </c>
      <c r="Z99" s="17"/>
      <c r="AA99" s="17"/>
      <c r="AB99" s="17"/>
      <c r="AC99" s="17"/>
      <c r="AD99" s="17"/>
      <c r="AE99" s="17"/>
      <c r="AF99" s="17"/>
      <c r="AG99" s="17"/>
      <c r="AH99" s="17"/>
      <c r="AI99" s="17"/>
      <c r="AJ99" s="17"/>
      <c r="AK99" s="17"/>
      <c r="AL99" s="17"/>
      <c r="AM99" s="17"/>
      <c r="AN99" s="17"/>
      <c r="AO99" s="17"/>
      <c r="AP99" s="17"/>
      <c r="AQ99" s="17"/>
      <c r="AR99" s="17"/>
      <c r="AS99" s="17"/>
    </row>
    <row r="100" spans="1:45" ht="15.6" x14ac:dyDescent="0.3">
      <c r="A100" s="15" t="s">
        <v>25</v>
      </c>
      <c r="B100" s="17">
        <v>2.4014830628162112E+16</v>
      </c>
      <c r="C100" s="17">
        <v>-49584864225.155716</v>
      </c>
      <c r="D100" s="17">
        <v>-1.5480490858043406E+21</v>
      </c>
      <c r="E100" s="17">
        <v>-10346985478.65052</v>
      </c>
      <c r="F100" s="17">
        <v>4.5399777064293211E+21</v>
      </c>
      <c r="G100" s="17">
        <v>9.1532586748722115E+21</v>
      </c>
      <c r="H100" s="17">
        <v>9.707197537622046E+21</v>
      </c>
      <c r="I100" s="17">
        <v>2.4598622054622078E+21</v>
      </c>
      <c r="J100" s="17">
        <v>3.0489262941699746E+22</v>
      </c>
      <c r="K100" s="17">
        <v>96413274865709.328</v>
      </c>
      <c r="L100" s="17">
        <v>-3828542815.9169536</v>
      </c>
      <c r="M100" s="17">
        <v>-11087615001.406033</v>
      </c>
      <c r="N100" s="17">
        <v>-6862825296054.0137</v>
      </c>
      <c r="O100" s="17">
        <v>2220801683320392.8</v>
      </c>
      <c r="P100" s="17">
        <v>1.5313879348930778E+16</v>
      </c>
      <c r="Q100" s="17">
        <v>3.8722279913943151E+21</v>
      </c>
      <c r="R100" s="17">
        <v>-3808221189.3460135</v>
      </c>
      <c r="S100" s="17">
        <v>-159031557316.67822</v>
      </c>
      <c r="T100" s="17">
        <v>-20798242553.57143</v>
      </c>
      <c r="U100" s="17">
        <v>2.6244077665470288E+17</v>
      </c>
      <c r="V100" s="17">
        <v>4.1741556021988525E+17</v>
      </c>
      <c r="W100" s="17">
        <v>-9047816651.2596684</v>
      </c>
      <c r="X100" s="17">
        <v>6.9974911123213517E+17</v>
      </c>
      <c r="Y100" s="17">
        <v>57374941870.034592</v>
      </c>
      <c r="Z100" s="17">
        <f>VARP(Raw_Data!$Z$2:$Z$264)</f>
        <v>8.6680609444972331E+20</v>
      </c>
      <c r="AA100" s="17"/>
      <c r="AB100" s="17"/>
      <c r="AC100" s="17"/>
      <c r="AD100" s="17"/>
      <c r="AE100" s="17"/>
      <c r="AF100" s="17"/>
      <c r="AG100" s="17"/>
      <c r="AH100" s="17"/>
      <c r="AI100" s="17"/>
      <c r="AJ100" s="17"/>
      <c r="AK100" s="17"/>
      <c r="AL100" s="17"/>
      <c r="AM100" s="17"/>
      <c r="AN100" s="17"/>
      <c r="AO100" s="17"/>
      <c r="AP100" s="17"/>
      <c r="AQ100" s="17"/>
      <c r="AR100" s="17"/>
      <c r="AS100" s="17"/>
    </row>
    <row r="101" spans="1:45" ht="15.6" x14ac:dyDescent="0.3">
      <c r="A101" s="15" t="s">
        <v>26</v>
      </c>
      <c r="B101" s="17">
        <v>41887.259933884285</v>
      </c>
      <c r="C101" s="17">
        <v>2.1837231772268133</v>
      </c>
      <c r="D101" s="17">
        <v>-2766742900.7137337</v>
      </c>
      <c r="E101" s="17">
        <v>-1.6157452525252542</v>
      </c>
      <c r="F101" s="17">
        <v>-16396359335.271545</v>
      </c>
      <c r="G101" s="17">
        <v>12023981986.703394</v>
      </c>
      <c r="H101" s="17">
        <v>14309686917.447186</v>
      </c>
      <c r="I101" s="17">
        <v>-8710108990.1010208</v>
      </c>
      <c r="J101" s="17">
        <v>37982760896.2351</v>
      </c>
      <c r="K101" s="17">
        <v>-677.83830119375534</v>
      </c>
      <c r="L101" s="17">
        <v>0.18186189164371028</v>
      </c>
      <c r="M101" s="17">
        <v>-0.72367263671874971</v>
      </c>
      <c r="N101" s="17">
        <v>-7710.4281250000004</v>
      </c>
      <c r="O101" s="17">
        <v>-90777.182590029493</v>
      </c>
      <c r="P101" s="17">
        <v>-69.386030636527281</v>
      </c>
      <c r="Q101" s="17">
        <v>-6290554042.4242449</v>
      </c>
      <c r="R101" s="17">
        <v>-0.33613876215036692</v>
      </c>
      <c r="S101" s="17">
        <v>1.8423940312213063</v>
      </c>
      <c r="T101" s="17">
        <v>0.79813150654372367</v>
      </c>
      <c r="U101" s="17">
        <v>234981.36529759169</v>
      </c>
      <c r="V101" s="17">
        <v>266665.92249770398</v>
      </c>
      <c r="W101" s="17">
        <v>-1.4686758714350385</v>
      </c>
      <c r="X101" s="17">
        <v>6185882.2671771524</v>
      </c>
      <c r="Y101" s="17">
        <v>1.0508770064279134</v>
      </c>
      <c r="Z101" s="17">
        <v>2766229607.5114789</v>
      </c>
      <c r="AA101" s="17">
        <f>VARP(Raw_Data!$AA$2:$AA$264)</f>
        <v>5.5322744536271857</v>
      </c>
      <c r="AB101" s="17"/>
      <c r="AC101" s="17"/>
      <c r="AD101" s="17"/>
      <c r="AE101" s="17"/>
      <c r="AF101" s="17"/>
      <c r="AG101" s="17"/>
      <c r="AH101" s="17"/>
      <c r="AI101" s="17"/>
      <c r="AJ101" s="17"/>
      <c r="AK101" s="17"/>
      <c r="AL101" s="17"/>
      <c r="AM101" s="17"/>
      <c r="AN101" s="17"/>
      <c r="AO101" s="17"/>
      <c r="AP101" s="17"/>
      <c r="AQ101" s="17"/>
      <c r="AR101" s="17"/>
      <c r="AS101" s="17"/>
    </row>
    <row r="102" spans="1:45" ht="15.6" x14ac:dyDescent="0.3">
      <c r="A102" s="15" t="s">
        <v>27</v>
      </c>
      <c r="B102" s="17">
        <v>1.2862936113247283E+17</v>
      </c>
      <c r="C102" s="17">
        <v>-132229721127.16051</v>
      </c>
      <c r="D102" s="17">
        <v>-3.6076838231671093E+21</v>
      </c>
      <c r="E102" s="17">
        <v>11719293105.049726</v>
      </c>
      <c r="F102" s="17">
        <v>1.2877070523462574E+22</v>
      </c>
      <c r="G102" s="17">
        <v>3.5629914476034482E+22</v>
      </c>
      <c r="H102" s="17">
        <v>3.7748565756986415E+22</v>
      </c>
      <c r="I102" s="17">
        <v>1.051991571091659E+22</v>
      </c>
      <c r="J102" s="17">
        <v>1.2308403529458329E+23</v>
      </c>
      <c r="K102" s="17">
        <v>253975632839934.72</v>
      </c>
      <c r="L102" s="17">
        <v>-26353047543.124161</v>
      </c>
      <c r="M102" s="17">
        <v>-11085450665.282911</v>
      </c>
      <c r="N102" s="17">
        <v>-111403357299421.09</v>
      </c>
      <c r="O102" s="17">
        <v>6709007433999174</v>
      </c>
      <c r="P102" s="17">
        <v>5.7395969755583904E+16</v>
      </c>
      <c r="Q102" s="17">
        <v>1.4043181004421941E+22</v>
      </c>
      <c r="R102" s="17">
        <v>-35514804601.411621</v>
      </c>
      <c r="S102" s="17">
        <v>-430757988161.57416</v>
      </c>
      <c r="T102" s="17">
        <v>-10906215793.124149</v>
      </c>
      <c r="U102" s="17">
        <v>7.7480851970221555E+17</v>
      </c>
      <c r="V102" s="17">
        <v>1.8244468040933087E+18</v>
      </c>
      <c r="W102" s="17">
        <v>-58723003392.804626</v>
      </c>
      <c r="X102" s="17">
        <v>1.9800136679795423E+18</v>
      </c>
      <c r="Y102" s="17">
        <v>106021775057.42445</v>
      </c>
      <c r="Z102" s="17">
        <v>2.3413354379683179E+21</v>
      </c>
      <c r="AA102" s="17">
        <v>-1884090967.5522001</v>
      </c>
      <c r="AB102" s="17">
        <f>VARP(Raw_Data!$AB$2:$AB$264)</f>
        <v>7.2273838629769812E+21</v>
      </c>
      <c r="AC102" s="17"/>
      <c r="AD102" s="17"/>
      <c r="AE102" s="17"/>
      <c r="AF102" s="17"/>
      <c r="AG102" s="17"/>
      <c r="AH102" s="17"/>
      <c r="AI102" s="17"/>
      <c r="AJ102" s="17"/>
      <c r="AK102" s="17"/>
      <c r="AL102" s="17"/>
      <c r="AM102" s="17"/>
      <c r="AN102" s="17"/>
      <c r="AO102" s="17"/>
      <c r="AP102" s="17"/>
      <c r="AQ102" s="17"/>
      <c r="AR102" s="17"/>
      <c r="AS102" s="17"/>
    </row>
    <row r="103" spans="1:45" ht="15.6" x14ac:dyDescent="0.3">
      <c r="A103" s="15" t="s">
        <v>28</v>
      </c>
      <c r="B103" s="17">
        <v>3.5739507229321504E+16</v>
      </c>
      <c r="C103" s="17">
        <v>-27461223734.567902</v>
      </c>
      <c r="D103" s="17">
        <v>7.6090499937681654E+19</v>
      </c>
      <c r="E103" s="17">
        <v>3683124998.2853251</v>
      </c>
      <c r="F103" s="17">
        <v>1.0554872499841999E+21</v>
      </c>
      <c r="G103" s="17">
        <v>3.3055796750119432E+21</v>
      </c>
      <c r="H103" s="17">
        <v>3.5115748712759228E+21</v>
      </c>
      <c r="I103" s="17">
        <v>1.15009560705739E+21</v>
      </c>
      <c r="J103" s="17">
        <v>9.7723415323029841E+21</v>
      </c>
      <c r="K103" s="17">
        <v>34827518227023.316</v>
      </c>
      <c r="L103" s="17">
        <v>-6860588391.6323709</v>
      </c>
      <c r="M103" s="17">
        <v>-3027549652.3668661</v>
      </c>
      <c r="N103" s="17">
        <v>-62009388525519.867</v>
      </c>
      <c r="O103" s="17">
        <v>473917679040710.69</v>
      </c>
      <c r="P103" s="17">
        <v>4527778069935700</v>
      </c>
      <c r="Q103" s="17">
        <v>1.0118402740960051E+21</v>
      </c>
      <c r="R103" s="17">
        <v>-1802723360.4548576</v>
      </c>
      <c r="S103" s="17">
        <v>-67413860833.333313</v>
      </c>
      <c r="T103" s="17">
        <v>529314386.14540702</v>
      </c>
      <c r="U103" s="17">
        <v>2.2389086589166344E+16</v>
      </c>
      <c r="V103" s="17">
        <v>1.4772676750796147E+17</v>
      </c>
      <c r="W103" s="17">
        <v>-8267572502.6958141</v>
      </c>
      <c r="X103" s="17">
        <v>1.7899801169216803E+17</v>
      </c>
      <c r="Y103" s="17">
        <v>12432162630.315489</v>
      </c>
      <c r="Z103" s="17">
        <v>2.5887129968952775E+19</v>
      </c>
      <c r="AA103" s="17">
        <v>-1767424853.4457407</v>
      </c>
      <c r="AB103" s="17">
        <v>1.0072723472962982E+21</v>
      </c>
      <c r="AC103" s="17">
        <f>VARP(Raw_Data!$AC$2:$AC$264)</f>
        <v>4.8495280135562409E+20</v>
      </c>
      <c r="AD103" s="17"/>
      <c r="AE103" s="17"/>
      <c r="AF103" s="17"/>
      <c r="AG103" s="17"/>
      <c r="AH103" s="17"/>
      <c r="AI103" s="17"/>
      <c r="AJ103" s="17"/>
      <c r="AK103" s="17"/>
      <c r="AL103" s="17"/>
      <c r="AM103" s="17"/>
      <c r="AN103" s="17"/>
      <c r="AO103" s="17"/>
      <c r="AP103" s="17"/>
      <c r="AQ103" s="17"/>
      <c r="AR103" s="17"/>
      <c r="AS103" s="17"/>
    </row>
    <row r="104" spans="1:45" ht="15.6" x14ac:dyDescent="0.3">
      <c r="A104" s="15" t="s">
        <v>29</v>
      </c>
      <c r="B104" s="17">
        <v>1.9532417555059488E+16</v>
      </c>
      <c r="C104" s="17">
        <v>-69642943500</v>
      </c>
      <c r="D104" s="17">
        <v>-5.1184990207322443E+20</v>
      </c>
      <c r="E104" s="17">
        <v>10633082567.129631</v>
      </c>
      <c r="F104" s="17">
        <v>1.9729271437409103E+21</v>
      </c>
      <c r="G104" s="17">
        <v>1.1748657733578663E+22</v>
      </c>
      <c r="H104" s="17">
        <v>1.2602780504378713E+22</v>
      </c>
      <c r="I104" s="17">
        <v>4.8222912553948419E+21</v>
      </c>
      <c r="J104" s="17">
        <v>4.6430914984967838E+22</v>
      </c>
      <c r="K104" s="17">
        <v>107612795208333.28</v>
      </c>
      <c r="L104" s="17">
        <v>-17583008032.407391</v>
      </c>
      <c r="M104" s="17">
        <v>-3846165898.5761824</v>
      </c>
      <c r="N104" s="17">
        <v>-80067005803520.828</v>
      </c>
      <c r="O104" s="17">
        <v>210949050636292.56</v>
      </c>
      <c r="P104" s="17">
        <v>1.9233772437472E+16</v>
      </c>
      <c r="Q104" s="17">
        <v>5.3114594452840047E+21</v>
      </c>
      <c r="R104" s="17">
        <v>-15332551244.975986</v>
      </c>
      <c r="S104" s="17">
        <v>-197349057300.92593</v>
      </c>
      <c r="T104" s="17">
        <v>-14779408310.185156</v>
      </c>
      <c r="U104" s="17">
        <v>1.8590117439551501E+17</v>
      </c>
      <c r="V104" s="17">
        <v>7.6840271776988467E+17</v>
      </c>
      <c r="W104" s="17">
        <v>-13947045815.116159</v>
      </c>
      <c r="X104" s="17">
        <v>6.672387518838217E+17</v>
      </c>
      <c r="Y104" s="17">
        <v>55479841263.888817</v>
      </c>
      <c r="Z104" s="17">
        <v>4.6556169556206335E+20</v>
      </c>
      <c r="AA104" s="17">
        <v>-5949098583.4722128</v>
      </c>
      <c r="AB104" s="17">
        <v>2.1030270737699323E+21</v>
      </c>
      <c r="AC104" s="17">
        <v>2.4002241204675943E+20</v>
      </c>
      <c r="AD104" s="17">
        <f>VARP(Raw_Data!$AD$2:$AD$264)</f>
        <v>1.0888507463398377E+21</v>
      </c>
      <c r="AE104" s="17"/>
      <c r="AF104" s="17"/>
      <c r="AG104" s="17"/>
      <c r="AH104" s="17"/>
      <c r="AI104" s="17"/>
      <c r="AJ104" s="17"/>
      <c r="AK104" s="17"/>
      <c r="AL104" s="17"/>
      <c r="AM104" s="17"/>
      <c r="AN104" s="17"/>
      <c r="AO104" s="17"/>
      <c r="AP104" s="17"/>
      <c r="AQ104" s="17"/>
      <c r="AR104" s="17"/>
      <c r="AS104" s="17"/>
    </row>
    <row r="105" spans="1:45" ht="15.6" x14ac:dyDescent="0.3">
      <c r="A105" s="15" t="s">
        <v>30</v>
      </c>
      <c r="B105" s="17">
        <v>1.543397877031336E+17</v>
      </c>
      <c r="C105" s="17">
        <v>-97286541448.615616</v>
      </c>
      <c r="D105" s="17">
        <v>-3.086830024956743E+21</v>
      </c>
      <c r="E105" s="17">
        <v>4842818763.8221617</v>
      </c>
      <c r="F105" s="17">
        <v>1.2409442178032248E+22</v>
      </c>
      <c r="G105" s="17">
        <v>2.8007209273598958E+22</v>
      </c>
      <c r="H105" s="17">
        <v>2.9516885159128318E+22</v>
      </c>
      <c r="I105" s="17">
        <v>7.0596385751140045E+21</v>
      </c>
      <c r="J105" s="17">
        <v>8.8253392119339327E+22</v>
      </c>
      <c r="K105" s="17">
        <v>193542119081229.78</v>
      </c>
      <c r="L105" s="17">
        <v>-15666742195.912308</v>
      </c>
      <c r="M105" s="17">
        <v>-10805789005.061739</v>
      </c>
      <c r="N105" s="17">
        <v>-102514345329223.52</v>
      </c>
      <c r="O105" s="17">
        <v>7256859612455702</v>
      </c>
      <c r="P105" s="17">
        <v>4.37832393330222E+16</v>
      </c>
      <c r="Q105" s="17">
        <v>1.0015017979573264E+22</v>
      </c>
      <c r="R105" s="17">
        <v>-24997737567.499989</v>
      </c>
      <c r="S105" s="17">
        <v>-317714814018.578</v>
      </c>
      <c r="T105" s="17">
        <v>4576321919.2069244</v>
      </c>
      <c r="U105" s="17">
        <v>6.2681874587358976E+17</v>
      </c>
      <c r="V105" s="17">
        <v>1.2228643028776556E+18</v>
      </c>
      <c r="W105" s="17">
        <v>-51883225260.000023</v>
      </c>
      <c r="X105" s="17">
        <v>1.5386308254557622E+18</v>
      </c>
      <c r="Y105" s="17">
        <v>67306676103.974106</v>
      </c>
      <c r="Z105" s="17">
        <v>1.9408507895406443E+21</v>
      </c>
      <c r="AA105" s="17">
        <v>2066633102.636996</v>
      </c>
      <c r="AB105" s="17">
        <v>6.3404099931914539E+21</v>
      </c>
      <c r="AC105" s="17">
        <v>1.3286566422928302E+21</v>
      </c>
      <c r="AD105" s="17">
        <v>1.2615732767649691E+21</v>
      </c>
      <c r="AE105" s="17">
        <f>VARP(Raw_Data!$AE$2:$AE$264)</f>
        <v>6.6584520640825351E+21</v>
      </c>
      <c r="AF105" s="17"/>
      <c r="AG105" s="17"/>
      <c r="AH105" s="17"/>
      <c r="AI105" s="17"/>
      <c r="AJ105" s="17"/>
      <c r="AK105" s="17"/>
      <c r="AL105" s="17"/>
      <c r="AM105" s="17"/>
      <c r="AN105" s="17"/>
      <c r="AO105" s="17"/>
      <c r="AP105" s="17"/>
      <c r="AQ105" s="17"/>
      <c r="AR105" s="17"/>
      <c r="AS105" s="17"/>
    </row>
    <row r="106" spans="1:45" ht="15.6" x14ac:dyDescent="0.3">
      <c r="A106" s="15" t="s">
        <v>31</v>
      </c>
      <c r="B106" s="17">
        <v>8.5099757192039762E+18</v>
      </c>
      <c r="C106" s="17">
        <v>-8447163470467.5244</v>
      </c>
      <c r="D106" s="17">
        <v>5.9647872473019698E+20</v>
      </c>
      <c r="E106" s="17">
        <v>-863316483391.00842</v>
      </c>
      <c r="F106" s="17">
        <v>4.6819036250738562E+22</v>
      </c>
      <c r="G106" s="17">
        <v>5.6610296675065961E+23</v>
      </c>
      <c r="H106" s="17">
        <v>5.8362580933386645E+23</v>
      </c>
      <c r="I106" s="17">
        <v>8.624048120055448E+22</v>
      </c>
      <c r="J106" s="17">
        <v>1.1222251383263981E+24</v>
      </c>
      <c r="K106" s="17">
        <v>2990425839572430.5</v>
      </c>
      <c r="L106" s="17">
        <v>2641786150076.8423</v>
      </c>
      <c r="M106" s="17">
        <v>-1679878184375.8374</v>
      </c>
      <c r="N106" s="17">
        <v>-9172558991870312</v>
      </c>
      <c r="O106" s="17">
        <v>2.9147864335968013E+17</v>
      </c>
      <c r="P106" s="17">
        <v>4.4635336353805485E+17</v>
      </c>
      <c r="Q106" s="17">
        <v>7.1813213878563576E+22</v>
      </c>
      <c r="R106" s="17">
        <v>-84359045826.833359</v>
      </c>
      <c r="S106" s="17">
        <v>-19300049680839.059</v>
      </c>
      <c r="T106" s="17">
        <v>5573689274626.3008</v>
      </c>
      <c r="U106" s="17">
        <v>4.367293661548097E+18</v>
      </c>
      <c r="V106" s="17">
        <v>9.4068948657995366E+18</v>
      </c>
      <c r="W106" s="17">
        <v>1201529851109.7097</v>
      </c>
      <c r="X106" s="17">
        <v>3.6609427172665311E+19</v>
      </c>
      <c r="Y106" s="17">
        <v>3756184685649.6699</v>
      </c>
      <c r="Z106" s="17">
        <v>1.5982191655592829E+22</v>
      </c>
      <c r="AA106" s="17">
        <v>1540520198817.9348</v>
      </c>
      <c r="AB106" s="17">
        <v>2.610888481607697E+23</v>
      </c>
      <c r="AC106" s="17">
        <v>9.7054830931252605E+22</v>
      </c>
      <c r="AD106" s="17">
        <v>1.9025145753717426E+22</v>
      </c>
      <c r="AE106" s="17">
        <v>3.5998006175108985E+23</v>
      </c>
      <c r="AF106" s="17">
        <f>VARP(Raw_Data!$AF$2:$AF$264)</f>
        <v>3.1913578182712558E+25</v>
      </c>
      <c r="AG106" s="17"/>
      <c r="AH106" s="17"/>
      <c r="AI106" s="17"/>
      <c r="AJ106" s="17"/>
      <c r="AK106" s="17"/>
      <c r="AL106" s="17"/>
      <c r="AM106" s="17"/>
      <c r="AN106" s="17"/>
      <c r="AO106" s="17"/>
      <c r="AP106" s="17"/>
      <c r="AQ106" s="17"/>
      <c r="AR106" s="17"/>
      <c r="AS106" s="17"/>
    </row>
    <row r="107" spans="1:45" ht="15.6" x14ac:dyDescent="0.3">
      <c r="A107" s="15" t="s">
        <v>32</v>
      </c>
      <c r="B107" s="17">
        <v>1668424925389.1663</v>
      </c>
      <c r="C107" s="17">
        <v>-3719361.2228665873</v>
      </c>
      <c r="D107" s="17">
        <v>-7.4610160861967568E+16</v>
      </c>
      <c r="E107" s="17">
        <v>-465527.9501502405</v>
      </c>
      <c r="F107" s="17">
        <v>2.0550857170654179E+17</v>
      </c>
      <c r="G107" s="17">
        <v>6.0323732559991309E+17</v>
      </c>
      <c r="H107" s="17">
        <v>6.4484825312644339E+17</v>
      </c>
      <c r="I107" s="17">
        <v>2.0049100612411843E+17</v>
      </c>
      <c r="J107" s="17">
        <v>2.2346077931339756E+18</v>
      </c>
      <c r="K107" s="17">
        <v>5761857961.1329479</v>
      </c>
      <c r="L107" s="17">
        <v>-168667.66667508401</v>
      </c>
      <c r="M107" s="17">
        <v>-883349.62523575604</v>
      </c>
      <c r="N107" s="17">
        <v>1513316473.9506691</v>
      </c>
      <c r="O107" s="17">
        <v>161802062300.99741</v>
      </c>
      <c r="P107" s="17">
        <v>1031260388453.6096</v>
      </c>
      <c r="Q107" s="17">
        <v>2.5654697706137952E+17</v>
      </c>
      <c r="R107" s="17">
        <v>-159493.53105468725</v>
      </c>
      <c r="S107" s="17">
        <v>-10228289.237710334</v>
      </c>
      <c r="T107" s="17">
        <v>-1056733.504241681</v>
      </c>
      <c r="U107" s="17">
        <v>14136277259854.725</v>
      </c>
      <c r="V107" s="17">
        <v>34408863625565.848</v>
      </c>
      <c r="W107" s="17">
        <v>-476259.50745918573</v>
      </c>
      <c r="X107" s="17">
        <v>55498095643464.805</v>
      </c>
      <c r="Y107" s="17">
        <v>3776452.0455528838</v>
      </c>
      <c r="Z107" s="17">
        <v>4.7786345250076528E+16</v>
      </c>
      <c r="AA107" s="17">
        <v>88006.028503213907</v>
      </c>
      <c r="AB107" s="17">
        <v>1.8423478038689834E+17</v>
      </c>
      <c r="AC107" s="17">
        <v>1.4038358018895756E+16</v>
      </c>
      <c r="AD107" s="17">
        <v>6.3491665936990728E+16</v>
      </c>
      <c r="AE107" s="17">
        <v>1.3796046316910291E+17</v>
      </c>
      <c r="AF107" s="17">
        <v>2.1014289904576617E+18</v>
      </c>
      <c r="AG107" s="17">
        <f>VARP(Raw_Data!$AG$2:$AG$264)</f>
        <v>3171574936487.2729</v>
      </c>
      <c r="AH107" s="17"/>
      <c r="AI107" s="17"/>
      <c r="AJ107" s="17"/>
      <c r="AK107" s="17"/>
      <c r="AL107" s="17"/>
      <c r="AM107" s="17"/>
      <c r="AN107" s="17"/>
      <c r="AO107" s="17"/>
      <c r="AP107" s="17"/>
      <c r="AQ107" s="17"/>
      <c r="AR107" s="17"/>
      <c r="AS107" s="17"/>
    </row>
    <row r="108" spans="1:45" ht="15.6" x14ac:dyDescent="0.3">
      <c r="A108" s="15" t="s">
        <v>33</v>
      </c>
      <c r="B108" s="17">
        <v>2048271758591.1982</v>
      </c>
      <c r="C108" s="17">
        <v>691122.90774970234</v>
      </c>
      <c r="D108" s="17">
        <v>1.0620258320886744E+16</v>
      </c>
      <c r="E108" s="17">
        <v>-296641.21594827581</v>
      </c>
      <c r="F108" s="17">
        <v>6.6090486094535368E+16</v>
      </c>
      <c r="G108" s="17">
        <v>2.7351934655922874E+17</v>
      </c>
      <c r="H108" s="17">
        <v>2.914016591058832E+17</v>
      </c>
      <c r="I108" s="17">
        <v>8.7391707230806624E+16</v>
      </c>
      <c r="J108" s="17">
        <v>9.2066282515661722E+17</v>
      </c>
      <c r="K108" s="17">
        <v>539530691.34958398</v>
      </c>
      <c r="L108" s="17">
        <v>1191565.1348097501</v>
      </c>
      <c r="M108" s="17">
        <v>-38275.876367984682</v>
      </c>
      <c r="N108" s="17">
        <v>616118935.9765625</v>
      </c>
      <c r="O108" s="17">
        <v>87455046012.692276</v>
      </c>
      <c r="P108" s="17">
        <v>373830105348.80939</v>
      </c>
      <c r="Q108" s="17">
        <v>7.4348069448970864E+16</v>
      </c>
      <c r="R108" s="17">
        <v>-932531.97024793399</v>
      </c>
      <c r="S108" s="17">
        <v>-1870071.1380499408</v>
      </c>
      <c r="T108" s="17">
        <v>404622.80986920331</v>
      </c>
      <c r="U108" s="17">
        <v>1631641675070.9807</v>
      </c>
      <c r="V108" s="17">
        <v>14383731587462.316</v>
      </c>
      <c r="W108" s="17">
        <v>-1075678.8989676042</v>
      </c>
      <c r="X108" s="17">
        <v>15799184179337.451</v>
      </c>
      <c r="Y108" s="17">
        <v>278838.19385552831</v>
      </c>
      <c r="Z108" s="17">
        <v>1705583316787685</v>
      </c>
      <c r="AA108" s="17">
        <v>1037073.4263082945</v>
      </c>
      <c r="AB108" s="17">
        <v>8.8341485534046112E+16</v>
      </c>
      <c r="AC108" s="17">
        <v>2.7154967369663208E+16</v>
      </c>
      <c r="AD108" s="17">
        <v>2.3727415688761232E+16</v>
      </c>
      <c r="AE108" s="17">
        <v>9.5552182310236464E+16</v>
      </c>
      <c r="AF108" s="17">
        <v>7.6154759222090383E+18</v>
      </c>
      <c r="AG108" s="17">
        <v>1406287587847.2205</v>
      </c>
      <c r="AH108" s="17">
        <f>VARP(Raw_Data!$AH$2:$AH$264)</f>
        <v>2372221868300.5879</v>
      </c>
      <c r="AI108" s="17"/>
      <c r="AJ108" s="17"/>
      <c r="AK108" s="17"/>
      <c r="AL108" s="17"/>
      <c r="AM108" s="17"/>
      <c r="AN108" s="17"/>
      <c r="AO108" s="17"/>
      <c r="AP108" s="17"/>
      <c r="AQ108" s="17"/>
      <c r="AR108" s="17"/>
      <c r="AS108" s="17"/>
    </row>
    <row r="109" spans="1:45" ht="15.6" x14ac:dyDescent="0.3">
      <c r="A109" s="15" t="s">
        <v>34</v>
      </c>
      <c r="B109" s="17">
        <v>1223060627279.1301</v>
      </c>
      <c r="C109" s="17">
        <v>-3881546.0743478253</v>
      </c>
      <c r="D109" s="17">
        <v>2.2056981916325632E+16</v>
      </c>
      <c r="E109" s="17">
        <v>992012.6717391304</v>
      </c>
      <c r="F109" s="17">
        <v>1.6035761887386982E+17</v>
      </c>
      <c r="G109" s="17">
        <v>1.0115089358322607E+18</v>
      </c>
      <c r="H109" s="17">
        <v>1.1011135682133911E+18</v>
      </c>
      <c r="I109" s="17">
        <v>4.5785389683426944E+17</v>
      </c>
      <c r="J109" s="17">
        <v>4.3993533695193472E+18</v>
      </c>
      <c r="K109" s="17">
        <v>5792421778.2608671</v>
      </c>
      <c r="L109" s="17">
        <v>-846020.91304347827</v>
      </c>
      <c r="M109" s="17">
        <v>-78309.427993510035</v>
      </c>
      <c r="N109" s="17">
        <v>961981355.44321358</v>
      </c>
      <c r="O109" s="17">
        <v>32666516540.450043</v>
      </c>
      <c r="P109" s="17">
        <v>1642847165149.5635</v>
      </c>
      <c r="Q109" s="17">
        <v>4.4562737900491296E+17</v>
      </c>
      <c r="R109" s="17">
        <v>-851107.21487603325</v>
      </c>
      <c r="S109" s="17">
        <v>-7835787.874782606</v>
      </c>
      <c r="T109" s="17">
        <v>-3207047.8977777781</v>
      </c>
      <c r="U109" s="17">
        <v>8745775050262.125</v>
      </c>
      <c r="V109" s="17">
        <v>77586002026744.453</v>
      </c>
      <c r="W109" s="17">
        <v>1087125.6598161168</v>
      </c>
      <c r="X109" s="17">
        <v>98022411963546.563</v>
      </c>
      <c r="Y109" s="17">
        <v>2981708.8417391325</v>
      </c>
      <c r="Z109" s="17">
        <v>1.2066896623683264E+16</v>
      </c>
      <c r="AA109" s="17">
        <v>-246418.56288804763</v>
      </c>
      <c r="AB109" s="17">
        <v>1.821550204422945E+17</v>
      </c>
      <c r="AC109" s="17">
        <v>2.6982034268691656E+16</v>
      </c>
      <c r="AD109" s="17">
        <v>1.2284991075581854E+17</v>
      </c>
      <c r="AE109" s="17">
        <v>8.46217469753452E+16</v>
      </c>
      <c r="AF109" s="17">
        <v>7.3667998805691392E+17</v>
      </c>
      <c r="AG109" s="17">
        <v>5408243475533.042</v>
      </c>
      <c r="AH109" s="17">
        <v>1461624486934.2341</v>
      </c>
      <c r="AI109" s="17">
        <f>VARP(Raw_Data!$AI$2:$AI$264)</f>
        <v>5838042479316.5215</v>
      </c>
      <c r="AJ109" s="17"/>
      <c r="AK109" s="17"/>
      <c r="AL109" s="17"/>
      <c r="AM109" s="17"/>
      <c r="AN109" s="17"/>
      <c r="AO109" s="17"/>
      <c r="AP109" s="17"/>
      <c r="AQ109" s="17"/>
      <c r="AR109" s="17"/>
      <c r="AS109" s="17"/>
    </row>
    <row r="110" spans="1:45" ht="15.6" x14ac:dyDescent="0.3">
      <c r="A110" s="15" t="s">
        <v>35</v>
      </c>
      <c r="B110" s="17">
        <v>1510565096753.7285</v>
      </c>
      <c r="C110" s="17">
        <v>-1074360.9241833857</v>
      </c>
      <c r="D110" s="17">
        <v>-2.518072685193826E+16</v>
      </c>
      <c r="E110" s="17">
        <v>-677593.27363697311</v>
      </c>
      <c r="F110" s="17">
        <v>1.1320693957966566E+17</v>
      </c>
      <c r="G110" s="17">
        <v>2.3302664231574829E+17</v>
      </c>
      <c r="H110" s="17">
        <v>2.4817195290919222E+17</v>
      </c>
      <c r="I110" s="17">
        <v>6.5429897755756712E+16</v>
      </c>
      <c r="J110" s="17">
        <v>7.5632951332560486E+17</v>
      </c>
      <c r="K110" s="17">
        <v>2084931388.140765</v>
      </c>
      <c r="L110" s="17">
        <v>922518.92772909778</v>
      </c>
      <c r="M110" s="17">
        <v>-837967.42690917582</v>
      </c>
      <c r="N110" s="17">
        <v>2867531910.9876442</v>
      </c>
      <c r="O110" s="17">
        <v>124322817206.72833</v>
      </c>
      <c r="P110" s="17">
        <v>366579022691.27875</v>
      </c>
      <c r="Q110" s="17">
        <v>8.2077098922049024E+16</v>
      </c>
      <c r="R110" s="17">
        <v>-173067.05492578115</v>
      </c>
      <c r="S110" s="17">
        <v>-4611439.0763306674</v>
      </c>
      <c r="T110" s="17">
        <v>285768.19570647524</v>
      </c>
      <c r="U110" s="17">
        <v>4954346557253.5137</v>
      </c>
      <c r="V110" s="17">
        <v>10134822385897.041</v>
      </c>
      <c r="W110" s="17">
        <v>-691584.75038468756</v>
      </c>
      <c r="X110" s="17">
        <v>25520867107341.543</v>
      </c>
      <c r="Y110" s="17">
        <v>1845759.0130889416</v>
      </c>
      <c r="Z110" s="17">
        <v>1.889779933831284E+16</v>
      </c>
      <c r="AA110" s="17">
        <v>552418.79956657474</v>
      </c>
      <c r="AB110" s="17">
        <v>8.6905117610228032E+16</v>
      </c>
      <c r="AC110" s="17">
        <v>1.7546934150247426E+16</v>
      </c>
      <c r="AD110" s="17">
        <v>1.2396045190038656E+16</v>
      </c>
      <c r="AE110" s="17">
        <v>9.67951558245688E+16</v>
      </c>
      <c r="AF110" s="17">
        <v>5.9316394510036306E+18</v>
      </c>
      <c r="AG110" s="17">
        <v>1157811421136.3423</v>
      </c>
      <c r="AH110" s="17">
        <v>2587120341250.3467</v>
      </c>
      <c r="AI110" s="17">
        <v>526287939918.08698</v>
      </c>
      <c r="AJ110" s="17">
        <f>VARP(Raw_Data!$AJ$2:$AJ$264)</f>
        <v>1410175286077.3425</v>
      </c>
      <c r="AK110" s="17"/>
      <c r="AL110" s="17"/>
      <c r="AM110" s="17"/>
      <c r="AN110" s="17"/>
      <c r="AO110" s="17"/>
      <c r="AP110" s="17"/>
      <c r="AQ110" s="17"/>
      <c r="AR110" s="17"/>
      <c r="AS110" s="17"/>
    </row>
    <row r="111" spans="1:45" ht="15.6" x14ac:dyDescent="0.3">
      <c r="A111" s="15" t="s">
        <v>36</v>
      </c>
      <c r="B111" s="17">
        <v>3.1679334229116792E+16</v>
      </c>
      <c r="C111" s="17">
        <v>-3966978656.6096354</v>
      </c>
      <c r="D111" s="17">
        <v>1.6309121375829783E+20</v>
      </c>
      <c r="E111" s="17">
        <v>-42414136663.904778</v>
      </c>
      <c r="F111" s="17">
        <v>1.5611758364110333E+21</v>
      </c>
      <c r="G111" s="17">
        <v>2.045622888234187E+21</v>
      </c>
      <c r="H111" s="17">
        <v>2.2030468409710333E+21</v>
      </c>
      <c r="I111" s="17">
        <v>7.8185925458202919E+20</v>
      </c>
      <c r="J111" s="17">
        <v>4.2667492004741052E+21</v>
      </c>
      <c r="K111" s="17">
        <v>55533241749930.906</v>
      </c>
      <c r="L111" s="17">
        <v>58240780978.37175</v>
      </c>
      <c r="M111" s="17">
        <v>-16940682715.870314</v>
      </c>
      <c r="N111" s="17">
        <v>-16965228995864.957</v>
      </c>
      <c r="O111" s="17">
        <v>70173180564285</v>
      </c>
      <c r="P111" s="17">
        <v>3233650264040376.5</v>
      </c>
      <c r="Q111" s="17">
        <v>4.949311144781476E+20</v>
      </c>
      <c r="R111" s="17">
        <v>-32589836066.025291</v>
      </c>
      <c r="S111" s="17">
        <v>-175627980611.90665</v>
      </c>
      <c r="T111" s="17">
        <v>32932164536.32814</v>
      </c>
      <c r="U111" s="17">
        <v>1.6002576329619164E+16</v>
      </c>
      <c r="V111" s="17">
        <v>5.1658897792071648E+16</v>
      </c>
      <c r="W111" s="17">
        <v>-22648657623.835377</v>
      </c>
      <c r="X111" s="17">
        <v>3.3691621856864724E+16</v>
      </c>
      <c r="Y111" s="17">
        <v>70531940245.352325</v>
      </c>
      <c r="Z111" s="17">
        <v>8.1400674787650339E+19</v>
      </c>
      <c r="AA111" s="17">
        <v>20655942865.447777</v>
      </c>
      <c r="AB111" s="17">
        <v>6.4550627539500925E+20</v>
      </c>
      <c r="AC111" s="17">
        <v>2.6150293657369323E+20</v>
      </c>
      <c r="AD111" s="17">
        <v>1.2000642810599025E+19</v>
      </c>
      <c r="AE111" s="17">
        <v>9.85126519399134E+20</v>
      </c>
      <c r="AF111" s="17">
        <v>8.9760776781693524E+22</v>
      </c>
      <c r="AG111" s="17">
        <v>1.2279481141458746E+16</v>
      </c>
      <c r="AH111" s="17">
        <v>6.3899714923543288E+16</v>
      </c>
      <c r="AI111" s="17">
        <v>-4073589639131239</v>
      </c>
      <c r="AJ111" s="17">
        <v>4.6834952813632304E+16</v>
      </c>
      <c r="AK111" s="17">
        <f>VARP(Raw_Data!$AK$2:$AK$264)</f>
        <v>1.5234868296342808E+21</v>
      </c>
      <c r="AL111" s="17"/>
      <c r="AM111" s="17"/>
      <c r="AN111" s="17"/>
      <c r="AO111" s="17"/>
      <c r="AP111" s="17"/>
      <c r="AQ111" s="17"/>
      <c r="AR111" s="17"/>
      <c r="AS111" s="17"/>
    </row>
    <row r="112" spans="1:45" ht="15.6" x14ac:dyDescent="0.3">
      <c r="A112" s="15" t="s">
        <v>37</v>
      </c>
      <c r="B112" s="17">
        <v>100317288076142.39</v>
      </c>
      <c r="C112" s="17">
        <v>-81560738.974162951</v>
      </c>
      <c r="D112" s="17">
        <v>-6.8691831517239219E+17</v>
      </c>
      <c r="E112" s="17">
        <v>-15428908.08548384</v>
      </c>
      <c r="F112" s="17">
        <v>5.1851214750660608E+18</v>
      </c>
      <c r="G112" s="17">
        <v>2.3425760329474568E+19</v>
      </c>
      <c r="H112" s="17">
        <v>2.6249707198710243E+19</v>
      </c>
      <c r="I112" s="17">
        <v>7.4044304191051028E+18</v>
      </c>
      <c r="J112" s="17">
        <v>9.6758081917985161E+19</v>
      </c>
      <c r="K112" s="17">
        <v>-19474476210.138538</v>
      </c>
      <c r="L112" s="17">
        <v>40909776.066269137</v>
      </c>
      <c r="M112" s="17">
        <v>-52623375.630566895</v>
      </c>
      <c r="N112" s="17">
        <v>2632064039133.314</v>
      </c>
      <c r="O112" s="17">
        <v>42781889871712.164</v>
      </c>
      <c r="P112" s="17">
        <v>40200250986226.727</v>
      </c>
      <c r="Q112" s="17">
        <v>8.0031708782565489E+18</v>
      </c>
      <c r="R112" s="17">
        <v>116923973.07517113</v>
      </c>
      <c r="S112" s="17">
        <v>30532794.058488231</v>
      </c>
      <c r="T112" s="17">
        <v>-6968535.5675635012</v>
      </c>
      <c r="U112" s="17">
        <v>216309533300125.56</v>
      </c>
      <c r="V112" s="17">
        <v>1311540520996145.8</v>
      </c>
      <c r="W112" s="17">
        <v>175148372.18620282</v>
      </c>
      <c r="X112" s="17">
        <v>7881304622114743</v>
      </c>
      <c r="Y112" s="17">
        <v>27560310.72632565</v>
      </c>
      <c r="Z112" s="17">
        <v>1.2279726287057743E+18</v>
      </c>
      <c r="AA112" s="17">
        <v>10871676.475474734</v>
      </c>
      <c r="AB112" s="17">
        <v>4.0042174320066396E+18</v>
      </c>
      <c r="AC112" s="17">
        <v>3.7007306659412992E+17</v>
      </c>
      <c r="AD112" s="17">
        <v>1.3765365053888824E+18</v>
      </c>
      <c r="AE112" s="17">
        <v>3.0730012812165576E+18</v>
      </c>
      <c r="AF112" s="17">
        <v>7.3327769939363611E+19</v>
      </c>
      <c r="AG112" s="17">
        <v>102125538356183.45</v>
      </c>
      <c r="AH112" s="17">
        <v>36869692198764.367</v>
      </c>
      <c r="AI112" s="17">
        <v>192715923711491.09</v>
      </c>
      <c r="AJ112" s="17">
        <v>46850096258557.461</v>
      </c>
      <c r="AK112" s="17">
        <v>1.0293012774737416E+17</v>
      </c>
      <c r="AL112" s="17">
        <f>VARP(Raw_Data!$AL$2:$AL$264)</f>
        <v>1.3758922156798396E+16</v>
      </c>
      <c r="AM112" s="17"/>
      <c r="AN112" s="17"/>
      <c r="AO112" s="17"/>
      <c r="AP112" s="17"/>
      <c r="AQ112" s="17"/>
      <c r="AR112" s="17"/>
      <c r="AS112" s="17"/>
    </row>
    <row r="113" spans="1:45" ht="15.6" x14ac:dyDescent="0.3">
      <c r="A113" s="15" t="s">
        <v>38</v>
      </c>
      <c r="B113" s="17">
        <v>-9945020.7876200229</v>
      </c>
      <c r="C113" s="17">
        <v>48.287305555555591</v>
      </c>
      <c r="D113" s="17">
        <v>82233552218.450058</v>
      </c>
      <c r="E113" s="17">
        <v>6.4328062414266176</v>
      </c>
      <c r="F113" s="17">
        <v>-468096907188.23627</v>
      </c>
      <c r="G113" s="17">
        <v>518269186392.31812</v>
      </c>
      <c r="H113" s="17">
        <v>480377470438.9574</v>
      </c>
      <c r="I113" s="17">
        <v>366060051213.99164</v>
      </c>
      <c r="J113" s="17">
        <v>2777617363648.8345</v>
      </c>
      <c r="K113" s="17">
        <v>-35674.156893004118</v>
      </c>
      <c r="L113" s="17">
        <v>-16.673847736625508</v>
      </c>
      <c r="M113" s="17">
        <v>8.1931082235671013</v>
      </c>
      <c r="N113" s="17">
        <v>-220.95556786702946</v>
      </c>
      <c r="O113" s="17">
        <v>-310907.56380238349</v>
      </c>
      <c r="P113" s="17">
        <v>928372.2174554182</v>
      </c>
      <c r="Q113" s="17">
        <v>341849631985.59686</v>
      </c>
      <c r="R113" s="17">
        <v>-6.572119377162629</v>
      </c>
      <c r="S113" s="17">
        <v>97.83248628257887</v>
      </c>
      <c r="T113" s="17">
        <v>15.923405349794226</v>
      </c>
      <c r="U113" s="17">
        <v>21172406.060555503</v>
      </c>
      <c r="V113" s="17">
        <v>37094947.071330577</v>
      </c>
      <c r="W113" s="17">
        <v>-3.3496750807930975</v>
      </c>
      <c r="X113" s="17">
        <v>-116914543.79116087</v>
      </c>
      <c r="Y113" s="17">
        <v>-26.164048696844976</v>
      </c>
      <c r="Z113" s="17">
        <v>73735890924.353745</v>
      </c>
      <c r="AA113" s="17">
        <v>-0.36686353550295969</v>
      </c>
      <c r="AB113" s="17">
        <v>115865231289.01151</v>
      </c>
      <c r="AC113" s="17">
        <v>-77613151095.950089</v>
      </c>
      <c r="AD113" s="17">
        <v>151509570539.99121</v>
      </c>
      <c r="AE113" s="17">
        <v>-142932721646.34149</v>
      </c>
      <c r="AF113" s="17">
        <v>-29207763775357.48</v>
      </c>
      <c r="AG113" s="17">
        <v>4876928.4567901231</v>
      </c>
      <c r="AH113" s="17">
        <v>-6550010.5004074229</v>
      </c>
      <c r="AI113" s="17">
        <v>16809212.856099345</v>
      </c>
      <c r="AJ113" s="17">
        <v>-7816768.1529492401</v>
      </c>
      <c r="AK113" s="17">
        <v>-124209365900.45035</v>
      </c>
      <c r="AL113" s="17">
        <v>-160396857.64485589</v>
      </c>
      <c r="AM113" s="17">
        <f>VARP(Raw_Data!$AM$2:$AM$264)</f>
        <v>1352.9536899862828</v>
      </c>
      <c r="AN113" s="17"/>
      <c r="AO113" s="17"/>
      <c r="AP113" s="17"/>
      <c r="AQ113" s="17"/>
      <c r="AR113" s="17"/>
      <c r="AS113" s="17"/>
    </row>
    <row r="114" spans="1:45" ht="15.6" x14ac:dyDescent="0.3">
      <c r="A114" s="15" t="s">
        <v>39</v>
      </c>
      <c r="B114" s="17">
        <v>42358948533.013695</v>
      </c>
      <c r="C114" s="17">
        <v>-73819.415128090885</v>
      </c>
      <c r="D114" s="17">
        <v>-1088296285760667.8</v>
      </c>
      <c r="E114" s="17">
        <v>-5945.0809289374056</v>
      </c>
      <c r="F114" s="17">
        <v>3485907940504181</v>
      </c>
      <c r="G114" s="17">
        <v>1.2213637095059262E+16</v>
      </c>
      <c r="H114" s="17">
        <v>1.3073678478161912E+16</v>
      </c>
      <c r="I114" s="17">
        <v>3885558883415676.5</v>
      </c>
      <c r="J114" s="17">
        <v>4.4819729068662024E+16</v>
      </c>
      <c r="K114" s="17">
        <v>108150167.67654267</v>
      </c>
      <c r="L114" s="17">
        <v>-4988.9921646220782</v>
      </c>
      <c r="M114" s="17">
        <v>-11761.161106082212</v>
      </c>
      <c r="N114" s="17">
        <v>141643846.37525606</v>
      </c>
      <c r="O114" s="17">
        <v>4550456462.1435509</v>
      </c>
      <c r="P114" s="17">
        <v>20941274318.819275</v>
      </c>
      <c r="Q114" s="17">
        <v>4916812207033003</v>
      </c>
      <c r="R114" s="17">
        <v>-4692.1704166666623</v>
      </c>
      <c r="S114" s="17">
        <v>-195590.73390510134</v>
      </c>
      <c r="T114" s="17">
        <v>-24691.049335745378</v>
      </c>
      <c r="U114" s="17">
        <v>235787667343.72528</v>
      </c>
      <c r="V114" s="17">
        <v>673944234186.76978</v>
      </c>
      <c r="W114" s="17">
        <v>-5961.5955535824069</v>
      </c>
      <c r="X114" s="17">
        <v>1207341501048.7764</v>
      </c>
      <c r="Y114" s="17">
        <v>68241.762215415438</v>
      </c>
      <c r="Z114" s="17">
        <v>704802779101243.75</v>
      </c>
      <c r="AA114" s="17">
        <v>-86.111179138322456</v>
      </c>
      <c r="AB114" s="17">
        <v>2905281477302810</v>
      </c>
      <c r="AC114" s="17">
        <v>342826533481558.63</v>
      </c>
      <c r="AD114" s="17">
        <v>994319170171002.38</v>
      </c>
      <c r="AE114" s="17">
        <v>2304341497946583</v>
      </c>
      <c r="AF114" s="17">
        <v>5.7623330867571128E+16</v>
      </c>
      <c r="AG114" s="17">
        <v>62180117825.352493</v>
      </c>
      <c r="AH114" s="17">
        <v>26668228770.163265</v>
      </c>
      <c r="AI114" s="17">
        <v>80701330448.287964</v>
      </c>
      <c r="AJ114" s="17">
        <v>23795769790.944202</v>
      </c>
      <c r="AK114" s="17">
        <v>171809758398649.84</v>
      </c>
      <c r="AL114" s="17">
        <v>2301533416609.0435</v>
      </c>
      <c r="AM114" s="17">
        <v>-23882.789248528738</v>
      </c>
      <c r="AN114" s="17">
        <f>VARP(Raw_Data!$AN$2:$AN$264)</f>
        <v>884813999.24532187</v>
      </c>
      <c r="AO114" s="17"/>
      <c r="AP114" s="17"/>
      <c r="AQ114" s="17"/>
      <c r="AR114" s="17"/>
      <c r="AS114" s="17"/>
    </row>
    <row r="115" spans="1:45" ht="15.6" x14ac:dyDescent="0.3">
      <c r="A115" s="15" t="s">
        <v>40</v>
      </c>
      <c r="B115" s="17">
        <v>5.6683727227536688E+16</v>
      </c>
      <c r="C115" s="17">
        <v>-224117169645.09235</v>
      </c>
      <c r="D115" s="17">
        <v>7.5063483438879146E+20</v>
      </c>
      <c r="E115" s="17">
        <v>-51032720358.563583</v>
      </c>
      <c r="F115" s="17">
        <v>3.7766309105381309E+21</v>
      </c>
      <c r="G115" s="17">
        <v>1.424347471830874E+22</v>
      </c>
      <c r="H115" s="17">
        <v>1.5882195174501567E+22</v>
      </c>
      <c r="I115" s="17">
        <v>6.6904726058783767E+21</v>
      </c>
      <c r="J115" s="17">
        <v>5.7714672618945261E+22</v>
      </c>
      <c r="K115" s="17">
        <v>226214902741616.94</v>
      </c>
      <c r="L115" s="17">
        <v>10108510102.966358</v>
      </c>
      <c r="M115" s="17">
        <v>-53323478776.458481</v>
      </c>
      <c r="N115" s="17">
        <v>106901329867628.14</v>
      </c>
      <c r="O115" s="17">
        <v>5073455663384542</v>
      </c>
      <c r="P115" s="17">
        <v>1.7506582246947352E+16</v>
      </c>
      <c r="Q115" s="17">
        <v>6.0739807874343261E+21</v>
      </c>
      <c r="R115" s="17">
        <v>56504939559.161079</v>
      </c>
      <c r="S115" s="17">
        <v>-558403905388.04187</v>
      </c>
      <c r="T115" s="17">
        <v>-95318289136.517166</v>
      </c>
      <c r="U115" s="17">
        <v>1.1506566631409805E+17</v>
      </c>
      <c r="V115" s="17">
        <v>7.9897646687290995E+17</v>
      </c>
      <c r="W115" s="17">
        <v>100605865901.02209</v>
      </c>
      <c r="X115" s="17">
        <v>4.0036375060712883E+18</v>
      </c>
      <c r="Y115" s="17">
        <v>222687765582.18326</v>
      </c>
      <c r="Z115" s="17">
        <v>7.2810193375772777E+20</v>
      </c>
      <c r="AA115" s="17">
        <v>-656075601.72135592</v>
      </c>
      <c r="AB115" s="17">
        <v>1.3515085749257311E+21</v>
      </c>
      <c r="AC115" s="17">
        <v>1.1171355544819202E+20</v>
      </c>
      <c r="AD115" s="17">
        <v>6.4667161945542728E+20</v>
      </c>
      <c r="AE115" s="17">
        <v>9.1301556987763661E+20</v>
      </c>
      <c r="AF115" s="17">
        <v>4.9890028971701949E+22</v>
      </c>
      <c r="AG115" s="17">
        <v>6.11334885993574E+16</v>
      </c>
      <c r="AH115" s="17">
        <v>837059159185759.88</v>
      </c>
      <c r="AI115" s="17">
        <v>1.1477557762018752E+17</v>
      </c>
      <c r="AJ115" s="17">
        <v>2.3008260002658992E+16</v>
      </c>
      <c r="AK115" s="17">
        <v>6.0813185618012873E+19</v>
      </c>
      <c r="AL115" s="17">
        <v>6.745715817198551E+18</v>
      </c>
      <c r="AM115" s="17">
        <v>353604553512.62122</v>
      </c>
      <c r="AN115" s="17">
        <v>719859279989562.25</v>
      </c>
      <c r="AO115" s="17">
        <f>VARP(Raw_Data!$AO$2:$AO$264)</f>
        <v>6.3945935265923879E+21</v>
      </c>
      <c r="AP115" s="17"/>
      <c r="AQ115" s="17"/>
      <c r="AR115" s="17"/>
      <c r="AS115" s="17"/>
    </row>
    <row r="116" spans="1:45" ht="15.6" x14ac:dyDescent="0.3">
      <c r="A116" s="15" t="s">
        <v>41</v>
      </c>
      <c r="B116" s="17">
        <v>25758929154380.695</v>
      </c>
      <c r="C116" s="17">
        <v>-56425389.990307078</v>
      </c>
      <c r="D116" s="17">
        <v>-6.0784585418700454E+17</v>
      </c>
      <c r="E116" s="17">
        <v>-4897157.974536988</v>
      </c>
      <c r="F116" s="17">
        <v>2.5475164277058806E+18</v>
      </c>
      <c r="G116" s="17">
        <v>8.7452836743085701E+18</v>
      </c>
      <c r="H116" s="17">
        <v>9.6270328502073938E+18</v>
      </c>
      <c r="I116" s="17">
        <v>3.0308185610417254E+18</v>
      </c>
      <c r="J116" s="17">
        <v>3.2490701723905319E+19</v>
      </c>
      <c r="K116" s="17">
        <v>58243861428.286888</v>
      </c>
      <c r="L116" s="17">
        <v>767700.15931746084</v>
      </c>
      <c r="M116" s="17">
        <v>-14094459.698668292</v>
      </c>
      <c r="N116" s="17">
        <v>85204839986.389969</v>
      </c>
      <c r="O116" s="17">
        <v>3097315170183.3945</v>
      </c>
      <c r="P116" s="17">
        <v>13219638382330.207</v>
      </c>
      <c r="Q116" s="17">
        <v>3.4711755525704796E+18</v>
      </c>
      <c r="R116" s="17">
        <v>12849935.215822944</v>
      </c>
      <c r="S116" s="17">
        <v>-126854515.81568213</v>
      </c>
      <c r="T116" s="17">
        <v>-13723057.353099177</v>
      </c>
      <c r="U116" s="17">
        <v>139860847578491.34</v>
      </c>
      <c r="V116" s="17">
        <v>506687468890039.06</v>
      </c>
      <c r="W116" s="17">
        <v>28308101.974957768</v>
      </c>
      <c r="X116" s="17">
        <v>1429739535495471.8</v>
      </c>
      <c r="Y116" s="17">
        <v>46981277.771323539</v>
      </c>
      <c r="Z116" s="17">
        <v>5.405551622598745E+17</v>
      </c>
      <c r="AA116" s="17">
        <v>1911166.4950523402</v>
      </c>
      <c r="AB116" s="17">
        <v>2.209902797972663E+18</v>
      </c>
      <c r="AC116" s="17">
        <v>1.9776810228217862E+17</v>
      </c>
      <c r="AD116" s="17">
        <v>8.9069910582705677E+17</v>
      </c>
      <c r="AE116" s="17">
        <v>1.5557464204947692E+18</v>
      </c>
      <c r="AF116" s="17">
        <v>2.5661069716581515E+19</v>
      </c>
      <c r="AG116" s="17">
        <v>42871788062053.313</v>
      </c>
      <c r="AH116" s="17">
        <v>18353610487314.281</v>
      </c>
      <c r="AI116" s="17">
        <v>93452771900578.125</v>
      </c>
      <c r="AJ116" s="17">
        <v>15185943798730.441</v>
      </c>
      <c r="AK116" s="17">
        <v>8.854417776386416E+16</v>
      </c>
      <c r="AL116" s="17">
        <v>2443402030461084.5</v>
      </c>
      <c r="AM116" s="17">
        <v>15143683.051028796</v>
      </c>
      <c r="AN116" s="17">
        <v>870918819755.14954</v>
      </c>
      <c r="AO116" s="17">
        <v>1.5878439280751155E+18</v>
      </c>
      <c r="AP116" s="17">
        <f>VARP(Raw_Data!$AP$2:$AP$264)</f>
        <v>735201125438434.5</v>
      </c>
      <c r="AQ116" s="17"/>
      <c r="AR116" s="17"/>
      <c r="AS116" s="17"/>
    </row>
    <row r="117" spans="1:45" ht="15.6" x14ac:dyDescent="0.3">
      <c r="A117" s="15" t="s">
        <v>42</v>
      </c>
      <c r="B117" s="17">
        <v>25245569246942.547</v>
      </c>
      <c r="C117" s="17">
        <v>-68309284.652400672</v>
      </c>
      <c r="D117" s="17">
        <v>-5.0030233890159962E+17</v>
      </c>
      <c r="E117" s="17">
        <v>-5342624.3726184973</v>
      </c>
      <c r="F117" s="17">
        <v>2.9389269375428439E+18</v>
      </c>
      <c r="G117" s="17">
        <v>9.3792275460622172E+18</v>
      </c>
      <c r="H117" s="17">
        <v>1.0337201011866292E+19</v>
      </c>
      <c r="I117" s="17">
        <v>3.5289303846381271E+18</v>
      </c>
      <c r="J117" s="17">
        <v>3.6012933716928213E+19</v>
      </c>
      <c r="K117" s="17">
        <v>72241508999.620743</v>
      </c>
      <c r="L117" s="17">
        <v>-1604984.0199583347</v>
      </c>
      <c r="M117" s="17">
        <v>-14881374.50486101</v>
      </c>
      <c r="N117" s="17">
        <v>61755136326.264076</v>
      </c>
      <c r="O117" s="17">
        <v>2576526807705.9424</v>
      </c>
      <c r="P117" s="17">
        <v>14270247447531.07</v>
      </c>
      <c r="Q117" s="17">
        <v>3.8966929899028465E+18</v>
      </c>
      <c r="R117" s="17">
        <v>10603301.121803069</v>
      </c>
      <c r="S117" s="17">
        <v>-159527821.48280632</v>
      </c>
      <c r="T117" s="17">
        <v>-18549006.719367821</v>
      </c>
      <c r="U117" s="17">
        <v>136359512878296.73</v>
      </c>
      <c r="V117" s="17">
        <v>576503778812101.88</v>
      </c>
      <c r="W117" s="17">
        <v>27225000.396480374</v>
      </c>
      <c r="X117" s="17">
        <v>1473330840562980.8</v>
      </c>
      <c r="Y117" s="17">
        <v>58091682.178165644</v>
      </c>
      <c r="Z117" s="17">
        <v>5.1237596628830925E+17</v>
      </c>
      <c r="AA117" s="17">
        <v>1750139.4146237362</v>
      </c>
      <c r="AB117" s="17">
        <v>2.3315482958299689E+18</v>
      </c>
      <c r="AC117" s="17">
        <v>2.0491517177699805E+17</v>
      </c>
      <c r="AD117" s="17">
        <v>1.0918321915092278E+18</v>
      </c>
      <c r="AE117" s="17">
        <v>1.4668777161848161E+18</v>
      </c>
      <c r="AF117" s="17">
        <v>1.2186252883941759E+19</v>
      </c>
      <c r="AG117" s="17">
        <v>46748192925587.609</v>
      </c>
      <c r="AH117" s="17">
        <v>21468860636693.32</v>
      </c>
      <c r="AI117" s="17">
        <v>122067410134174.25</v>
      </c>
      <c r="AJ117" s="17">
        <v>14517889998241.227</v>
      </c>
      <c r="AK117" s="17">
        <v>5.261054785715212E+16</v>
      </c>
      <c r="AL117" s="17">
        <v>2537803006590675</v>
      </c>
      <c r="AM117" s="17">
        <v>35343405.715843618</v>
      </c>
      <c r="AN117" s="17">
        <v>960321017094.77783</v>
      </c>
      <c r="AO117" s="17">
        <v>1.7050472408310249E+18</v>
      </c>
      <c r="AP117" s="17">
        <v>828543367034630.13</v>
      </c>
      <c r="AQ117" s="17">
        <f>VARP(Raw_Data!$AQ$2:$AQ$264)</f>
        <v>942004992728397.75</v>
      </c>
      <c r="AR117" s="17"/>
      <c r="AS117" s="17"/>
    </row>
    <row r="118" spans="1:45" ht="15.6" x14ac:dyDescent="0.3">
      <c r="A118" s="15" t="s">
        <v>43</v>
      </c>
      <c r="B118" s="17">
        <v>-200976.80136296293</v>
      </c>
      <c r="C118" s="17">
        <v>16.953911259259264</v>
      </c>
      <c r="D118" s="17">
        <v>117484844.98896495</v>
      </c>
      <c r="E118" s="17">
        <v>3.3883352592592608</v>
      </c>
      <c r="F118" s="17">
        <v>-80323955643.046631</v>
      </c>
      <c r="G118" s="17">
        <v>-92025895392.49382</v>
      </c>
      <c r="H118" s="17">
        <v>-101342561920.54897</v>
      </c>
      <c r="I118" s="17">
        <v>-56328801667.715286</v>
      </c>
      <c r="J118" s="17">
        <v>-316613237853.33319</v>
      </c>
      <c r="K118" s="17">
        <v>-9907.7313333333332</v>
      </c>
      <c r="L118" s="17">
        <v>0.99176893424036217</v>
      </c>
      <c r="M118" s="17">
        <v>2.4695218329807451</v>
      </c>
      <c r="N118" s="17">
        <v>22984.759565458844</v>
      </c>
      <c r="O118" s="17">
        <v>172325.6237686777</v>
      </c>
      <c r="P118" s="17">
        <v>-124181.38721565902</v>
      </c>
      <c r="Q118" s="17">
        <v>-56306901513.635193</v>
      </c>
      <c r="R118" s="17">
        <v>0.22787963416011112</v>
      </c>
      <c r="S118" s="17">
        <v>44.799315407407406</v>
      </c>
      <c r="T118" s="17">
        <v>2.8655128541940327</v>
      </c>
      <c r="U118" s="17">
        <v>-1086896.932041829</v>
      </c>
      <c r="V118" s="17">
        <v>-5147560.9131014571</v>
      </c>
      <c r="W118" s="17">
        <v>-0.33786109026083661</v>
      </c>
      <c r="X118" s="17">
        <v>-7095806.6388599155</v>
      </c>
      <c r="Y118" s="17">
        <v>-14.373924049382705</v>
      </c>
      <c r="Z118" s="17">
        <v>-5968393204.8096895</v>
      </c>
      <c r="AA118" s="17">
        <v>0.43696374655647358</v>
      </c>
      <c r="AB118" s="17">
        <v>-15338615038.648836</v>
      </c>
      <c r="AC118" s="17">
        <v>-3380296601.5089164</v>
      </c>
      <c r="AD118" s="17">
        <v>-8097672435.185195</v>
      </c>
      <c r="AE118" s="17">
        <v>-11526433297.021576</v>
      </c>
      <c r="AF118" s="17">
        <v>-1112969691737.5703</v>
      </c>
      <c r="AG118" s="17">
        <v>-465836.29645432695</v>
      </c>
      <c r="AH118" s="17">
        <v>131036.44463733652</v>
      </c>
      <c r="AI118" s="17">
        <v>-422477.31043478264</v>
      </c>
      <c r="AJ118" s="17">
        <v>-132828.38366817677</v>
      </c>
      <c r="AK118" s="17">
        <v>29454751.108514294</v>
      </c>
      <c r="AL118" s="17">
        <v>-12537339.29338271</v>
      </c>
      <c r="AM118" s="17">
        <v>5.5951279149519904</v>
      </c>
      <c r="AN118" s="17">
        <v>-8848.9685575852127</v>
      </c>
      <c r="AO118" s="17">
        <v>-29275080577.620434</v>
      </c>
      <c r="AP118" s="17">
        <v>-7220186.4324655589</v>
      </c>
      <c r="AQ118" s="17">
        <v>-8710768.1325024068</v>
      </c>
      <c r="AR118" s="17">
        <f>VARP(Raw_Data!$AR$2:$AR$264)</f>
        <v>2.4132243950617314</v>
      </c>
      <c r="AS118" s="17"/>
    </row>
    <row r="119" spans="1:45" ht="16.2" thickBot="1" x14ac:dyDescent="0.35">
      <c r="A119" s="16" t="s">
        <v>44</v>
      </c>
      <c r="B119" s="18">
        <v>-2436487.369832356</v>
      </c>
      <c r="C119" s="18">
        <v>72.701627446040149</v>
      </c>
      <c r="D119" s="18">
        <v>21221608944.757881</v>
      </c>
      <c r="E119" s="18">
        <v>19.50820002239578</v>
      </c>
      <c r="F119" s="18">
        <v>-629590680635.078</v>
      </c>
      <c r="G119" s="18">
        <v>-621058899165.32007</v>
      </c>
      <c r="H119" s="18">
        <v>-693174548830.25549</v>
      </c>
      <c r="I119" s="18">
        <v>-377226249883.71082</v>
      </c>
      <c r="J119" s="18">
        <v>-2261949303071.7446</v>
      </c>
      <c r="K119" s="18">
        <v>-73884.549903047126</v>
      </c>
      <c r="L119" s="18">
        <v>5.8973889462809836</v>
      </c>
      <c r="M119" s="18">
        <v>37.090512137052954</v>
      </c>
      <c r="N119" s="18">
        <v>159233.0067522171</v>
      </c>
      <c r="O119" s="18">
        <v>1318486.1969821674</v>
      </c>
      <c r="P119" s="18">
        <v>-980148.59434226365</v>
      </c>
      <c r="Q119" s="18">
        <v>-389129208594.59448</v>
      </c>
      <c r="R119" s="18">
        <v>0.31171296296296369</v>
      </c>
      <c r="S119" s="18">
        <v>187.32923280423284</v>
      </c>
      <c r="T119" s="18">
        <v>45.745940282113537</v>
      </c>
      <c r="U119" s="18">
        <v>-9990298.3917289656</v>
      </c>
      <c r="V119" s="18">
        <v>-35550715.766289189</v>
      </c>
      <c r="W119" s="18">
        <v>3.1871404799999992</v>
      </c>
      <c r="X119" s="18">
        <v>-55408386.538257338</v>
      </c>
      <c r="Y119" s="18">
        <v>-79.826809411830581</v>
      </c>
      <c r="Z119" s="18">
        <v>-48710709725.169502</v>
      </c>
      <c r="AA119" s="18">
        <v>3.3379333333333325</v>
      </c>
      <c r="AB119" s="18">
        <v>-125648530040.81442</v>
      </c>
      <c r="AC119" s="18">
        <v>-7725428183.6176863</v>
      </c>
      <c r="AD119" s="18">
        <v>-45131763701.574127</v>
      </c>
      <c r="AE119" s="18">
        <v>-90681572762.687408</v>
      </c>
      <c r="AF119" s="18">
        <v>-4303767512160.1382</v>
      </c>
      <c r="AG119" s="18">
        <v>-3371872.070204081</v>
      </c>
      <c r="AH119" s="18">
        <v>1601978.3708382878</v>
      </c>
      <c r="AI119" s="18">
        <v>-345327.65254320984</v>
      </c>
      <c r="AJ119" s="18">
        <v>-1458091.6137665308</v>
      </c>
      <c r="AK119" s="18">
        <v>14360376232.775084</v>
      </c>
      <c r="AL119" s="18">
        <v>-140272621.29421389</v>
      </c>
      <c r="AM119" s="18">
        <v>43.768979238754326</v>
      </c>
      <c r="AN119" s="18">
        <v>-66354.919031887388</v>
      </c>
      <c r="AO119" s="18">
        <v>-197025647246.71988</v>
      </c>
      <c r="AP119" s="18">
        <v>-46851381.815224364</v>
      </c>
      <c r="AQ119" s="18">
        <v>-53367041.490658127</v>
      </c>
      <c r="AR119" s="18">
        <v>9.3545444696397126</v>
      </c>
      <c r="AS119" s="18">
        <f>VARP(Raw_Data!$AS$2:$AS$264)</f>
        <v>227.23726969401028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CAFD7-46AE-403A-9B0E-09C50FDF3958}">
  <dimension ref="A1:C265"/>
  <sheetViews>
    <sheetView tabSelected="1" zoomScale="80" zoomScaleNormal="80" workbookViewId="0">
      <selection activeCell="B1" sqref="B1:C1"/>
    </sheetView>
  </sheetViews>
  <sheetFormatPr defaultRowHeight="14.4" x14ac:dyDescent="0.3"/>
  <cols>
    <col min="1" max="1" width="41.5546875" bestFit="1" customWidth="1"/>
    <col min="2" max="2" width="28.5546875" bestFit="1" customWidth="1"/>
    <col min="3" max="3" width="20.5546875" bestFit="1" customWidth="1"/>
    <col min="4" max="7" width="12.6640625" bestFit="1" customWidth="1"/>
    <col min="8" max="31" width="11.6640625" bestFit="1" customWidth="1"/>
    <col min="32" max="72" width="10.6640625" bestFit="1" customWidth="1"/>
    <col min="73" max="88" width="9.6640625" bestFit="1" customWidth="1"/>
    <col min="89" max="91" width="9" bestFit="1" customWidth="1"/>
    <col min="92" max="111" width="10" bestFit="1" customWidth="1"/>
    <col min="112" max="131" width="11" bestFit="1" customWidth="1"/>
    <col min="132" max="149" width="12" bestFit="1" customWidth="1"/>
    <col min="150" max="150" width="10" bestFit="1" customWidth="1"/>
    <col min="151" max="151" width="6.44140625" bestFit="1" customWidth="1"/>
    <col min="152" max="152" width="10.5546875" bestFit="1" customWidth="1"/>
  </cols>
  <sheetData>
    <row r="1" spans="1:3" x14ac:dyDescent="0.3">
      <c r="A1" s="20" t="s">
        <v>329</v>
      </c>
      <c r="B1" s="19" t="s">
        <v>331</v>
      </c>
      <c r="C1" s="25" t="s">
        <v>332</v>
      </c>
    </row>
    <row r="2" spans="1:3" x14ac:dyDescent="0.3">
      <c r="A2" s="21" t="s">
        <v>123</v>
      </c>
      <c r="B2" s="35"/>
      <c r="C2" s="27"/>
    </row>
    <row r="3" spans="1:3" x14ac:dyDescent="0.3">
      <c r="A3" s="22" t="s">
        <v>45</v>
      </c>
      <c r="B3" s="36"/>
      <c r="C3" s="29">
        <v>8000000000</v>
      </c>
    </row>
    <row r="4" spans="1:3" x14ac:dyDescent="0.3">
      <c r="A4" s="22" t="s">
        <v>46</v>
      </c>
      <c r="B4" s="36"/>
      <c r="C4" s="29"/>
    </row>
    <row r="5" spans="1:3" x14ac:dyDescent="0.3">
      <c r="A5" s="22" t="s">
        <v>47</v>
      </c>
      <c r="B5" s="36">
        <v>-504000000</v>
      </c>
      <c r="C5" s="29">
        <v>1410000000</v>
      </c>
    </row>
    <row r="6" spans="1:3" x14ac:dyDescent="0.3">
      <c r="A6" s="22" t="s">
        <v>48</v>
      </c>
      <c r="B6" s="36">
        <v>11900000000</v>
      </c>
      <c r="C6" s="29">
        <v>21900000000</v>
      </c>
    </row>
    <row r="7" spans="1:3" x14ac:dyDescent="0.3">
      <c r="A7" s="22" t="s">
        <v>49</v>
      </c>
      <c r="B7" s="36"/>
      <c r="C7" s="29"/>
    </row>
    <row r="8" spans="1:3" x14ac:dyDescent="0.3">
      <c r="A8" s="22" t="s">
        <v>50</v>
      </c>
      <c r="B8" s="36"/>
      <c r="C8" s="29"/>
    </row>
    <row r="9" spans="1:3" x14ac:dyDescent="0.3">
      <c r="A9" s="22" t="s">
        <v>51</v>
      </c>
      <c r="B9" s="36">
        <v>-37880000</v>
      </c>
      <c r="C9" s="29">
        <v>10450000000</v>
      </c>
    </row>
    <row r="10" spans="1:3" x14ac:dyDescent="0.3">
      <c r="A10" s="22" t="s">
        <v>52</v>
      </c>
      <c r="B10" s="36"/>
      <c r="C10" s="29">
        <v>8800000</v>
      </c>
    </row>
    <row r="11" spans="1:3" x14ac:dyDescent="0.3">
      <c r="A11" s="22" t="s">
        <v>53</v>
      </c>
      <c r="B11" s="36"/>
      <c r="C11" s="29"/>
    </row>
    <row r="12" spans="1:3" x14ac:dyDescent="0.3">
      <c r="A12" s="22" t="s">
        <v>54</v>
      </c>
      <c r="B12" s="36"/>
      <c r="C12" s="29">
        <v>231000000</v>
      </c>
    </row>
    <row r="13" spans="1:3" x14ac:dyDescent="0.3">
      <c r="A13" s="22" t="s">
        <v>55</v>
      </c>
      <c r="B13" s="36">
        <v>5473000000</v>
      </c>
      <c r="C13" s="29">
        <v>157700000000</v>
      </c>
    </row>
    <row r="14" spans="1:3" x14ac:dyDescent="0.3">
      <c r="A14" s="22" t="s">
        <v>56</v>
      </c>
      <c r="B14" s="36">
        <v>-240400000</v>
      </c>
      <c r="C14" s="29">
        <v>905000000</v>
      </c>
    </row>
    <row r="15" spans="1:3" x14ac:dyDescent="0.3">
      <c r="A15" s="22" t="s">
        <v>57</v>
      </c>
      <c r="B15" s="36"/>
      <c r="C15" s="29">
        <v>285000000</v>
      </c>
    </row>
    <row r="16" spans="1:3" x14ac:dyDescent="0.3">
      <c r="A16" s="22" t="s">
        <v>58</v>
      </c>
      <c r="B16" s="36"/>
      <c r="C16" s="29"/>
    </row>
    <row r="17" spans="1:3" x14ac:dyDescent="0.3">
      <c r="A17" s="22" t="s">
        <v>59</v>
      </c>
      <c r="B17" s="36">
        <v>-38300000000</v>
      </c>
      <c r="C17" s="29">
        <v>308700000000</v>
      </c>
    </row>
    <row r="18" spans="1:3" x14ac:dyDescent="0.3">
      <c r="A18" s="22" t="s">
        <v>60</v>
      </c>
      <c r="B18" s="36">
        <v>-3283000000</v>
      </c>
      <c r="C18" s="29">
        <v>15500000000</v>
      </c>
    </row>
    <row r="19" spans="1:3" x14ac:dyDescent="0.3">
      <c r="A19" s="22" t="s">
        <v>61</v>
      </c>
      <c r="B19" s="36">
        <v>-2899000000</v>
      </c>
      <c r="C19" s="29">
        <v>1832000000</v>
      </c>
    </row>
    <row r="20" spans="1:3" x14ac:dyDescent="0.3">
      <c r="A20" s="22" t="s">
        <v>62</v>
      </c>
      <c r="B20" s="36"/>
      <c r="C20" s="29">
        <v>308500000</v>
      </c>
    </row>
    <row r="21" spans="1:3" x14ac:dyDescent="0.3">
      <c r="A21" s="22" t="s">
        <v>63</v>
      </c>
      <c r="B21" s="36">
        <v>586100000</v>
      </c>
      <c r="C21" s="29">
        <v>6215000000</v>
      </c>
    </row>
    <row r="22" spans="1:3" x14ac:dyDescent="0.3">
      <c r="A22" s="22" t="s">
        <v>64</v>
      </c>
      <c r="B22" s="36"/>
      <c r="C22" s="29"/>
    </row>
    <row r="23" spans="1:3" x14ac:dyDescent="0.3">
      <c r="A23" s="22" t="s">
        <v>65</v>
      </c>
      <c r="B23" s="36">
        <v>216600000</v>
      </c>
      <c r="C23" s="29">
        <v>19970000000</v>
      </c>
    </row>
    <row r="24" spans="1:3" x14ac:dyDescent="0.3">
      <c r="A24" s="22" t="s">
        <v>66</v>
      </c>
      <c r="B24" s="36"/>
      <c r="C24" s="29">
        <v>668000000</v>
      </c>
    </row>
    <row r="25" spans="1:3" x14ac:dyDescent="0.3">
      <c r="A25" s="22" t="s">
        <v>67</v>
      </c>
      <c r="B25" s="36"/>
      <c r="C25" s="29"/>
    </row>
    <row r="26" spans="1:3" x14ac:dyDescent="0.3">
      <c r="A26" s="22" t="s">
        <v>68</v>
      </c>
      <c r="B26" s="36">
        <v>-1119000000</v>
      </c>
      <c r="C26" s="29">
        <v>600000000</v>
      </c>
    </row>
    <row r="27" spans="1:3" x14ac:dyDescent="0.3">
      <c r="A27" s="22" t="s">
        <v>69</v>
      </c>
      <c r="B27" s="36">
        <v>11400000000</v>
      </c>
      <c r="C27" s="29">
        <v>28300000000</v>
      </c>
    </row>
    <row r="28" spans="1:3" x14ac:dyDescent="0.3">
      <c r="A28" s="22" t="s">
        <v>70</v>
      </c>
      <c r="B28" s="36">
        <v>-115000000</v>
      </c>
      <c r="C28" s="29">
        <v>1362000000</v>
      </c>
    </row>
    <row r="29" spans="1:3" x14ac:dyDescent="0.3">
      <c r="A29" s="22" t="s">
        <v>71</v>
      </c>
      <c r="B29" s="36">
        <v>-159900000</v>
      </c>
      <c r="C29" s="29">
        <v>1600000000</v>
      </c>
    </row>
    <row r="30" spans="1:3" x14ac:dyDescent="0.3">
      <c r="A30" s="22" t="s">
        <v>72</v>
      </c>
      <c r="B30" s="36"/>
      <c r="C30" s="29">
        <v>160000000</v>
      </c>
    </row>
    <row r="31" spans="1:3" x14ac:dyDescent="0.3">
      <c r="A31" s="22" t="s">
        <v>73</v>
      </c>
      <c r="B31" s="36"/>
      <c r="C31" s="29">
        <v>245000000</v>
      </c>
    </row>
    <row r="32" spans="1:3" x14ac:dyDescent="0.3">
      <c r="A32" s="22" t="s">
        <v>74</v>
      </c>
      <c r="B32" s="36">
        <v>273000000</v>
      </c>
      <c r="C32" s="29">
        <v>5439000000</v>
      </c>
    </row>
    <row r="33" spans="1:3" x14ac:dyDescent="0.3">
      <c r="A33" s="22" t="s">
        <v>75</v>
      </c>
      <c r="B33" s="36">
        <v>-2100000000</v>
      </c>
      <c r="C33" s="29">
        <v>3000000000</v>
      </c>
    </row>
    <row r="34" spans="1:3" x14ac:dyDescent="0.3">
      <c r="A34" s="22" t="s">
        <v>76</v>
      </c>
      <c r="B34" s="36">
        <v>337000000</v>
      </c>
      <c r="C34" s="29">
        <v>531000000</v>
      </c>
    </row>
    <row r="35" spans="1:3" x14ac:dyDescent="0.3">
      <c r="A35" s="22" t="s">
        <v>77</v>
      </c>
      <c r="B35" s="36"/>
      <c r="C35" s="29"/>
    </row>
    <row r="36" spans="1:3" x14ac:dyDescent="0.3">
      <c r="A36" s="22" t="s">
        <v>78</v>
      </c>
      <c r="B36" s="36">
        <v>8000000000</v>
      </c>
      <c r="C36" s="29">
        <v>219800000000</v>
      </c>
    </row>
    <row r="37" spans="1:3" x14ac:dyDescent="0.3">
      <c r="A37" s="22" t="s">
        <v>79</v>
      </c>
      <c r="B37" s="36"/>
      <c r="C37" s="29"/>
    </row>
    <row r="38" spans="1:3" x14ac:dyDescent="0.3">
      <c r="A38" s="22" t="s">
        <v>80</v>
      </c>
      <c r="B38" s="36"/>
      <c r="C38" s="29">
        <v>36100000</v>
      </c>
    </row>
    <row r="39" spans="1:3" x14ac:dyDescent="0.3">
      <c r="A39" s="22" t="s">
        <v>81</v>
      </c>
      <c r="B39" s="36"/>
      <c r="C39" s="29">
        <v>0</v>
      </c>
    </row>
    <row r="40" spans="1:3" x14ac:dyDescent="0.3">
      <c r="A40" s="22" t="s">
        <v>82</v>
      </c>
      <c r="B40" s="36">
        <v>682900000</v>
      </c>
      <c r="C40" s="29">
        <v>16100000000</v>
      </c>
    </row>
    <row r="41" spans="1:3" x14ac:dyDescent="0.3">
      <c r="A41" s="22" t="s">
        <v>83</v>
      </c>
      <c r="B41" s="36">
        <v>-471700000</v>
      </c>
      <c r="C41" s="29">
        <v>1300000000</v>
      </c>
    </row>
    <row r="42" spans="1:3" x14ac:dyDescent="0.3">
      <c r="A42" s="22" t="s">
        <v>84</v>
      </c>
      <c r="B42" s="36">
        <v>-185000000</v>
      </c>
      <c r="C42" s="29">
        <v>6752000000</v>
      </c>
    </row>
    <row r="43" spans="1:3" x14ac:dyDescent="0.3">
      <c r="A43" s="22" t="s">
        <v>85</v>
      </c>
      <c r="B43" s="36">
        <v>-59500000</v>
      </c>
      <c r="C43" s="29">
        <v>1133000000</v>
      </c>
    </row>
    <row r="44" spans="1:3" x14ac:dyDescent="0.3">
      <c r="A44" s="22" t="s">
        <v>86</v>
      </c>
      <c r="B44" s="36">
        <v>-316200000</v>
      </c>
      <c r="C44" s="29">
        <v>2400000000</v>
      </c>
    </row>
    <row r="45" spans="1:3" x14ac:dyDescent="0.3">
      <c r="A45" s="22" t="s">
        <v>87</v>
      </c>
      <c r="B45" s="36">
        <v>-149100000</v>
      </c>
      <c r="C45" s="29">
        <v>8460000000</v>
      </c>
    </row>
    <row r="46" spans="1:3" x14ac:dyDescent="0.3">
      <c r="A46" s="22" t="s">
        <v>88</v>
      </c>
      <c r="B46" s="36">
        <v>28200000000</v>
      </c>
      <c r="C46" s="29">
        <v>570000000000</v>
      </c>
    </row>
    <row r="47" spans="1:3" x14ac:dyDescent="0.3">
      <c r="A47" s="22" t="s">
        <v>89</v>
      </c>
      <c r="B47" s="36">
        <v>-93760000</v>
      </c>
      <c r="C47" s="29">
        <v>325000000</v>
      </c>
    </row>
    <row r="48" spans="1:3" x14ac:dyDescent="0.3">
      <c r="A48" s="22" t="s">
        <v>90</v>
      </c>
      <c r="B48" s="36"/>
      <c r="C48" s="29">
        <v>70000000</v>
      </c>
    </row>
    <row r="49" spans="1:3" x14ac:dyDescent="0.3">
      <c r="A49" s="22" t="s">
        <v>91</v>
      </c>
      <c r="B49" s="36"/>
      <c r="C49" s="29">
        <v>881400000</v>
      </c>
    </row>
    <row r="50" spans="1:3" x14ac:dyDescent="0.3">
      <c r="A50" s="22" t="s">
        <v>92</v>
      </c>
      <c r="B50" s="36">
        <v>330200000</v>
      </c>
      <c r="C50" s="29">
        <v>1100000000</v>
      </c>
    </row>
    <row r="51" spans="1:3" x14ac:dyDescent="0.3">
      <c r="A51" s="22" t="s">
        <v>93</v>
      </c>
      <c r="B51" s="36">
        <v>2185000000</v>
      </c>
      <c r="C51" s="29">
        <v>44600000000</v>
      </c>
    </row>
    <row r="52" spans="1:3" x14ac:dyDescent="0.3">
      <c r="A52" s="22" t="s">
        <v>94</v>
      </c>
      <c r="B52" s="36">
        <v>30320000000</v>
      </c>
      <c r="C52" s="29">
        <v>233300000000</v>
      </c>
    </row>
    <row r="53" spans="1:3" x14ac:dyDescent="0.3">
      <c r="A53" s="22" t="s">
        <v>95</v>
      </c>
      <c r="B53" s="36"/>
      <c r="C53" s="29"/>
    </row>
    <row r="54" spans="1:3" x14ac:dyDescent="0.3">
      <c r="A54" s="22" t="s">
        <v>96</v>
      </c>
      <c r="B54" s="36"/>
      <c r="C54" s="29"/>
    </row>
    <row r="55" spans="1:3" x14ac:dyDescent="0.3">
      <c r="A55" s="22" t="s">
        <v>97</v>
      </c>
      <c r="B55" s="36"/>
      <c r="C55" s="29"/>
    </row>
    <row r="56" spans="1:3" x14ac:dyDescent="0.3">
      <c r="A56" s="22" t="s">
        <v>98</v>
      </c>
      <c r="B56" s="36">
        <v>-1706000000</v>
      </c>
      <c r="C56" s="29">
        <v>38700000000</v>
      </c>
    </row>
    <row r="57" spans="1:3" x14ac:dyDescent="0.3">
      <c r="A57" s="22" t="s">
        <v>99</v>
      </c>
      <c r="B57" s="36"/>
      <c r="C57" s="29">
        <v>232000000</v>
      </c>
    </row>
    <row r="58" spans="1:3" x14ac:dyDescent="0.3">
      <c r="A58" s="22" t="s">
        <v>100</v>
      </c>
      <c r="B58" s="36"/>
      <c r="C58" s="29">
        <v>11600000000</v>
      </c>
    </row>
    <row r="59" spans="1:3" x14ac:dyDescent="0.3">
      <c r="A59" s="22" t="s">
        <v>101</v>
      </c>
      <c r="B59" s="36">
        <v>266000000</v>
      </c>
      <c r="C59" s="29">
        <v>5000000000</v>
      </c>
    </row>
    <row r="60" spans="1:3" x14ac:dyDescent="0.3">
      <c r="A60" s="22" t="s">
        <v>102</v>
      </c>
      <c r="B60" s="36"/>
      <c r="C60" s="29">
        <v>141000000</v>
      </c>
    </row>
    <row r="61" spans="1:3" x14ac:dyDescent="0.3">
      <c r="A61" s="22" t="s">
        <v>103</v>
      </c>
      <c r="B61" s="36">
        <v>-980300000</v>
      </c>
      <c r="C61" s="29">
        <v>5962000000</v>
      </c>
    </row>
    <row r="62" spans="1:3" x14ac:dyDescent="0.3">
      <c r="A62" s="22" t="s">
        <v>104</v>
      </c>
      <c r="B62" s="36">
        <v>-421500000</v>
      </c>
      <c r="C62" s="29">
        <v>11810000000</v>
      </c>
    </row>
    <row r="63" spans="1:3" x14ac:dyDescent="0.3">
      <c r="A63" s="22" t="s">
        <v>105</v>
      </c>
      <c r="B63" s="36">
        <v>-1925000000</v>
      </c>
      <c r="C63" s="29">
        <v>26400000000</v>
      </c>
    </row>
    <row r="64" spans="1:3" x14ac:dyDescent="0.3">
      <c r="A64" s="22" t="s">
        <v>106</v>
      </c>
      <c r="B64" s="36">
        <v>-185100000</v>
      </c>
      <c r="C64" s="29">
        <v>12090000000</v>
      </c>
    </row>
    <row r="65" spans="1:3" x14ac:dyDescent="0.3">
      <c r="A65" s="22" t="s">
        <v>107</v>
      </c>
      <c r="B65" s="36">
        <v>-619900000</v>
      </c>
      <c r="C65" s="29">
        <v>7327000000</v>
      </c>
    </row>
    <row r="66" spans="1:3" x14ac:dyDescent="0.3">
      <c r="A66" s="22" t="s">
        <v>108</v>
      </c>
      <c r="B66" s="36">
        <v>-5730000000</v>
      </c>
      <c r="C66" s="29">
        <v>36280000000</v>
      </c>
    </row>
    <row r="67" spans="1:3" x14ac:dyDescent="0.3">
      <c r="A67" s="22" t="s">
        <v>109</v>
      </c>
      <c r="B67" s="36">
        <v>6529000000</v>
      </c>
      <c r="C67" s="29">
        <v>21700000000</v>
      </c>
    </row>
    <row r="68" spans="1:3" x14ac:dyDescent="0.3">
      <c r="A68" s="22" t="s">
        <v>110</v>
      </c>
      <c r="B68" s="36"/>
      <c r="C68" s="29"/>
    </row>
    <row r="69" spans="1:3" x14ac:dyDescent="0.3">
      <c r="A69" s="22" t="s">
        <v>111</v>
      </c>
      <c r="B69" s="36"/>
      <c r="C69" s="29">
        <v>366000000</v>
      </c>
    </row>
    <row r="70" spans="1:3" x14ac:dyDescent="0.3">
      <c r="A70" s="22" t="s">
        <v>112</v>
      </c>
      <c r="B70" s="36"/>
      <c r="C70" s="29">
        <v>161500000</v>
      </c>
    </row>
    <row r="71" spans="1:3" x14ac:dyDescent="0.3">
      <c r="A71" s="22" t="s">
        <v>113</v>
      </c>
      <c r="B71" s="36">
        <v>762200000</v>
      </c>
      <c r="C71" s="29">
        <v>7745000000</v>
      </c>
    </row>
    <row r="72" spans="1:3" x14ac:dyDescent="0.3">
      <c r="A72" s="22" t="s">
        <v>114</v>
      </c>
      <c r="B72" s="36"/>
      <c r="C72" s="29"/>
    </row>
    <row r="73" spans="1:3" x14ac:dyDescent="0.3">
      <c r="A73" s="22" t="s">
        <v>115</v>
      </c>
      <c r="B73" s="36">
        <v>261100000</v>
      </c>
      <c r="C73" s="29">
        <v>16810000000</v>
      </c>
    </row>
    <row r="74" spans="1:3" x14ac:dyDescent="0.3">
      <c r="A74" s="22" t="s">
        <v>116</v>
      </c>
      <c r="B74" s="36">
        <v>2113000000</v>
      </c>
      <c r="C74" s="29">
        <v>33750000000</v>
      </c>
    </row>
    <row r="75" spans="1:3" x14ac:dyDescent="0.3">
      <c r="A75" s="22" t="s">
        <v>117</v>
      </c>
      <c r="B75" s="36">
        <v>-880500000</v>
      </c>
      <c r="C75" s="29">
        <v>4792000000</v>
      </c>
    </row>
    <row r="76" spans="1:3" x14ac:dyDescent="0.3">
      <c r="A76" s="22" t="s">
        <v>118</v>
      </c>
      <c r="B76" s="36">
        <v>-578600000</v>
      </c>
      <c r="C76" s="29">
        <v>248000000</v>
      </c>
    </row>
    <row r="77" spans="1:3" x14ac:dyDescent="0.3">
      <c r="A77" s="22" t="s">
        <v>119</v>
      </c>
      <c r="B77" s="36">
        <v>-144900000</v>
      </c>
      <c r="C77" s="29">
        <v>311000000</v>
      </c>
    </row>
    <row r="78" spans="1:3" x14ac:dyDescent="0.3">
      <c r="A78" s="22" t="s">
        <v>120</v>
      </c>
      <c r="B78" s="36">
        <v>-1169000000</v>
      </c>
      <c r="C78" s="29">
        <v>8373000000</v>
      </c>
    </row>
    <row r="79" spans="1:3" x14ac:dyDescent="0.3">
      <c r="A79" s="22" t="s">
        <v>121</v>
      </c>
      <c r="B79" s="36">
        <v>-464400000</v>
      </c>
      <c r="C79" s="29">
        <v>2900000000</v>
      </c>
    </row>
    <row r="80" spans="1:3" x14ac:dyDescent="0.3">
      <c r="A80" s="22" t="s">
        <v>122</v>
      </c>
      <c r="B80" s="36"/>
      <c r="C80" s="29"/>
    </row>
    <row r="81" spans="1:3" x14ac:dyDescent="0.3">
      <c r="A81" s="22" t="s">
        <v>124</v>
      </c>
      <c r="B81" s="36"/>
      <c r="C81" s="29"/>
    </row>
    <row r="82" spans="1:3" x14ac:dyDescent="0.3">
      <c r="A82" s="22" t="s">
        <v>125</v>
      </c>
      <c r="B82" s="36"/>
      <c r="C82" s="29">
        <v>64000000</v>
      </c>
    </row>
    <row r="83" spans="1:3" x14ac:dyDescent="0.3">
      <c r="A83" s="22" t="s">
        <v>126</v>
      </c>
      <c r="B83" s="36"/>
      <c r="C83" s="29">
        <v>188100000</v>
      </c>
    </row>
    <row r="84" spans="1:3" x14ac:dyDescent="0.3">
      <c r="A84" s="22" t="s">
        <v>127</v>
      </c>
      <c r="B84" s="36">
        <v>11390000000</v>
      </c>
      <c r="C84" s="29">
        <v>30000000000</v>
      </c>
    </row>
    <row r="85" spans="1:3" x14ac:dyDescent="0.3">
      <c r="A85" s="22" t="s">
        <v>128</v>
      </c>
      <c r="B85" s="36">
        <v>-305000000</v>
      </c>
      <c r="C85" s="29"/>
    </row>
    <row r="86" spans="1:3" x14ac:dyDescent="0.3">
      <c r="A86" s="22" t="s">
        <v>129</v>
      </c>
      <c r="B86" s="36"/>
      <c r="C86" s="29">
        <v>1200000000</v>
      </c>
    </row>
    <row r="87" spans="1:3" x14ac:dyDescent="0.3">
      <c r="A87" s="22" t="s">
        <v>130</v>
      </c>
      <c r="B87" s="36"/>
      <c r="C87" s="29"/>
    </row>
    <row r="88" spans="1:3" x14ac:dyDescent="0.3">
      <c r="A88" s="22" t="s">
        <v>131</v>
      </c>
      <c r="B88" s="36"/>
      <c r="C88" s="29"/>
    </row>
    <row r="89" spans="1:3" x14ac:dyDescent="0.3">
      <c r="A89" s="22" t="s">
        <v>132</v>
      </c>
      <c r="B89" s="36">
        <v>196800000</v>
      </c>
      <c r="C89" s="29">
        <v>3804000000</v>
      </c>
    </row>
    <row r="90" spans="1:3" x14ac:dyDescent="0.3">
      <c r="A90" s="22" t="s">
        <v>133</v>
      </c>
      <c r="B90" s="36">
        <v>-16400000</v>
      </c>
      <c r="C90" s="29">
        <v>476000000</v>
      </c>
    </row>
    <row r="91" spans="1:3" x14ac:dyDescent="0.3">
      <c r="A91" s="22" t="s">
        <v>134</v>
      </c>
      <c r="B91" s="36"/>
      <c r="C91" s="29">
        <v>108000000</v>
      </c>
    </row>
    <row r="92" spans="1:3" x14ac:dyDescent="0.3">
      <c r="A92" s="22" t="s">
        <v>135</v>
      </c>
      <c r="B92" s="36">
        <v>-632900000</v>
      </c>
      <c r="C92" s="29">
        <v>1800000000</v>
      </c>
    </row>
    <row r="93" spans="1:3" x14ac:dyDescent="0.3">
      <c r="A93" s="22" t="s">
        <v>136</v>
      </c>
      <c r="B93" s="36">
        <v>73590000000</v>
      </c>
      <c r="C93" s="29"/>
    </row>
    <row r="94" spans="1:3" x14ac:dyDescent="0.3">
      <c r="A94" s="22" t="s">
        <v>137</v>
      </c>
      <c r="B94" s="36">
        <v>83870000</v>
      </c>
      <c r="C94" s="29">
        <v>7396000000</v>
      </c>
    </row>
    <row r="95" spans="1:3" x14ac:dyDescent="0.3">
      <c r="A95" s="22" t="s">
        <v>138</v>
      </c>
      <c r="B95" s="36"/>
      <c r="C95" s="29"/>
    </row>
    <row r="96" spans="1:3" x14ac:dyDescent="0.3">
      <c r="A96" s="22" t="s">
        <v>139</v>
      </c>
      <c r="B96" s="36"/>
      <c r="C96" s="29"/>
    </row>
    <row r="97" spans="1:3" x14ac:dyDescent="0.3">
      <c r="A97" s="22" t="s">
        <v>140</v>
      </c>
      <c r="B97" s="36">
        <v>-8000000000</v>
      </c>
      <c r="C97" s="29">
        <v>67230000000</v>
      </c>
    </row>
    <row r="98" spans="1:3" x14ac:dyDescent="0.3">
      <c r="A98" s="22" t="s">
        <v>141</v>
      </c>
      <c r="B98" s="36"/>
      <c r="C98" s="29">
        <v>25000000</v>
      </c>
    </row>
    <row r="99" spans="1:3" x14ac:dyDescent="0.3">
      <c r="A99" s="22" t="s">
        <v>142</v>
      </c>
      <c r="B99" s="36"/>
      <c r="C99" s="29">
        <v>196000000</v>
      </c>
    </row>
    <row r="100" spans="1:3" x14ac:dyDescent="0.3">
      <c r="A100" s="22" t="s">
        <v>143</v>
      </c>
      <c r="B100" s="36"/>
      <c r="C100" s="29"/>
    </row>
    <row r="101" spans="1:3" x14ac:dyDescent="0.3">
      <c r="A101" s="22" t="s">
        <v>144</v>
      </c>
      <c r="B101" s="36"/>
      <c r="C101" s="29"/>
    </row>
    <row r="102" spans="1:3" x14ac:dyDescent="0.3">
      <c r="A102" s="22" t="s">
        <v>145</v>
      </c>
      <c r="B102" s="36">
        <v>-1381000000</v>
      </c>
      <c r="C102" s="29">
        <v>5969000000</v>
      </c>
    </row>
    <row r="103" spans="1:3" x14ac:dyDescent="0.3">
      <c r="A103" s="22" t="s">
        <v>146</v>
      </c>
      <c r="B103" s="36"/>
      <c r="C103" s="29"/>
    </row>
    <row r="104" spans="1:3" x14ac:dyDescent="0.3">
      <c r="A104" s="22" t="s">
        <v>147</v>
      </c>
      <c r="B104" s="36">
        <v>-308300000</v>
      </c>
      <c r="C104" s="29">
        <v>3250000000</v>
      </c>
    </row>
    <row r="105" spans="1:3" x14ac:dyDescent="0.3">
      <c r="A105" s="22" t="s">
        <v>148</v>
      </c>
      <c r="B105" s="36"/>
      <c r="C105" s="29">
        <v>941500000</v>
      </c>
    </row>
    <row r="106" spans="1:3" x14ac:dyDescent="0.3">
      <c r="A106" s="22" t="s">
        <v>149</v>
      </c>
      <c r="B106" s="36">
        <v>-129400000</v>
      </c>
      <c r="C106" s="29">
        <v>1200000000</v>
      </c>
    </row>
    <row r="107" spans="1:3" x14ac:dyDescent="0.3">
      <c r="A107" s="22" t="s">
        <v>150</v>
      </c>
      <c r="B107" s="36">
        <v>-27630000</v>
      </c>
      <c r="C107" s="29">
        <v>1200000000</v>
      </c>
    </row>
    <row r="108" spans="1:3" x14ac:dyDescent="0.3">
      <c r="A108" s="22" t="s">
        <v>151</v>
      </c>
      <c r="B108" s="36"/>
      <c r="C108" s="29"/>
    </row>
    <row r="109" spans="1:3" x14ac:dyDescent="0.3">
      <c r="A109" s="22" t="s">
        <v>152</v>
      </c>
      <c r="B109" s="36"/>
      <c r="C109" s="29"/>
    </row>
    <row r="110" spans="1:3" x14ac:dyDescent="0.3">
      <c r="A110" s="22" t="s">
        <v>153</v>
      </c>
      <c r="B110" s="36">
        <v>258300000</v>
      </c>
      <c r="C110" s="29">
        <v>5365000000</v>
      </c>
    </row>
    <row r="111" spans="1:3" x14ac:dyDescent="0.3">
      <c r="A111" s="22" t="s">
        <v>154</v>
      </c>
      <c r="B111" s="36">
        <v>14850000000</v>
      </c>
      <c r="C111" s="29">
        <v>417600000000</v>
      </c>
    </row>
    <row r="112" spans="1:3" x14ac:dyDescent="0.3">
      <c r="A112" s="22" t="s">
        <v>155</v>
      </c>
      <c r="B112" s="36"/>
      <c r="C112" s="29"/>
    </row>
    <row r="113" spans="1:3" x14ac:dyDescent="0.3">
      <c r="A113" s="22" t="s">
        <v>156</v>
      </c>
      <c r="B113" s="36">
        <v>-7941000000</v>
      </c>
      <c r="C113" s="29">
        <v>57000000000</v>
      </c>
    </row>
    <row r="114" spans="1:3" x14ac:dyDescent="0.3">
      <c r="A114" s="22" t="s">
        <v>157</v>
      </c>
      <c r="B114" s="36">
        <v>-570000000</v>
      </c>
      <c r="C114" s="29">
        <v>3073000000</v>
      </c>
    </row>
    <row r="115" spans="1:3" x14ac:dyDescent="0.3">
      <c r="A115" s="22" t="s">
        <v>158</v>
      </c>
      <c r="B115" s="36">
        <v>4897000000</v>
      </c>
      <c r="C115" s="29">
        <v>117200000000</v>
      </c>
    </row>
    <row r="116" spans="1:3" x14ac:dyDescent="0.3">
      <c r="A116" s="22" t="s">
        <v>159</v>
      </c>
      <c r="B116" s="36">
        <v>7338000000</v>
      </c>
      <c r="C116" s="29">
        <v>141500000000</v>
      </c>
    </row>
    <row r="117" spans="1:3" x14ac:dyDescent="0.3">
      <c r="A117" s="22" t="s">
        <v>160</v>
      </c>
      <c r="B117" s="36">
        <v>2100000000</v>
      </c>
      <c r="C117" s="29">
        <v>13400000000</v>
      </c>
    </row>
    <row r="118" spans="1:3" x14ac:dyDescent="0.3">
      <c r="A118" s="22" t="s">
        <v>161</v>
      </c>
      <c r="B118" s="36">
        <v>-560000000</v>
      </c>
      <c r="C118" s="29">
        <v>125000000000</v>
      </c>
    </row>
    <row r="119" spans="1:3" x14ac:dyDescent="0.3">
      <c r="A119" s="22" t="s">
        <v>162</v>
      </c>
      <c r="B119" s="36">
        <v>-2881000000</v>
      </c>
      <c r="C119" s="29">
        <v>11000000000</v>
      </c>
    </row>
    <row r="120" spans="1:3" x14ac:dyDescent="0.3">
      <c r="A120" s="22" t="s">
        <v>163</v>
      </c>
      <c r="B120" s="36">
        <v>211900000</v>
      </c>
      <c r="C120" s="29">
        <v>74460000000</v>
      </c>
    </row>
    <row r="121" spans="1:3" x14ac:dyDescent="0.3">
      <c r="A121" s="22" t="s">
        <v>164</v>
      </c>
      <c r="B121" s="36">
        <v>-21100000000</v>
      </c>
      <c r="C121" s="29">
        <v>913900000000</v>
      </c>
    </row>
    <row r="122" spans="1:3" x14ac:dyDescent="0.3">
      <c r="A122" s="22" t="s">
        <v>165</v>
      </c>
      <c r="B122" s="36">
        <v>-830700000</v>
      </c>
      <c r="C122" s="29">
        <v>5964000000</v>
      </c>
    </row>
    <row r="123" spans="1:3" x14ac:dyDescent="0.3">
      <c r="A123" s="22" t="s">
        <v>166</v>
      </c>
      <c r="B123" s="36"/>
      <c r="C123" s="29"/>
    </row>
    <row r="124" spans="1:3" x14ac:dyDescent="0.3">
      <c r="A124" s="22" t="s">
        <v>167</v>
      </c>
      <c r="B124" s="36">
        <v>170200000000</v>
      </c>
      <c r="C124" s="29"/>
    </row>
    <row r="125" spans="1:3" x14ac:dyDescent="0.3">
      <c r="A125" s="22" t="s">
        <v>168</v>
      </c>
      <c r="B125" s="36"/>
      <c r="C125" s="29"/>
    </row>
    <row r="126" spans="1:3" x14ac:dyDescent="0.3">
      <c r="A126" s="22" t="s">
        <v>169</v>
      </c>
      <c r="B126" s="36"/>
      <c r="C126" s="29"/>
    </row>
    <row r="127" spans="1:3" x14ac:dyDescent="0.3">
      <c r="A127" s="22" t="s">
        <v>170</v>
      </c>
      <c r="B127" s="36"/>
      <c r="C127" s="29"/>
    </row>
    <row r="128" spans="1:3" x14ac:dyDescent="0.3">
      <c r="A128" s="22" t="s">
        <v>171</v>
      </c>
      <c r="B128" s="36">
        <v>203200000</v>
      </c>
      <c r="C128" s="29">
        <v>7320000000</v>
      </c>
    </row>
    <row r="129" spans="1:3" x14ac:dyDescent="0.3">
      <c r="A129" s="22" t="s">
        <v>172</v>
      </c>
      <c r="B129" s="36"/>
      <c r="C129" s="29"/>
    </row>
    <row r="130" spans="1:3" x14ac:dyDescent="0.3">
      <c r="A130" s="22" t="s">
        <v>173</v>
      </c>
      <c r="B130" s="36">
        <v>-39020000</v>
      </c>
      <c r="C130" s="29">
        <v>26030000000</v>
      </c>
    </row>
    <row r="131" spans="1:3" x14ac:dyDescent="0.3">
      <c r="A131" s="22" t="s">
        <v>174</v>
      </c>
      <c r="B131" s="36">
        <v>-459200000</v>
      </c>
      <c r="C131" s="29">
        <v>6792000000</v>
      </c>
    </row>
    <row r="132" spans="1:3" x14ac:dyDescent="0.3">
      <c r="A132" s="22" t="s">
        <v>175</v>
      </c>
      <c r="B132" s="36"/>
      <c r="C132" s="29"/>
    </row>
    <row r="133" spans="1:3" x14ac:dyDescent="0.3">
      <c r="A133" s="22" t="s">
        <v>176</v>
      </c>
      <c r="B133" s="36"/>
      <c r="C133" s="29">
        <v>10000000</v>
      </c>
    </row>
    <row r="134" spans="1:3" x14ac:dyDescent="0.3">
      <c r="A134" s="22" t="s">
        <v>177</v>
      </c>
      <c r="B134" s="36"/>
      <c r="C134" s="29">
        <v>12000000000</v>
      </c>
    </row>
    <row r="135" spans="1:3" x14ac:dyDescent="0.3">
      <c r="A135" s="22" t="s">
        <v>178</v>
      </c>
      <c r="B135" s="36">
        <v>26780000000</v>
      </c>
      <c r="C135" s="29">
        <v>160000000000</v>
      </c>
    </row>
    <row r="136" spans="1:3" x14ac:dyDescent="0.3">
      <c r="A136" s="22" t="s">
        <v>179</v>
      </c>
      <c r="B136" s="36">
        <v>12040000000</v>
      </c>
      <c r="C136" s="29">
        <v>15020000000</v>
      </c>
    </row>
    <row r="137" spans="1:3" x14ac:dyDescent="0.3">
      <c r="A137" s="22" t="s">
        <v>180</v>
      </c>
      <c r="B137" s="36">
        <v>-87920000</v>
      </c>
      <c r="C137" s="29">
        <v>1970000000</v>
      </c>
    </row>
    <row r="138" spans="1:3" x14ac:dyDescent="0.3">
      <c r="A138" s="22" t="s">
        <v>181</v>
      </c>
      <c r="B138" s="36">
        <v>-80760000</v>
      </c>
      <c r="C138" s="29">
        <v>2490000000</v>
      </c>
    </row>
    <row r="139" spans="1:3" x14ac:dyDescent="0.3">
      <c r="A139" s="22" t="s">
        <v>182</v>
      </c>
      <c r="B139" s="36">
        <v>-1251000000</v>
      </c>
      <c r="C139" s="29">
        <v>7368000000</v>
      </c>
    </row>
    <row r="140" spans="1:3" x14ac:dyDescent="0.3">
      <c r="A140" s="22" t="s">
        <v>183</v>
      </c>
      <c r="B140" s="36">
        <v>-2389000000</v>
      </c>
      <c r="C140" s="29">
        <v>15840000000</v>
      </c>
    </row>
    <row r="141" spans="1:3" x14ac:dyDescent="0.3">
      <c r="A141" s="22" t="s">
        <v>184</v>
      </c>
      <c r="B141" s="36">
        <v>-108300000</v>
      </c>
      <c r="C141" s="29">
        <v>735000000</v>
      </c>
    </row>
    <row r="142" spans="1:3" x14ac:dyDescent="0.3">
      <c r="A142" s="22" t="s">
        <v>185</v>
      </c>
      <c r="B142" s="36"/>
      <c r="C142" s="29">
        <v>2100000000</v>
      </c>
    </row>
    <row r="143" spans="1:3" x14ac:dyDescent="0.3">
      <c r="A143" s="22" t="s">
        <v>186</v>
      </c>
      <c r="B143" s="36">
        <v>9895000000</v>
      </c>
      <c r="C143" s="29">
        <v>4069000000</v>
      </c>
    </row>
    <row r="144" spans="1:3" x14ac:dyDescent="0.3">
      <c r="A144" s="22" t="s">
        <v>187</v>
      </c>
      <c r="B144" s="36"/>
      <c r="C144" s="29">
        <v>0</v>
      </c>
    </row>
    <row r="145" spans="1:3" x14ac:dyDescent="0.3">
      <c r="A145" s="22" t="s">
        <v>188</v>
      </c>
      <c r="B145" s="36">
        <v>-1600000000</v>
      </c>
      <c r="C145" s="29">
        <v>10010000000</v>
      </c>
    </row>
    <row r="146" spans="1:3" x14ac:dyDescent="0.3">
      <c r="A146" s="22" t="s">
        <v>189</v>
      </c>
      <c r="B146" s="36"/>
      <c r="C146" s="29"/>
    </row>
    <row r="147" spans="1:3" x14ac:dyDescent="0.3">
      <c r="A147" s="22" t="s">
        <v>190</v>
      </c>
      <c r="B147" s="36"/>
      <c r="C147" s="29">
        <v>2700000000</v>
      </c>
    </row>
    <row r="148" spans="1:3" x14ac:dyDescent="0.3">
      <c r="A148" s="22" t="s">
        <v>191</v>
      </c>
      <c r="B148" s="36">
        <v>-311000000</v>
      </c>
      <c r="C148" s="29">
        <v>1863000000</v>
      </c>
    </row>
    <row r="149" spans="1:3" x14ac:dyDescent="0.3">
      <c r="A149" s="22" t="s">
        <v>192</v>
      </c>
      <c r="B149" s="36">
        <v>-281900000</v>
      </c>
      <c r="C149" s="29">
        <v>4600000000</v>
      </c>
    </row>
    <row r="150" spans="1:3" x14ac:dyDescent="0.3">
      <c r="A150" s="22" t="s">
        <v>193</v>
      </c>
      <c r="B150" s="36">
        <v>-55500000</v>
      </c>
      <c r="C150" s="29">
        <v>3129000000</v>
      </c>
    </row>
    <row r="151" spans="1:3" x14ac:dyDescent="0.3">
      <c r="A151" s="22" t="s">
        <v>194</v>
      </c>
      <c r="B151" s="36">
        <v>11810000000</v>
      </c>
      <c r="C151" s="29">
        <v>53360000000</v>
      </c>
    </row>
    <row r="152" spans="1:3" x14ac:dyDescent="0.3">
      <c r="A152" s="22" t="s">
        <v>195</v>
      </c>
      <c r="B152" s="36"/>
      <c r="C152" s="29">
        <v>281000000</v>
      </c>
    </row>
    <row r="153" spans="1:3" x14ac:dyDescent="0.3">
      <c r="A153" s="22" t="s">
        <v>196</v>
      </c>
      <c r="B153" s="36"/>
      <c r="C153" s="29">
        <v>3300000000</v>
      </c>
    </row>
    <row r="154" spans="1:3" x14ac:dyDescent="0.3">
      <c r="A154" s="22" t="s">
        <v>197</v>
      </c>
      <c r="B154" s="36">
        <v>-241000000</v>
      </c>
      <c r="C154" s="29">
        <v>130000000</v>
      </c>
    </row>
    <row r="155" spans="1:3" x14ac:dyDescent="0.3">
      <c r="A155" s="22" t="s">
        <v>198</v>
      </c>
      <c r="B155" s="36"/>
      <c r="C155" s="29"/>
    </row>
    <row r="156" spans="1:3" x14ac:dyDescent="0.3">
      <c r="A156" s="22" t="s">
        <v>199</v>
      </c>
      <c r="B156" s="36"/>
      <c r="C156" s="29">
        <v>86500000</v>
      </c>
    </row>
    <row r="157" spans="1:3" x14ac:dyDescent="0.3">
      <c r="A157" s="22" t="s">
        <v>200</v>
      </c>
      <c r="B157" s="36"/>
      <c r="C157" s="29">
        <v>180000000</v>
      </c>
    </row>
    <row r="158" spans="1:3" x14ac:dyDescent="0.3">
      <c r="A158" s="22" t="s">
        <v>201</v>
      </c>
      <c r="B158" s="36"/>
      <c r="C158" s="29">
        <v>2500000000</v>
      </c>
    </row>
    <row r="159" spans="1:3" x14ac:dyDescent="0.3">
      <c r="A159" s="22" t="s">
        <v>202</v>
      </c>
      <c r="B159" s="36">
        <v>284100000</v>
      </c>
      <c r="C159" s="29">
        <v>1780000000</v>
      </c>
    </row>
    <row r="160" spans="1:3" x14ac:dyDescent="0.3">
      <c r="A160" s="22" t="s">
        <v>203</v>
      </c>
      <c r="B160" s="36"/>
      <c r="C160" s="29"/>
    </row>
    <row r="161" spans="1:3" x14ac:dyDescent="0.3">
      <c r="A161" s="22" t="s">
        <v>204</v>
      </c>
      <c r="B161" s="36">
        <v>-4113000000</v>
      </c>
      <c r="C161" s="29">
        <v>149900000000</v>
      </c>
    </row>
    <row r="162" spans="1:3" x14ac:dyDescent="0.3">
      <c r="A162" s="22" t="s">
        <v>205</v>
      </c>
      <c r="B162" s="36"/>
      <c r="C162" s="29">
        <v>53100000</v>
      </c>
    </row>
    <row r="163" spans="1:3" x14ac:dyDescent="0.3">
      <c r="A163" s="22" t="s">
        <v>206</v>
      </c>
      <c r="B163" s="36"/>
      <c r="C163" s="29"/>
    </row>
    <row r="164" spans="1:3" x14ac:dyDescent="0.3">
      <c r="A164" s="22" t="s">
        <v>207</v>
      </c>
      <c r="B164" s="36">
        <v>-148400000</v>
      </c>
      <c r="C164" s="29">
        <v>1400000000</v>
      </c>
    </row>
    <row r="165" spans="1:3" x14ac:dyDescent="0.3">
      <c r="A165" s="22" t="s">
        <v>208</v>
      </c>
      <c r="B165" s="36"/>
      <c r="C165" s="29">
        <v>18000000000</v>
      </c>
    </row>
    <row r="166" spans="1:3" x14ac:dyDescent="0.3">
      <c r="A166" s="22" t="s">
        <v>209</v>
      </c>
      <c r="B166" s="36"/>
      <c r="C166" s="29">
        <v>1191000000</v>
      </c>
    </row>
    <row r="167" spans="1:3" x14ac:dyDescent="0.3">
      <c r="A167" s="22" t="s">
        <v>210</v>
      </c>
      <c r="B167" s="36"/>
      <c r="C167" s="29">
        <v>8900000</v>
      </c>
    </row>
    <row r="168" spans="1:3" x14ac:dyDescent="0.3">
      <c r="A168" s="22" t="s">
        <v>211</v>
      </c>
      <c r="B168" s="36">
        <v>765400000</v>
      </c>
      <c r="C168" s="29">
        <v>17070000000</v>
      </c>
    </row>
    <row r="169" spans="1:3" x14ac:dyDescent="0.3">
      <c r="A169" s="22" t="s">
        <v>212</v>
      </c>
      <c r="B169" s="36">
        <v>-101200000</v>
      </c>
      <c r="C169" s="29">
        <v>966000000</v>
      </c>
    </row>
    <row r="170" spans="1:3" x14ac:dyDescent="0.3">
      <c r="A170" s="22" t="s">
        <v>213</v>
      </c>
      <c r="B170" s="36">
        <v>234300000</v>
      </c>
      <c r="C170" s="29">
        <v>1136000000</v>
      </c>
    </row>
    <row r="171" spans="1:3" x14ac:dyDescent="0.3">
      <c r="A171" s="22" t="s">
        <v>214</v>
      </c>
      <c r="B171" s="36"/>
      <c r="C171" s="29">
        <v>33300000</v>
      </c>
    </row>
    <row r="172" spans="1:3" x14ac:dyDescent="0.3">
      <c r="A172" s="22" t="s">
        <v>215</v>
      </c>
      <c r="B172" s="36"/>
      <c r="C172" s="29"/>
    </row>
    <row r="173" spans="1:3" x14ac:dyDescent="0.3">
      <c r="A173" s="22" t="s">
        <v>216</v>
      </c>
      <c r="B173" s="36"/>
      <c r="C173" s="29">
        <v>2700000000</v>
      </c>
    </row>
    <row r="174" spans="1:3" x14ac:dyDescent="0.3">
      <c r="A174" s="22" t="s">
        <v>217</v>
      </c>
      <c r="B174" s="36">
        <v>19900000000</v>
      </c>
      <c r="C174" s="29"/>
    </row>
    <row r="175" spans="1:3" x14ac:dyDescent="0.3">
      <c r="A175" s="22" t="s">
        <v>218</v>
      </c>
      <c r="B175" s="36"/>
      <c r="C175" s="29">
        <v>1350000000</v>
      </c>
    </row>
    <row r="176" spans="1:3" x14ac:dyDescent="0.3">
      <c r="A176" s="22" t="s">
        <v>219</v>
      </c>
      <c r="B176" s="36"/>
      <c r="C176" s="29">
        <v>79000000</v>
      </c>
    </row>
    <row r="177" spans="1:3" x14ac:dyDescent="0.3">
      <c r="A177" s="22" t="s">
        <v>220</v>
      </c>
      <c r="B177" s="36">
        <v>-3647000000</v>
      </c>
      <c r="C177" s="29">
        <v>47340000000</v>
      </c>
    </row>
    <row r="178" spans="1:3" x14ac:dyDescent="0.3">
      <c r="A178" s="22" t="s">
        <v>221</v>
      </c>
      <c r="B178" s="36">
        <v>-843100000</v>
      </c>
      <c r="C178" s="29">
        <v>4573000000</v>
      </c>
    </row>
    <row r="179" spans="1:3" x14ac:dyDescent="0.3">
      <c r="A179" s="22" t="s">
        <v>222</v>
      </c>
      <c r="B179" s="36"/>
      <c r="C179" s="29">
        <v>1600000000</v>
      </c>
    </row>
    <row r="180" spans="1:3" x14ac:dyDescent="0.3">
      <c r="A180" s="22" t="s">
        <v>223</v>
      </c>
      <c r="B180" s="36">
        <v>5228000000</v>
      </c>
      <c r="C180" s="29">
        <v>30550000000</v>
      </c>
    </row>
    <row r="181" spans="1:3" x14ac:dyDescent="0.3">
      <c r="A181" s="22" t="s">
        <v>224</v>
      </c>
      <c r="B181" s="36"/>
      <c r="C181" s="29">
        <v>418000</v>
      </c>
    </row>
    <row r="182" spans="1:3" x14ac:dyDescent="0.3">
      <c r="A182" s="22" t="s">
        <v>225</v>
      </c>
      <c r="B182" s="36"/>
      <c r="C182" s="29"/>
    </row>
    <row r="183" spans="1:3" x14ac:dyDescent="0.3">
      <c r="A183" s="22" t="s">
        <v>226</v>
      </c>
      <c r="B183" s="36"/>
      <c r="C183" s="29"/>
    </row>
    <row r="184" spans="1:3" x14ac:dyDescent="0.3">
      <c r="A184" s="22" t="s">
        <v>227</v>
      </c>
      <c r="B184" s="36">
        <v>30520000000</v>
      </c>
      <c r="C184" s="29">
        <v>0</v>
      </c>
    </row>
    <row r="185" spans="1:3" x14ac:dyDescent="0.3">
      <c r="A185" s="22" t="s">
        <v>228</v>
      </c>
      <c r="B185" s="36">
        <v>2674000000</v>
      </c>
      <c r="C185" s="29">
        <v>4814000000</v>
      </c>
    </row>
    <row r="186" spans="1:3" x14ac:dyDescent="0.3">
      <c r="A186" s="22" t="s">
        <v>229</v>
      </c>
      <c r="B186" s="36">
        <v>1400000000</v>
      </c>
      <c r="C186" s="29">
        <v>33970000000</v>
      </c>
    </row>
    <row r="187" spans="1:3" x14ac:dyDescent="0.3">
      <c r="A187" s="22" t="s">
        <v>230</v>
      </c>
      <c r="B187" s="36"/>
      <c r="C187" s="29">
        <v>0</v>
      </c>
    </row>
    <row r="188" spans="1:3" x14ac:dyDescent="0.3">
      <c r="A188" s="22" t="s">
        <v>231</v>
      </c>
      <c r="B188" s="36"/>
      <c r="C188" s="29"/>
    </row>
    <row r="189" spans="1:3" x14ac:dyDescent="0.3">
      <c r="A189" s="22" t="s">
        <v>232</v>
      </c>
      <c r="B189" s="36">
        <v>-469600000</v>
      </c>
      <c r="C189" s="29">
        <v>8780000000</v>
      </c>
    </row>
    <row r="190" spans="1:3" x14ac:dyDescent="0.3">
      <c r="A190" s="22" t="s">
        <v>233</v>
      </c>
      <c r="B190" s="36">
        <v>29150000</v>
      </c>
      <c r="C190" s="29">
        <v>2463000000</v>
      </c>
    </row>
    <row r="191" spans="1:3" x14ac:dyDescent="0.3">
      <c r="A191" s="22" t="s">
        <v>234</v>
      </c>
      <c r="B191" s="36">
        <v>-36110000</v>
      </c>
      <c r="C191" s="29">
        <v>3239000000</v>
      </c>
    </row>
    <row r="192" spans="1:3" x14ac:dyDescent="0.3">
      <c r="A192" s="22" t="s">
        <v>235</v>
      </c>
      <c r="B192" s="36">
        <v>-30000000</v>
      </c>
      <c r="C192" s="29">
        <v>29790000000</v>
      </c>
    </row>
    <row r="193" spans="1:3" x14ac:dyDescent="0.3">
      <c r="A193" s="22" t="s">
        <v>236</v>
      </c>
      <c r="B193" s="36">
        <v>3600000000</v>
      </c>
      <c r="C193" s="29">
        <v>55600000000</v>
      </c>
    </row>
    <row r="194" spans="1:3" x14ac:dyDescent="0.3">
      <c r="A194" s="22" t="s">
        <v>237</v>
      </c>
      <c r="B194" s="36"/>
      <c r="C194" s="29"/>
    </row>
    <row r="195" spans="1:3" x14ac:dyDescent="0.3">
      <c r="A195" s="22" t="s">
        <v>238</v>
      </c>
      <c r="B195" s="36">
        <v>-3831000000</v>
      </c>
      <c r="C195" s="29">
        <v>99150000000</v>
      </c>
    </row>
    <row r="196" spans="1:3" x14ac:dyDescent="0.3">
      <c r="A196" s="22" t="s">
        <v>239</v>
      </c>
      <c r="B196" s="36">
        <v>-8120000000</v>
      </c>
      <c r="C196" s="29">
        <v>274700000000</v>
      </c>
    </row>
    <row r="197" spans="1:3" x14ac:dyDescent="0.3">
      <c r="A197" s="22" t="s">
        <v>240</v>
      </c>
      <c r="B197" s="36"/>
      <c r="C197" s="29"/>
    </row>
    <row r="198" spans="1:3" x14ac:dyDescent="0.3">
      <c r="A198" s="22" t="s">
        <v>241</v>
      </c>
      <c r="B198" s="36">
        <v>5187000000</v>
      </c>
      <c r="C198" s="29">
        <v>18620000000</v>
      </c>
    </row>
    <row r="199" spans="1:3" x14ac:dyDescent="0.3">
      <c r="A199" s="22" t="s">
        <v>242</v>
      </c>
      <c r="B199" s="36"/>
      <c r="C199" s="29"/>
    </row>
    <row r="200" spans="1:3" x14ac:dyDescent="0.3">
      <c r="A200" s="22" t="s">
        <v>243</v>
      </c>
      <c r="B200" s="36">
        <v>-3631000000</v>
      </c>
      <c r="C200" s="29">
        <v>24590000000</v>
      </c>
    </row>
    <row r="201" spans="1:3" x14ac:dyDescent="0.3">
      <c r="A201" s="22" t="s">
        <v>244</v>
      </c>
      <c r="B201" s="36">
        <v>46040000000</v>
      </c>
      <c r="C201" s="29">
        <v>169600000000</v>
      </c>
    </row>
    <row r="202" spans="1:3" x14ac:dyDescent="0.3">
      <c r="A202" s="22" t="s">
        <v>245</v>
      </c>
      <c r="B202" s="36">
        <v>-212500000</v>
      </c>
      <c r="C202" s="29">
        <v>1300000000</v>
      </c>
    </row>
    <row r="203" spans="1:3" x14ac:dyDescent="0.3">
      <c r="A203" s="22" t="s">
        <v>246</v>
      </c>
      <c r="B203" s="36"/>
      <c r="C203" s="29"/>
    </row>
    <row r="204" spans="1:3" x14ac:dyDescent="0.3">
      <c r="A204" s="22" t="s">
        <v>247</v>
      </c>
      <c r="B204" s="36"/>
      <c r="C204" s="29">
        <v>171000000</v>
      </c>
    </row>
    <row r="205" spans="1:3" x14ac:dyDescent="0.3">
      <c r="A205" s="22" t="s">
        <v>248</v>
      </c>
      <c r="B205" s="36"/>
      <c r="C205" s="29">
        <v>214000000</v>
      </c>
    </row>
    <row r="206" spans="1:3" x14ac:dyDescent="0.3">
      <c r="A206" s="22" t="s">
        <v>249</v>
      </c>
      <c r="B206" s="36"/>
      <c r="C206" s="29"/>
    </row>
    <row r="207" spans="1:3" x14ac:dyDescent="0.3">
      <c r="A207" s="22" t="s">
        <v>250</v>
      </c>
      <c r="B207" s="36"/>
      <c r="C207" s="29">
        <v>167200000</v>
      </c>
    </row>
    <row r="208" spans="1:3" x14ac:dyDescent="0.3">
      <c r="A208" s="22" t="s">
        <v>251</v>
      </c>
      <c r="B208" s="36"/>
      <c r="C208" s="29">
        <v>197000000</v>
      </c>
    </row>
    <row r="209" spans="1:3" x14ac:dyDescent="0.3">
      <c r="A209" s="22" t="s">
        <v>252</v>
      </c>
      <c r="B209" s="36"/>
      <c r="C209" s="29"/>
    </row>
    <row r="210" spans="1:3" x14ac:dyDescent="0.3">
      <c r="A210" s="22" t="s">
        <v>253</v>
      </c>
      <c r="B210" s="36">
        <v>-31500000</v>
      </c>
      <c r="C210" s="29">
        <v>318000000</v>
      </c>
    </row>
    <row r="211" spans="1:3" x14ac:dyDescent="0.3">
      <c r="A211" s="22" t="s">
        <v>254</v>
      </c>
      <c r="B211" s="36">
        <v>51500000000</v>
      </c>
      <c r="C211" s="29">
        <v>34350000000</v>
      </c>
    </row>
    <row r="212" spans="1:3" x14ac:dyDescent="0.3">
      <c r="A212" s="22" t="s">
        <v>255</v>
      </c>
      <c r="B212" s="36">
        <v>-518800000</v>
      </c>
      <c r="C212" s="29">
        <v>3476000000</v>
      </c>
    </row>
    <row r="213" spans="1:3" x14ac:dyDescent="0.3">
      <c r="A213" s="22" t="s">
        <v>256</v>
      </c>
      <c r="B213" s="36">
        <v>-3008000000</v>
      </c>
      <c r="C213" s="29">
        <v>12970000000</v>
      </c>
    </row>
    <row r="214" spans="1:3" x14ac:dyDescent="0.3">
      <c r="A214" s="22" t="s">
        <v>257</v>
      </c>
      <c r="B214" s="36">
        <v>-98420000</v>
      </c>
      <c r="C214" s="29">
        <v>218100000</v>
      </c>
    </row>
    <row r="215" spans="1:3" x14ac:dyDescent="0.3">
      <c r="A215" s="22" t="s">
        <v>258</v>
      </c>
      <c r="B215" s="36"/>
      <c r="C215" s="29">
        <v>1500000000</v>
      </c>
    </row>
    <row r="216" spans="1:3" x14ac:dyDescent="0.3">
      <c r="A216" s="22" t="s">
        <v>259</v>
      </c>
      <c r="B216" s="36">
        <v>8800000000</v>
      </c>
      <c r="C216" s="29">
        <v>19400000000</v>
      </c>
    </row>
    <row r="217" spans="1:3" x14ac:dyDescent="0.3">
      <c r="A217" s="22" t="s">
        <v>260</v>
      </c>
      <c r="B217" s="36">
        <v>-1400000000</v>
      </c>
      <c r="C217" s="29">
        <v>19540000000</v>
      </c>
    </row>
    <row r="218" spans="1:3" x14ac:dyDescent="0.3">
      <c r="A218" s="22" t="s">
        <v>261</v>
      </c>
      <c r="B218" s="36">
        <v>-51640000</v>
      </c>
      <c r="C218" s="29">
        <v>14650000000</v>
      </c>
    </row>
    <row r="219" spans="1:3" x14ac:dyDescent="0.3">
      <c r="A219" s="22" t="s">
        <v>262</v>
      </c>
      <c r="B219" s="36"/>
      <c r="C219" s="29">
        <v>180400000</v>
      </c>
    </row>
    <row r="220" spans="1:3" x14ac:dyDescent="0.3">
      <c r="A220" s="22" t="s">
        <v>263</v>
      </c>
      <c r="B220" s="36"/>
      <c r="C220" s="29">
        <v>3000000000</v>
      </c>
    </row>
    <row r="221" spans="1:3" x14ac:dyDescent="0.3">
      <c r="A221" s="22" t="s">
        <v>264</v>
      </c>
      <c r="B221" s="36">
        <v>-2480000000</v>
      </c>
      <c r="C221" s="29">
        <v>27010000000</v>
      </c>
    </row>
    <row r="222" spans="1:3" x14ac:dyDescent="0.3">
      <c r="A222" s="22" t="s">
        <v>265</v>
      </c>
      <c r="B222" s="36"/>
      <c r="C222" s="29"/>
    </row>
    <row r="223" spans="1:3" x14ac:dyDescent="0.3">
      <c r="A223" s="22" t="s">
        <v>266</v>
      </c>
      <c r="B223" s="36">
        <v>-30890000000</v>
      </c>
      <c r="C223" s="29">
        <v>771100000000</v>
      </c>
    </row>
    <row r="224" spans="1:3" x14ac:dyDescent="0.3">
      <c r="A224" s="22" t="s">
        <v>267</v>
      </c>
      <c r="B224" s="36"/>
      <c r="C224" s="29"/>
    </row>
    <row r="225" spans="1:3" x14ac:dyDescent="0.3">
      <c r="A225" s="22" t="s">
        <v>268</v>
      </c>
      <c r="B225" s="36">
        <v>-587300000</v>
      </c>
      <c r="C225" s="29">
        <v>10850000000</v>
      </c>
    </row>
    <row r="226" spans="1:3" x14ac:dyDescent="0.3">
      <c r="A226" s="22" t="s">
        <v>269</v>
      </c>
      <c r="B226" s="36">
        <v>-763600000</v>
      </c>
      <c r="C226" s="29">
        <v>21000000000</v>
      </c>
    </row>
    <row r="227" spans="1:3" x14ac:dyDescent="0.3">
      <c r="A227" s="22" t="s">
        <v>270</v>
      </c>
      <c r="B227" s="36"/>
      <c r="C227" s="29">
        <v>321000000</v>
      </c>
    </row>
    <row r="228" spans="1:3" x14ac:dyDescent="0.3">
      <c r="A228" s="22" t="s">
        <v>271</v>
      </c>
      <c r="B228" s="36"/>
      <c r="C228" s="29"/>
    </row>
    <row r="229" spans="1:3" x14ac:dyDescent="0.3">
      <c r="A229" s="22" t="s">
        <v>272</v>
      </c>
      <c r="B229" s="36">
        <v>-82400000</v>
      </c>
      <c r="C229" s="29">
        <v>320000000</v>
      </c>
    </row>
    <row r="230" spans="1:3" x14ac:dyDescent="0.3">
      <c r="A230" s="22" t="s">
        <v>273</v>
      </c>
      <c r="B230" s="36">
        <v>24080000000</v>
      </c>
      <c r="C230" s="29">
        <v>66500000000</v>
      </c>
    </row>
    <row r="231" spans="1:3" x14ac:dyDescent="0.3">
      <c r="A231" s="22" t="s">
        <v>274</v>
      </c>
      <c r="B231" s="36">
        <v>40950000000</v>
      </c>
      <c r="C231" s="29"/>
    </row>
    <row r="232" spans="1:3" x14ac:dyDescent="0.3">
      <c r="A232" s="22" t="s">
        <v>275</v>
      </c>
      <c r="B232" s="36">
        <v>1100000000</v>
      </c>
      <c r="C232" s="29">
        <v>4000000000</v>
      </c>
    </row>
    <row r="233" spans="1:3" x14ac:dyDescent="0.3">
      <c r="A233" s="22" t="s">
        <v>276</v>
      </c>
      <c r="B233" s="36">
        <v>21160000000</v>
      </c>
      <c r="C233" s="29">
        <v>55500000000</v>
      </c>
    </row>
    <row r="234" spans="1:3" x14ac:dyDescent="0.3">
      <c r="A234" s="22" t="s">
        <v>277</v>
      </c>
      <c r="B234" s="36">
        <v>-52000000</v>
      </c>
      <c r="C234" s="29">
        <v>888000000</v>
      </c>
    </row>
    <row r="235" spans="1:3" x14ac:dyDescent="0.3">
      <c r="A235" s="22" t="s">
        <v>278</v>
      </c>
      <c r="B235" s="36">
        <v>-327400000</v>
      </c>
      <c r="C235" s="29">
        <v>7321000000</v>
      </c>
    </row>
    <row r="236" spans="1:3" x14ac:dyDescent="0.3">
      <c r="A236" s="22" t="s">
        <v>279</v>
      </c>
      <c r="B236" s="36">
        <v>6736000000</v>
      </c>
      <c r="C236" s="29">
        <v>50590000000</v>
      </c>
    </row>
    <row r="237" spans="1:3" x14ac:dyDescent="0.3">
      <c r="A237" s="22" t="s">
        <v>280</v>
      </c>
      <c r="B237" s="36">
        <v>-125600000</v>
      </c>
      <c r="C237" s="29">
        <v>1400000000</v>
      </c>
    </row>
    <row r="238" spans="1:3" x14ac:dyDescent="0.3">
      <c r="A238" s="22" t="s">
        <v>281</v>
      </c>
      <c r="B238" s="36"/>
      <c r="C238" s="29">
        <v>0</v>
      </c>
    </row>
    <row r="239" spans="1:3" x14ac:dyDescent="0.3">
      <c r="A239" s="22" t="s">
        <v>282</v>
      </c>
      <c r="B239" s="36"/>
      <c r="C239" s="29">
        <v>63400000</v>
      </c>
    </row>
    <row r="240" spans="1:3" x14ac:dyDescent="0.3">
      <c r="A240" s="22" t="s">
        <v>283</v>
      </c>
      <c r="B240" s="36">
        <v>1548000000</v>
      </c>
      <c r="C240" s="29">
        <v>2940000000</v>
      </c>
    </row>
    <row r="241" spans="1:3" x14ac:dyDescent="0.3">
      <c r="A241" s="22" t="s">
        <v>284</v>
      </c>
      <c r="B241" s="36"/>
      <c r="C241" s="29"/>
    </row>
    <row r="242" spans="1:3" x14ac:dyDescent="0.3">
      <c r="A242" s="22" t="s">
        <v>285</v>
      </c>
      <c r="B242" s="36">
        <v>71850000</v>
      </c>
      <c r="C242" s="29">
        <v>14710000000</v>
      </c>
    </row>
    <row r="243" spans="1:3" x14ac:dyDescent="0.3">
      <c r="A243" s="22" t="s">
        <v>286</v>
      </c>
      <c r="B243" s="36">
        <v>-15300000000</v>
      </c>
      <c r="C243" s="29">
        <v>16900000000</v>
      </c>
    </row>
    <row r="244" spans="1:3" x14ac:dyDescent="0.3">
      <c r="A244" s="22" t="s">
        <v>287</v>
      </c>
      <c r="B244" s="36">
        <v>114000000</v>
      </c>
      <c r="C244" s="29">
        <v>2400000000</v>
      </c>
    </row>
    <row r="245" spans="1:3" x14ac:dyDescent="0.3">
      <c r="A245" s="22" t="s">
        <v>288</v>
      </c>
      <c r="B245" s="36"/>
      <c r="C245" s="29"/>
    </row>
    <row r="246" spans="1:3" x14ac:dyDescent="0.3">
      <c r="A246" s="22" t="s">
        <v>289</v>
      </c>
      <c r="B246" s="36"/>
      <c r="C246" s="29"/>
    </row>
    <row r="247" spans="1:3" x14ac:dyDescent="0.3">
      <c r="A247" s="22" t="s">
        <v>290</v>
      </c>
      <c r="B247" s="36">
        <v>-590800000</v>
      </c>
      <c r="C247" s="29">
        <v>3865000000</v>
      </c>
    </row>
    <row r="248" spans="1:3" x14ac:dyDescent="0.3">
      <c r="A248" s="22" t="s">
        <v>291</v>
      </c>
      <c r="B248" s="36">
        <v>4584000000</v>
      </c>
      <c r="C248" s="29">
        <v>16370000000</v>
      </c>
    </row>
    <row r="249" spans="1:3" x14ac:dyDescent="0.3">
      <c r="A249" s="22" t="s">
        <v>292</v>
      </c>
      <c r="B249" s="36">
        <v>6300000000</v>
      </c>
      <c r="C249" s="29">
        <v>5900000000</v>
      </c>
    </row>
    <row r="250" spans="1:3" x14ac:dyDescent="0.3">
      <c r="A250" s="22" t="s">
        <v>293</v>
      </c>
      <c r="B250" s="36">
        <v>-33460000000</v>
      </c>
      <c r="C250" s="29">
        <v>4710000000000</v>
      </c>
    </row>
    <row r="251" spans="1:3" x14ac:dyDescent="0.3">
      <c r="A251" s="22" t="s">
        <v>294</v>
      </c>
      <c r="B251" s="36">
        <v>-646500000000</v>
      </c>
      <c r="C251" s="29">
        <v>1400000000000</v>
      </c>
    </row>
    <row r="252" spans="1:3" x14ac:dyDescent="0.3">
      <c r="A252" s="22" t="s">
        <v>295</v>
      </c>
      <c r="B252" s="36">
        <v>181800000</v>
      </c>
      <c r="C252" s="29">
        <v>12800000000</v>
      </c>
    </row>
    <row r="253" spans="1:3" x14ac:dyDescent="0.3">
      <c r="A253" s="22" t="s">
        <v>296</v>
      </c>
      <c r="B253" s="36">
        <v>461900000</v>
      </c>
      <c r="C253" s="29">
        <v>4351000000</v>
      </c>
    </row>
    <row r="254" spans="1:3" x14ac:dyDescent="0.3">
      <c r="A254" s="22" t="s">
        <v>297</v>
      </c>
      <c r="B254" s="36"/>
      <c r="C254" s="29">
        <v>83700000</v>
      </c>
    </row>
    <row r="255" spans="1:3" x14ac:dyDescent="0.3">
      <c r="A255" s="22" t="s">
        <v>298</v>
      </c>
      <c r="B255" s="36">
        <v>14590000000</v>
      </c>
      <c r="C255" s="29">
        <v>33290000000</v>
      </c>
    </row>
    <row r="256" spans="1:3" x14ac:dyDescent="0.3">
      <c r="A256" s="22" t="s">
        <v>299</v>
      </c>
      <c r="B256" s="36">
        <v>-2061000000</v>
      </c>
      <c r="C256" s="29">
        <v>16550000000</v>
      </c>
    </row>
    <row r="257" spans="1:3" x14ac:dyDescent="0.3">
      <c r="A257" s="22" t="s">
        <v>300</v>
      </c>
      <c r="B257" s="36"/>
      <c r="C257" s="29"/>
    </row>
    <row r="258" spans="1:3" x14ac:dyDescent="0.3">
      <c r="A258" s="22" t="s">
        <v>301</v>
      </c>
      <c r="B258" s="36"/>
      <c r="C258" s="29"/>
    </row>
    <row r="259" spans="1:3" x14ac:dyDescent="0.3">
      <c r="A259" s="22" t="s">
        <v>302</v>
      </c>
      <c r="B259" s="36"/>
      <c r="C259" s="29"/>
    </row>
    <row r="260" spans="1:3" x14ac:dyDescent="0.3">
      <c r="A260" s="22" t="s">
        <v>303</v>
      </c>
      <c r="B260" s="36"/>
      <c r="C260" s="29">
        <v>108000000</v>
      </c>
    </row>
    <row r="261" spans="1:3" x14ac:dyDescent="0.3">
      <c r="A261" s="22" t="s">
        <v>304</v>
      </c>
      <c r="B261" s="36"/>
      <c r="C261" s="29"/>
    </row>
    <row r="262" spans="1:3" x14ac:dyDescent="0.3">
      <c r="A262" s="22" t="s">
        <v>305</v>
      </c>
      <c r="B262" s="36">
        <v>369900000</v>
      </c>
      <c r="C262" s="29">
        <v>5400000000</v>
      </c>
    </row>
    <row r="263" spans="1:3" x14ac:dyDescent="0.3">
      <c r="A263" s="22" t="s">
        <v>306</v>
      </c>
      <c r="B263" s="36">
        <v>-181400000</v>
      </c>
      <c r="C263" s="29">
        <v>5353000000</v>
      </c>
    </row>
    <row r="264" spans="1:3" x14ac:dyDescent="0.3">
      <c r="A264" s="22" t="s">
        <v>307</v>
      </c>
      <c r="B264" s="36">
        <v>-230300000</v>
      </c>
      <c r="C264" s="29">
        <v>4086000000</v>
      </c>
    </row>
    <row r="265" spans="1:3" x14ac:dyDescent="0.3">
      <c r="A265" s="23" t="s">
        <v>330</v>
      </c>
      <c r="B265" s="37">
        <v>-126261070000</v>
      </c>
      <c r="C265" s="31">
        <v>12697337918000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6E54F-A328-4859-B8DD-7080EBA4CD7E}">
  <dimension ref="A1:D265"/>
  <sheetViews>
    <sheetView topLeftCell="B13" workbookViewId="0">
      <selection activeCell="H41" sqref="H41"/>
    </sheetView>
  </sheetViews>
  <sheetFormatPr defaultRowHeight="14.4" x14ac:dyDescent="0.3"/>
  <cols>
    <col min="1" max="1" width="39" bestFit="1" customWidth="1"/>
    <col min="2" max="2" width="28.21875" bestFit="1" customWidth="1"/>
    <col min="3" max="3" width="20.44140625" bestFit="1" customWidth="1"/>
    <col min="4" max="4" width="18" bestFit="1" customWidth="1"/>
  </cols>
  <sheetData>
    <row r="1" spans="1:4" x14ac:dyDescent="0.3">
      <c r="A1" s="20" t="s">
        <v>329</v>
      </c>
      <c r="B1" s="19" t="s">
        <v>335</v>
      </c>
      <c r="C1" s="24" t="s">
        <v>334</v>
      </c>
      <c r="D1" s="25" t="s">
        <v>333</v>
      </c>
    </row>
    <row r="2" spans="1:4" x14ac:dyDescent="0.3">
      <c r="A2" s="21" t="s">
        <v>123</v>
      </c>
      <c r="B2" s="26">
        <v>2.4</v>
      </c>
      <c r="C2" s="38">
        <v>26900</v>
      </c>
      <c r="D2" s="41">
        <v>11650000000000</v>
      </c>
    </row>
    <row r="3" spans="1:4" x14ac:dyDescent="0.3">
      <c r="A3" s="22" t="s">
        <v>45</v>
      </c>
      <c r="B3" s="28">
        <v>7.5</v>
      </c>
      <c r="C3" s="39">
        <v>800</v>
      </c>
      <c r="D3" s="42">
        <v>21500000000</v>
      </c>
    </row>
    <row r="4" spans="1:4" x14ac:dyDescent="0.3">
      <c r="A4" s="22" t="s">
        <v>46</v>
      </c>
      <c r="B4" s="28"/>
      <c r="C4" s="39"/>
      <c r="D4" s="42"/>
    </row>
    <row r="5" spans="1:4" x14ac:dyDescent="0.3">
      <c r="A5" s="22" t="s">
        <v>47</v>
      </c>
      <c r="B5" s="28">
        <v>5.6</v>
      </c>
      <c r="C5" s="39">
        <v>4900</v>
      </c>
      <c r="D5" s="42">
        <v>17460000000</v>
      </c>
    </row>
    <row r="6" spans="1:4" x14ac:dyDescent="0.3">
      <c r="A6" s="22" t="s">
        <v>48</v>
      </c>
      <c r="B6" s="28">
        <v>6.1</v>
      </c>
      <c r="C6" s="39">
        <v>6600</v>
      </c>
      <c r="D6" s="42">
        <v>212300000000</v>
      </c>
    </row>
    <row r="7" spans="1:4" x14ac:dyDescent="0.3">
      <c r="A7" s="22" t="s">
        <v>49</v>
      </c>
      <c r="B7" s="28"/>
      <c r="C7" s="39">
        <v>8000</v>
      </c>
      <c r="D7" s="42">
        <v>500000000</v>
      </c>
    </row>
    <row r="8" spans="1:4" x14ac:dyDescent="0.3">
      <c r="A8" s="22" t="s">
        <v>50</v>
      </c>
      <c r="B8" s="28">
        <v>2</v>
      </c>
      <c r="C8" s="39">
        <v>26800</v>
      </c>
      <c r="D8" s="42">
        <v>1900000000</v>
      </c>
    </row>
    <row r="9" spans="1:4" x14ac:dyDescent="0.3">
      <c r="A9" s="22" t="s">
        <v>51</v>
      </c>
      <c r="B9" s="28">
        <v>11.7</v>
      </c>
      <c r="C9" s="39">
        <v>2100</v>
      </c>
      <c r="D9" s="42">
        <v>23170000000</v>
      </c>
    </row>
    <row r="10" spans="1:4" x14ac:dyDescent="0.3">
      <c r="A10" s="22" t="s">
        <v>52</v>
      </c>
      <c r="B10" s="28">
        <v>2.8</v>
      </c>
      <c r="C10" s="39">
        <v>7500</v>
      </c>
      <c r="D10" s="42">
        <v>112000000</v>
      </c>
    </row>
    <row r="11" spans="1:4" x14ac:dyDescent="0.3">
      <c r="A11" s="22" t="s">
        <v>53</v>
      </c>
      <c r="B11" s="28"/>
      <c r="C11" s="39"/>
      <c r="D11" s="42"/>
    </row>
    <row r="12" spans="1:4" x14ac:dyDescent="0.3">
      <c r="A12" s="22" t="s">
        <v>54</v>
      </c>
      <c r="B12" s="28">
        <v>3</v>
      </c>
      <c r="C12" s="39">
        <v>11000</v>
      </c>
      <c r="D12" s="42">
        <v>750000000</v>
      </c>
    </row>
    <row r="13" spans="1:4" x14ac:dyDescent="0.3">
      <c r="A13" s="22" t="s">
        <v>55</v>
      </c>
      <c r="B13" s="28">
        <v>8.3000000000000007</v>
      </c>
      <c r="C13" s="39">
        <v>12400</v>
      </c>
      <c r="D13" s="42">
        <v>483500000000</v>
      </c>
    </row>
    <row r="14" spans="1:4" x14ac:dyDescent="0.3">
      <c r="A14" s="22" t="s">
        <v>56</v>
      </c>
      <c r="B14" s="28">
        <v>9</v>
      </c>
      <c r="C14" s="39">
        <v>4600</v>
      </c>
      <c r="D14" s="42">
        <v>13650000000</v>
      </c>
    </row>
    <row r="15" spans="1:4" x14ac:dyDescent="0.3">
      <c r="A15" s="22" t="s">
        <v>57</v>
      </c>
      <c r="B15" s="28">
        <v>-1.5</v>
      </c>
      <c r="C15" s="39">
        <v>28000</v>
      </c>
      <c r="D15" s="42">
        <v>1940000000</v>
      </c>
    </row>
    <row r="16" spans="1:4" x14ac:dyDescent="0.3">
      <c r="A16" s="22" t="s">
        <v>58</v>
      </c>
      <c r="B16" s="28"/>
      <c r="C16" s="39"/>
      <c r="D16" s="42"/>
    </row>
    <row r="17" spans="1:4" x14ac:dyDescent="0.3">
      <c r="A17" s="22" t="s">
        <v>59</v>
      </c>
      <c r="B17" s="28">
        <v>3.5</v>
      </c>
      <c r="C17" s="39">
        <v>30700</v>
      </c>
      <c r="D17" s="42">
        <v>611700000000</v>
      </c>
    </row>
    <row r="18" spans="1:4" x14ac:dyDescent="0.3">
      <c r="A18" s="22" t="s">
        <v>60</v>
      </c>
      <c r="B18" s="28">
        <v>1.9</v>
      </c>
      <c r="C18" s="39">
        <v>31300</v>
      </c>
      <c r="D18" s="42">
        <v>255900000000</v>
      </c>
    </row>
    <row r="19" spans="1:4" x14ac:dyDescent="0.3">
      <c r="A19" s="22" t="s">
        <v>61</v>
      </c>
      <c r="B19" s="28">
        <v>9.8000000000000007</v>
      </c>
      <c r="C19" s="39">
        <v>3800</v>
      </c>
      <c r="D19" s="42">
        <v>30010000000</v>
      </c>
    </row>
    <row r="20" spans="1:4" x14ac:dyDescent="0.3">
      <c r="A20" s="22" t="s">
        <v>62</v>
      </c>
      <c r="B20" s="28">
        <v>3</v>
      </c>
      <c r="C20" s="39">
        <v>17700</v>
      </c>
      <c r="D20" s="42">
        <v>5295000000</v>
      </c>
    </row>
    <row r="21" spans="1:4" x14ac:dyDescent="0.3">
      <c r="A21" s="22" t="s">
        <v>63</v>
      </c>
      <c r="B21" s="28">
        <v>5.6</v>
      </c>
      <c r="C21" s="39">
        <v>19200</v>
      </c>
      <c r="D21" s="42">
        <v>13010000000</v>
      </c>
    </row>
    <row r="22" spans="1:4" x14ac:dyDescent="0.3">
      <c r="A22" s="22" t="s">
        <v>64</v>
      </c>
      <c r="B22" s="28"/>
      <c r="C22" s="39"/>
      <c r="D22" s="42"/>
    </row>
    <row r="23" spans="1:4" x14ac:dyDescent="0.3">
      <c r="A23" s="22" t="s">
        <v>65</v>
      </c>
      <c r="B23" s="28">
        <v>4.9000000000000004</v>
      </c>
      <c r="C23" s="39">
        <v>2000</v>
      </c>
      <c r="D23" s="42">
        <v>275700000000</v>
      </c>
    </row>
    <row r="24" spans="1:4" x14ac:dyDescent="0.3">
      <c r="A24" s="22" t="s">
        <v>66</v>
      </c>
      <c r="B24" s="28">
        <v>2.2999999999999998</v>
      </c>
      <c r="C24" s="39">
        <v>16400</v>
      </c>
      <c r="D24" s="42">
        <v>4569000000</v>
      </c>
    </row>
    <row r="25" spans="1:4" x14ac:dyDescent="0.3">
      <c r="A25" s="22" t="s">
        <v>67</v>
      </c>
      <c r="B25" s="28"/>
      <c r="C25" s="39"/>
      <c r="D25" s="42"/>
    </row>
    <row r="26" spans="1:4" x14ac:dyDescent="0.3">
      <c r="A26" s="22" t="s">
        <v>68</v>
      </c>
      <c r="B26" s="28">
        <v>6.4</v>
      </c>
      <c r="C26" s="39">
        <v>6800</v>
      </c>
      <c r="D26" s="42">
        <v>70500000000</v>
      </c>
    </row>
    <row r="27" spans="1:4" x14ac:dyDescent="0.3">
      <c r="A27" s="22" t="s">
        <v>69</v>
      </c>
      <c r="B27" s="28">
        <v>2.6</v>
      </c>
      <c r="C27" s="39">
        <v>30600</v>
      </c>
      <c r="D27" s="42">
        <v>316200000000</v>
      </c>
    </row>
    <row r="28" spans="1:4" x14ac:dyDescent="0.3">
      <c r="A28" s="22" t="s">
        <v>70</v>
      </c>
      <c r="B28" s="28">
        <v>3.5</v>
      </c>
      <c r="C28" s="39">
        <v>6500</v>
      </c>
      <c r="D28" s="42">
        <v>1778000000</v>
      </c>
    </row>
    <row r="29" spans="1:4" x14ac:dyDescent="0.3">
      <c r="A29" s="22" t="s">
        <v>71</v>
      </c>
      <c r="B29" s="28">
        <v>5</v>
      </c>
      <c r="C29" s="39">
        <v>1200</v>
      </c>
      <c r="D29" s="42">
        <v>8338000000</v>
      </c>
    </row>
    <row r="30" spans="1:4" x14ac:dyDescent="0.3">
      <c r="A30" s="22" t="s">
        <v>72</v>
      </c>
      <c r="B30" s="28">
        <v>2</v>
      </c>
      <c r="C30" s="39">
        <v>36000</v>
      </c>
      <c r="D30" s="42">
        <v>2330000000</v>
      </c>
    </row>
    <row r="31" spans="1:4" x14ac:dyDescent="0.3">
      <c r="A31" s="22" t="s">
        <v>73</v>
      </c>
      <c r="B31" s="28">
        <v>5.3</v>
      </c>
      <c r="C31" s="39">
        <v>1400</v>
      </c>
      <c r="D31" s="42">
        <v>2900000000</v>
      </c>
    </row>
    <row r="32" spans="1:4" x14ac:dyDescent="0.3">
      <c r="A32" s="22" t="s">
        <v>74</v>
      </c>
      <c r="B32" s="28">
        <v>3.7</v>
      </c>
      <c r="C32" s="39">
        <v>2600</v>
      </c>
      <c r="D32" s="42">
        <v>22330000000</v>
      </c>
    </row>
    <row r="33" spans="1:4" x14ac:dyDescent="0.3">
      <c r="A33" s="22" t="s">
        <v>75</v>
      </c>
      <c r="B33" s="28">
        <v>5</v>
      </c>
      <c r="C33" s="39">
        <v>6500</v>
      </c>
      <c r="D33" s="42">
        <v>26210000000</v>
      </c>
    </row>
    <row r="34" spans="1:4" x14ac:dyDescent="0.3">
      <c r="A34" s="22" t="s">
        <v>76</v>
      </c>
      <c r="B34" s="28">
        <v>3.5</v>
      </c>
      <c r="C34" s="39">
        <v>9200</v>
      </c>
      <c r="D34" s="42">
        <v>15050000000</v>
      </c>
    </row>
    <row r="35" spans="1:4" x14ac:dyDescent="0.3">
      <c r="A35" s="22" t="s">
        <v>77</v>
      </c>
      <c r="B35" s="28"/>
      <c r="C35" s="39"/>
      <c r="D35" s="42"/>
    </row>
    <row r="36" spans="1:4" x14ac:dyDescent="0.3">
      <c r="A36" s="22" t="s">
        <v>78</v>
      </c>
      <c r="B36" s="28">
        <v>5.0999999999999996</v>
      </c>
      <c r="C36" s="39">
        <v>8100</v>
      </c>
      <c r="D36" s="42">
        <v>1492000000000</v>
      </c>
    </row>
    <row r="37" spans="1:4" x14ac:dyDescent="0.3">
      <c r="A37" s="22" t="s">
        <v>79</v>
      </c>
      <c r="B37" s="28"/>
      <c r="C37" s="39"/>
      <c r="D37" s="42"/>
    </row>
    <row r="38" spans="1:4" x14ac:dyDescent="0.3">
      <c r="A38" s="22" t="s">
        <v>80</v>
      </c>
      <c r="B38" s="28">
        <v>1</v>
      </c>
      <c r="C38" s="39">
        <v>38500</v>
      </c>
      <c r="D38" s="42">
        <v>2498000000</v>
      </c>
    </row>
    <row r="39" spans="1:4" x14ac:dyDescent="0.3">
      <c r="A39" s="22" t="s">
        <v>81</v>
      </c>
      <c r="B39" s="28">
        <v>3.2</v>
      </c>
      <c r="C39" s="39">
        <v>23600</v>
      </c>
      <c r="D39" s="42">
        <v>6842000000</v>
      </c>
    </row>
    <row r="40" spans="1:4" x14ac:dyDescent="0.3">
      <c r="A40" s="22" t="s">
        <v>82</v>
      </c>
      <c r="B40" s="28">
        <v>5.3</v>
      </c>
      <c r="C40" s="39">
        <v>8200</v>
      </c>
      <c r="D40" s="42">
        <v>61630000000</v>
      </c>
    </row>
    <row r="41" spans="1:4" x14ac:dyDescent="0.3">
      <c r="A41" s="22" t="s">
        <v>83</v>
      </c>
      <c r="B41" s="28">
        <v>4.8</v>
      </c>
      <c r="C41" s="39">
        <v>1200</v>
      </c>
      <c r="D41" s="42">
        <v>15740000000</v>
      </c>
    </row>
    <row r="42" spans="1:4" x14ac:dyDescent="0.3">
      <c r="A42" s="22" t="s">
        <v>84</v>
      </c>
      <c r="B42" s="28">
        <v>-1.3</v>
      </c>
      <c r="C42" s="39">
        <v>1700</v>
      </c>
      <c r="D42" s="42">
        <v>74300000000</v>
      </c>
    </row>
    <row r="43" spans="1:4" x14ac:dyDescent="0.3">
      <c r="A43" s="22" t="s">
        <v>85</v>
      </c>
      <c r="B43" s="28">
        <v>3</v>
      </c>
      <c r="C43" s="39">
        <v>600</v>
      </c>
      <c r="D43" s="42">
        <v>4001000000</v>
      </c>
    </row>
    <row r="44" spans="1:4" x14ac:dyDescent="0.3">
      <c r="A44" s="22" t="s">
        <v>86</v>
      </c>
      <c r="B44" s="28">
        <v>5.4</v>
      </c>
      <c r="C44" s="39">
        <v>2000</v>
      </c>
      <c r="D44" s="42">
        <v>26990000000</v>
      </c>
    </row>
    <row r="45" spans="1:4" x14ac:dyDescent="0.3">
      <c r="A45" s="22" t="s">
        <v>87</v>
      </c>
      <c r="B45" s="28">
        <v>4.9000000000000004</v>
      </c>
      <c r="C45" s="39">
        <v>1900</v>
      </c>
      <c r="D45" s="42">
        <v>30170000000</v>
      </c>
    </row>
    <row r="46" spans="1:4" x14ac:dyDescent="0.3">
      <c r="A46" s="22" t="s">
        <v>88</v>
      </c>
      <c r="B46" s="28">
        <v>2.4</v>
      </c>
      <c r="C46" s="39">
        <v>31500</v>
      </c>
      <c r="D46" s="42">
        <v>1023000000000</v>
      </c>
    </row>
    <row r="47" spans="1:4" x14ac:dyDescent="0.3">
      <c r="A47" s="22" t="s">
        <v>89</v>
      </c>
      <c r="B47" s="28">
        <v>5</v>
      </c>
      <c r="C47" s="39">
        <v>1400</v>
      </c>
      <c r="D47" s="42">
        <v>600000000</v>
      </c>
    </row>
    <row r="48" spans="1:4" x14ac:dyDescent="0.3">
      <c r="A48" s="22" t="s">
        <v>90</v>
      </c>
      <c r="B48" s="28">
        <v>1.7</v>
      </c>
      <c r="C48" s="39">
        <v>32300</v>
      </c>
      <c r="D48" s="42">
        <v>1391000000</v>
      </c>
    </row>
    <row r="49" spans="1:4" x14ac:dyDescent="0.3">
      <c r="A49" s="22" t="s">
        <v>91</v>
      </c>
      <c r="B49" s="28">
        <v>0.5</v>
      </c>
      <c r="C49" s="39">
        <v>1100</v>
      </c>
      <c r="D49" s="42">
        <v>4248000000</v>
      </c>
    </row>
    <row r="50" spans="1:4" x14ac:dyDescent="0.3">
      <c r="A50" s="22" t="s">
        <v>92</v>
      </c>
      <c r="B50" s="28">
        <v>38</v>
      </c>
      <c r="C50" s="39">
        <v>1600</v>
      </c>
      <c r="D50" s="42">
        <v>15660000000</v>
      </c>
    </row>
    <row r="51" spans="1:4" x14ac:dyDescent="0.3">
      <c r="A51" s="22" t="s">
        <v>93</v>
      </c>
      <c r="B51" s="28">
        <v>5.8</v>
      </c>
      <c r="C51" s="39">
        <v>10700</v>
      </c>
      <c r="D51" s="42">
        <v>169100000000</v>
      </c>
    </row>
    <row r="52" spans="1:4" x14ac:dyDescent="0.3">
      <c r="A52" s="22" t="s">
        <v>94</v>
      </c>
      <c r="B52" s="28">
        <v>9.1</v>
      </c>
      <c r="C52" s="39">
        <v>5600</v>
      </c>
      <c r="D52" s="42">
        <v>7262000000000</v>
      </c>
    </row>
    <row r="53" spans="1:4" x14ac:dyDescent="0.3">
      <c r="A53" s="22" t="s">
        <v>95</v>
      </c>
      <c r="B53" s="28"/>
      <c r="C53" s="39"/>
      <c r="D53" s="42"/>
    </row>
    <row r="54" spans="1:4" x14ac:dyDescent="0.3">
      <c r="A54" s="22" t="s">
        <v>96</v>
      </c>
      <c r="B54" s="28"/>
      <c r="C54" s="39"/>
      <c r="D54" s="42"/>
    </row>
    <row r="55" spans="1:4" x14ac:dyDescent="0.3">
      <c r="A55" s="22" t="s">
        <v>97</v>
      </c>
      <c r="B55" s="28"/>
      <c r="C55" s="39"/>
      <c r="D55" s="42"/>
    </row>
    <row r="56" spans="1:4" x14ac:dyDescent="0.3">
      <c r="A56" s="22" t="s">
        <v>98</v>
      </c>
      <c r="B56" s="28">
        <v>3.6</v>
      </c>
      <c r="C56" s="39">
        <v>6600</v>
      </c>
      <c r="D56" s="42">
        <v>281100000000</v>
      </c>
    </row>
    <row r="57" spans="1:4" x14ac:dyDescent="0.3">
      <c r="A57" s="22" t="s">
        <v>99</v>
      </c>
      <c r="B57" s="28">
        <v>2</v>
      </c>
      <c r="C57" s="39">
        <v>700</v>
      </c>
      <c r="D57" s="42">
        <v>441000000</v>
      </c>
    </row>
    <row r="58" spans="1:4" x14ac:dyDescent="0.3">
      <c r="A58" s="22" t="s">
        <v>100</v>
      </c>
      <c r="B58" s="28">
        <v>7.5</v>
      </c>
      <c r="C58" s="39">
        <v>700</v>
      </c>
      <c r="D58" s="42">
        <v>42740000000</v>
      </c>
    </row>
    <row r="59" spans="1:4" x14ac:dyDescent="0.3">
      <c r="A59" s="22" t="s">
        <v>101</v>
      </c>
      <c r="B59" s="28">
        <v>3.7</v>
      </c>
      <c r="C59" s="39">
        <v>800</v>
      </c>
      <c r="D59" s="42">
        <v>2324000000</v>
      </c>
    </row>
    <row r="60" spans="1:4" x14ac:dyDescent="0.3">
      <c r="A60" s="22" t="s">
        <v>102</v>
      </c>
      <c r="B60" s="28">
        <v>7.1</v>
      </c>
      <c r="C60" s="39">
        <v>5000</v>
      </c>
      <c r="D60" s="42">
        <v>105000000</v>
      </c>
    </row>
    <row r="61" spans="1:4" x14ac:dyDescent="0.3">
      <c r="A61" s="22" t="s">
        <v>103</v>
      </c>
      <c r="B61" s="28">
        <v>3.9</v>
      </c>
      <c r="C61" s="39">
        <v>9600</v>
      </c>
      <c r="D61" s="42">
        <v>37970000000</v>
      </c>
    </row>
    <row r="62" spans="1:4" x14ac:dyDescent="0.3">
      <c r="A62" s="22" t="s">
        <v>104</v>
      </c>
      <c r="B62" s="28">
        <v>-1</v>
      </c>
      <c r="C62" s="39">
        <v>1500</v>
      </c>
      <c r="D62" s="42">
        <v>24780000000</v>
      </c>
    </row>
    <row r="63" spans="1:4" x14ac:dyDescent="0.3">
      <c r="A63" s="22" t="s">
        <v>105</v>
      </c>
      <c r="B63" s="28">
        <v>3.7</v>
      </c>
      <c r="C63" s="39">
        <v>11200</v>
      </c>
      <c r="D63" s="42">
        <v>50330000000</v>
      </c>
    </row>
    <row r="64" spans="1:4" x14ac:dyDescent="0.3">
      <c r="A64" s="22" t="s">
        <v>106</v>
      </c>
      <c r="B64" s="28">
        <v>3</v>
      </c>
      <c r="C64" s="39">
        <v>3000</v>
      </c>
      <c r="D64" s="42">
        <v>33920000000</v>
      </c>
    </row>
    <row r="65" spans="1:4" x14ac:dyDescent="0.3">
      <c r="A65" s="22" t="s">
        <v>107</v>
      </c>
      <c r="B65" s="28">
        <v>2.6</v>
      </c>
      <c r="C65" s="39">
        <v>7135</v>
      </c>
      <c r="D65" s="42">
        <v>4540000000</v>
      </c>
    </row>
    <row r="66" spans="1:4" x14ac:dyDescent="0.3">
      <c r="A66" s="22" t="s">
        <v>108</v>
      </c>
      <c r="B66" s="28">
        <v>3.7</v>
      </c>
      <c r="C66" s="39">
        <v>16800</v>
      </c>
      <c r="D66" s="42">
        <v>172200000000</v>
      </c>
    </row>
    <row r="67" spans="1:4" x14ac:dyDescent="0.3">
      <c r="A67" s="22" t="s">
        <v>109</v>
      </c>
      <c r="B67" s="28">
        <v>2.1</v>
      </c>
      <c r="C67" s="39">
        <v>32200</v>
      </c>
      <c r="D67" s="42">
        <v>174400000000</v>
      </c>
    </row>
    <row r="68" spans="1:4" x14ac:dyDescent="0.3">
      <c r="A68" s="22" t="s">
        <v>110</v>
      </c>
      <c r="B68" s="28"/>
      <c r="C68" s="39"/>
      <c r="D68" s="42"/>
    </row>
    <row r="69" spans="1:4" x14ac:dyDescent="0.3">
      <c r="A69" s="22" t="s">
        <v>111</v>
      </c>
      <c r="B69" s="28">
        <v>3.5</v>
      </c>
      <c r="C69" s="39">
        <v>1300</v>
      </c>
      <c r="D69" s="42">
        <v>619000000</v>
      </c>
    </row>
    <row r="70" spans="1:4" x14ac:dyDescent="0.3">
      <c r="A70" s="22" t="s">
        <v>112</v>
      </c>
      <c r="B70" s="28">
        <v>-1</v>
      </c>
      <c r="C70" s="39">
        <v>5500</v>
      </c>
      <c r="D70" s="42">
        <v>384000000</v>
      </c>
    </row>
    <row r="71" spans="1:4" x14ac:dyDescent="0.3">
      <c r="A71" s="22" t="s">
        <v>113</v>
      </c>
      <c r="B71" s="28">
        <v>1.7</v>
      </c>
      <c r="C71" s="39">
        <v>6300</v>
      </c>
      <c r="D71" s="42">
        <v>55680000000</v>
      </c>
    </row>
    <row r="72" spans="1:4" x14ac:dyDescent="0.3">
      <c r="A72" s="22" t="s">
        <v>114</v>
      </c>
      <c r="B72" s="28">
        <v>1</v>
      </c>
      <c r="C72" s="39">
        <v>400</v>
      </c>
      <c r="D72" s="42">
        <v>370000000</v>
      </c>
    </row>
    <row r="73" spans="1:4" x14ac:dyDescent="0.3">
      <c r="A73" s="22" t="s">
        <v>115</v>
      </c>
      <c r="B73" s="28">
        <v>5.8</v>
      </c>
      <c r="C73" s="39">
        <v>3700</v>
      </c>
      <c r="D73" s="42">
        <v>49510000000</v>
      </c>
    </row>
    <row r="74" spans="1:4" x14ac:dyDescent="0.3">
      <c r="A74" s="22" t="s">
        <v>116</v>
      </c>
      <c r="B74" s="28">
        <v>4.5</v>
      </c>
      <c r="C74" s="39">
        <v>4200</v>
      </c>
      <c r="D74" s="42">
        <v>316300000000</v>
      </c>
    </row>
    <row r="75" spans="1:4" x14ac:dyDescent="0.3">
      <c r="A75" s="22" t="s">
        <v>117</v>
      </c>
      <c r="B75" s="28">
        <v>1.8</v>
      </c>
      <c r="C75" s="39">
        <v>4900</v>
      </c>
      <c r="D75" s="42">
        <v>32350000000</v>
      </c>
    </row>
    <row r="76" spans="1:4" x14ac:dyDescent="0.3">
      <c r="A76" s="22" t="s">
        <v>118</v>
      </c>
      <c r="B76" s="28">
        <v>20</v>
      </c>
      <c r="C76" s="39">
        <v>2700</v>
      </c>
      <c r="D76" s="42">
        <v>1270000000</v>
      </c>
    </row>
    <row r="77" spans="1:4" x14ac:dyDescent="0.3">
      <c r="A77" s="22" t="s">
        <v>119</v>
      </c>
      <c r="B77" s="28">
        <v>2.5</v>
      </c>
      <c r="C77" s="39">
        <v>900</v>
      </c>
      <c r="D77" s="42">
        <v>4154000000</v>
      </c>
    </row>
    <row r="78" spans="1:4" x14ac:dyDescent="0.3">
      <c r="A78" s="22" t="s">
        <v>120</v>
      </c>
      <c r="B78" s="28">
        <v>6</v>
      </c>
      <c r="C78" s="39">
        <v>14300</v>
      </c>
      <c r="D78" s="42">
        <v>19230000000</v>
      </c>
    </row>
    <row r="79" spans="1:4" x14ac:dyDescent="0.3">
      <c r="A79" s="22" t="s">
        <v>121</v>
      </c>
      <c r="B79" s="28">
        <v>11.6</v>
      </c>
      <c r="C79" s="39">
        <v>800</v>
      </c>
      <c r="D79" s="42">
        <v>54890000000</v>
      </c>
    </row>
    <row r="80" spans="1:4" x14ac:dyDescent="0.3">
      <c r="A80" s="22" t="s">
        <v>122</v>
      </c>
      <c r="B80" s="28"/>
      <c r="C80" s="39"/>
      <c r="D80" s="42"/>
    </row>
    <row r="81" spans="1:4" x14ac:dyDescent="0.3">
      <c r="A81" s="22" t="s">
        <v>124</v>
      </c>
      <c r="B81" s="28"/>
      <c r="C81" s="39">
        <v>25000</v>
      </c>
      <c r="D81" s="42">
        <v>75000000</v>
      </c>
    </row>
    <row r="82" spans="1:4" x14ac:dyDescent="0.3">
      <c r="A82" s="22" t="s">
        <v>125</v>
      </c>
      <c r="B82" s="28">
        <v>10</v>
      </c>
      <c r="C82" s="39">
        <v>22000</v>
      </c>
      <c r="D82" s="42">
        <v>1000000000</v>
      </c>
    </row>
    <row r="83" spans="1:4" x14ac:dyDescent="0.3">
      <c r="A83" s="22" t="s">
        <v>126</v>
      </c>
      <c r="B83" s="28">
        <v>3.6</v>
      </c>
      <c r="C83" s="39">
        <v>5900</v>
      </c>
      <c r="D83" s="42">
        <v>5173000000</v>
      </c>
    </row>
    <row r="84" spans="1:4" x14ac:dyDescent="0.3">
      <c r="A84" s="22" t="s">
        <v>127</v>
      </c>
      <c r="B84" s="28">
        <v>3</v>
      </c>
      <c r="C84" s="39">
        <v>29000</v>
      </c>
      <c r="D84" s="42">
        <v>151200000000</v>
      </c>
    </row>
    <row r="85" spans="1:4" x14ac:dyDescent="0.3">
      <c r="A85" s="22" t="s">
        <v>128</v>
      </c>
      <c r="B85" s="28">
        <v>2.1</v>
      </c>
      <c r="C85" s="39">
        <v>28700</v>
      </c>
      <c r="D85" s="42">
        <v>1737000000000</v>
      </c>
    </row>
    <row r="86" spans="1:4" x14ac:dyDescent="0.3">
      <c r="A86" s="22" t="s">
        <v>129</v>
      </c>
      <c r="B86" s="28"/>
      <c r="C86" s="39">
        <v>8300</v>
      </c>
      <c r="D86" s="42">
        <v>1551000000</v>
      </c>
    </row>
    <row r="87" spans="1:4" x14ac:dyDescent="0.3">
      <c r="A87" s="22" t="s">
        <v>130</v>
      </c>
      <c r="B87" s="28"/>
      <c r="C87" s="39">
        <v>17500</v>
      </c>
      <c r="D87" s="42">
        <v>4580000000</v>
      </c>
    </row>
    <row r="88" spans="1:4" x14ac:dyDescent="0.3">
      <c r="A88" s="22" t="s">
        <v>131</v>
      </c>
      <c r="B88" s="28"/>
      <c r="C88" s="39"/>
      <c r="D88" s="42"/>
    </row>
    <row r="89" spans="1:4" x14ac:dyDescent="0.3">
      <c r="A89" s="22" t="s">
        <v>132</v>
      </c>
      <c r="B89" s="28">
        <v>1.9</v>
      </c>
      <c r="C89" s="39">
        <v>5900</v>
      </c>
      <c r="D89" s="42">
        <v>7966000000</v>
      </c>
    </row>
    <row r="90" spans="1:4" x14ac:dyDescent="0.3">
      <c r="A90" s="22" t="s">
        <v>133</v>
      </c>
      <c r="B90" s="28">
        <v>6</v>
      </c>
      <c r="C90" s="39">
        <v>1800</v>
      </c>
      <c r="D90" s="42">
        <v>2799000000</v>
      </c>
    </row>
    <row r="91" spans="1:4" x14ac:dyDescent="0.3">
      <c r="A91" s="22" t="s">
        <v>134</v>
      </c>
      <c r="B91" s="28">
        <v>4.5</v>
      </c>
      <c r="C91" s="39">
        <v>600</v>
      </c>
      <c r="D91" s="42">
        <v>768000000</v>
      </c>
    </row>
    <row r="92" spans="1:4" x14ac:dyDescent="0.3">
      <c r="A92" s="22" t="s">
        <v>135</v>
      </c>
      <c r="B92" s="28">
        <v>9.5</v>
      </c>
      <c r="C92" s="39">
        <v>3100</v>
      </c>
      <c r="D92" s="42">
        <v>14450000000</v>
      </c>
    </row>
    <row r="93" spans="1:4" x14ac:dyDescent="0.3">
      <c r="A93" s="22" t="s">
        <v>136</v>
      </c>
      <c r="B93" s="28">
        <v>1.7</v>
      </c>
      <c r="C93" s="39">
        <v>28700</v>
      </c>
      <c r="D93" s="42">
        <v>2362000000000</v>
      </c>
    </row>
    <row r="94" spans="1:4" x14ac:dyDescent="0.3">
      <c r="A94" s="22" t="s">
        <v>137</v>
      </c>
      <c r="B94" s="28">
        <v>5.4</v>
      </c>
      <c r="C94" s="39">
        <v>2300</v>
      </c>
      <c r="D94" s="42">
        <v>48270000000</v>
      </c>
    </row>
    <row r="95" spans="1:4" x14ac:dyDescent="0.3">
      <c r="A95" s="22" t="s">
        <v>138</v>
      </c>
      <c r="B95" s="28"/>
      <c r="C95" s="39">
        <v>27900</v>
      </c>
      <c r="D95" s="42">
        <v>769000000</v>
      </c>
    </row>
    <row r="96" spans="1:4" x14ac:dyDescent="0.3">
      <c r="A96" s="22" t="s">
        <v>139</v>
      </c>
      <c r="B96" s="28"/>
      <c r="C96" s="39"/>
      <c r="D96" s="42"/>
    </row>
    <row r="97" spans="1:4" x14ac:dyDescent="0.3">
      <c r="A97" s="22" t="s">
        <v>140</v>
      </c>
      <c r="B97" s="28">
        <v>3.7</v>
      </c>
      <c r="C97" s="39">
        <v>21300</v>
      </c>
      <c r="D97" s="42">
        <v>226400000000</v>
      </c>
    </row>
    <row r="98" spans="1:4" x14ac:dyDescent="0.3">
      <c r="A98" s="22" t="s">
        <v>141</v>
      </c>
      <c r="B98" s="28">
        <v>1.8</v>
      </c>
      <c r="C98" s="39">
        <v>20000</v>
      </c>
      <c r="D98" s="42">
        <v>1100000000</v>
      </c>
    </row>
    <row r="99" spans="1:4" x14ac:dyDescent="0.3">
      <c r="A99" s="22" t="s">
        <v>142</v>
      </c>
      <c r="B99" s="28">
        <v>2.5</v>
      </c>
      <c r="C99" s="39">
        <v>5000</v>
      </c>
      <c r="D99" s="42">
        <v>440000000</v>
      </c>
    </row>
    <row r="100" spans="1:4" x14ac:dyDescent="0.3">
      <c r="A100" s="22" t="s">
        <v>143</v>
      </c>
      <c r="B100" s="28"/>
      <c r="C100" s="39">
        <v>7900</v>
      </c>
      <c r="D100" s="42">
        <v>3513000000</v>
      </c>
    </row>
    <row r="101" spans="1:4" x14ac:dyDescent="0.3">
      <c r="A101" s="22" t="s">
        <v>144</v>
      </c>
      <c r="B101" s="28"/>
      <c r="C101" s="39">
        <v>21000</v>
      </c>
      <c r="D101" s="42">
        <v>3200000000</v>
      </c>
    </row>
    <row r="102" spans="1:4" x14ac:dyDescent="0.3">
      <c r="A102" s="22" t="s">
        <v>145</v>
      </c>
      <c r="B102" s="28">
        <v>2.6</v>
      </c>
      <c r="C102" s="39">
        <v>4200</v>
      </c>
      <c r="D102" s="42">
        <v>59470000000</v>
      </c>
    </row>
    <row r="103" spans="1:4" x14ac:dyDescent="0.3">
      <c r="A103" s="22" t="s">
        <v>146</v>
      </c>
      <c r="B103" s="28">
        <v>3</v>
      </c>
      <c r="C103" s="39">
        <v>40000</v>
      </c>
      <c r="D103" s="42">
        <v>2590000000</v>
      </c>
    </row>
    <row r="104" spans="1:4" x14ac:dyDescent="0.3">
      <c r="A104" s="22" t="s">
        <v>147</v>
      </c>
      <c r="B104" s="28">
        <v>1</v>
      </c>
      <c r="C104" s="39">
        <v>2100</v>
      </c>
      <c r="D104" s="42">
        <v>19500000000</v>
      </c>
    </row>
    <row r="105" spans="1:4" x14ac:dyDescent="0.3">
      <c r="A105" s="22" t="s">
        <v>148</v>
      </c>
      <c r="B105" s="28">
        <v>2.6</v>
      </c>
      <c r="C105" s="39">
        <v>700</v>
      </c>
      <c r="D105" s="42">
        <v>1008000000</v>
      </c>
    </row>
    <row r="106" spans="1:4" x14ac:dyDescent="0.3">
      <c r="A106" s="22" t="s">
        <v>149</v>
      </c>
      <c r="B106" s="28">
        <v>1.9</v>
      </c>
      <c r="C106" s="39">
        <v>3800</v>
      </c>
      <c r="D106" s="42">
        <v>2899000000</v>
      </c>
    </row>
    <row r="107" spans="1:4" x14ac:dyDescent="0.3">
      <c r="A107" s="22" t="s">
        <v>150</v>
      </c>
      <c r="B107" s="28">
        <v>-3.5</v>
      </c>
      <c r="C107" s="39">
        <v>1500</v>
      </c>
      <c r="D107" s="42">
        <v>12050000000</v>
      </c>
    </row>
    <row r="108" spans="1:4" x14ac:dyDescent="0.3">
      <c r="A108" s="22" t="s">
        <v>151</v>
      </c>
      <c r="B108" s="28"/>
      <c r="C108" s="39"/>
      <c r="D108" s="42"/>
    </row>
    <row r="109" spans="1:4" x14ac:dyDescent="0.3">
      <c r="A109" s="22" t="s">
        <v>152</v>
      </c>
      <c r="B109" s="28"/>
      <c r="C109" s="39"/>
      <c r="D109" s="42"/>
    </row>
    <row r="110" spans="1:4" x14ac:dyDescent="0.3">
      <c r="A110" s="22" t="s">
        <v>153</v>
      </c>
      <c r="B110" s="28">
        <v>4.2</v>
      </c>
      <c r="C110" s="39">
        <v>2800</v>
      </c>
      <c r="D110" s="42">
        <v>18790000000</v>
      </c>
    </row>
    <row r="111" spans="1:4" x14ac:dyDescent="0.3">
      <c r="A111" s="22" t="s">
        <v>154</v>
      </c>
      <c r="B111" s="28">
        <v>7.9</v>
      </c>
      <c r="C111" s="39">
        <v>34200</v>
      </c>
      <c r="D111" s="42">
        <v>234500000000</v>
      </c>
    </row>
    <row r="112" spans="1:4" x14ac:dyDescent="0.3">
      <c r="A112" s="22" t="s">
        <v>155</v>
      </c>
      <c r="B112" s="28"/>
      <c r="C112" s="39"/>
      <c r="D112" s="42"/>
    </row>
    <row r="113" spans="1:4" x14ac:dyDescent="0.3">
      <c r="A113" s="22" t="s">
        <v>156</v>
      </c>
      <c r="B113" s="28">
        <v>3.9</v>
      </c>
      <c r="C113" s="39">
        <v>14900</v>
      </c>
      <c r="D113" s="42">
        <v>149300000000</v>
      </c>
    </row>
    <row r="114" spans="1:4" x14ac:dyDescent="0.3">
      <c r="A114" s="22" t="s">
        <v>157</v>
      </c>
      <c r="B114" s="28">
        <v>1.8</v>
      </c>
      <c r="C114" s="39">
        <v>31900</v>
      </c>
      <c r="D114" s="42">
        <v>9373000000</v>
      </c>
    </row>
    <row r="115" spans="1:4" x14ac:dyDescent="0.3">
      <c r="A115" s="22" t="s">
        <v>158</v>
      </c>
      <c r="B115" s="28">
        <v>6.2</v>
      </c>
      <c r="C115" s="39">
        <v>3100</v>
      </c>
      <c r="D115" s="42">
        <v>3319000000000</v>
      </c>
    </row>
    <row r="116" spans="1:4" x14ac:dyDescent="0.3">
      <c r="A116" s="22" t="s">
        <v>159</v>
      </c>
      <c r="B116" s="28">
        <v>4.9000000000000004</v>
      </c>
      <c r="C116" s="39">
        <v>3500</v>
      </c>
      <c r="D116" s="42">
        <v>827400000000</v>
      </c>
    </row>
    <row r="117" spans="1:4" x14ac:dyDescent="0.3">
      <c r="A117" s="22" t="s">
        <v>160</v>
      </c>
      <c r="B117" s="28">
        <v>6.3</v>
      </c>
      <c r="C117" s="39">
        <v>7700</v>
      </c>
      <c r="D117" s="42">
        <v>516700000000</v>
      </c>
    </row>
    <row r="118" spans="1:4" x14ac:dyDescent="0.3">
      <c r="A118" s="22" t="s">
        <v>161</v>
      </c>
      <c r="B118" s="28">
        <v>52.3</v>
      </c>
      <c r="C118" s="39">
        <v>3500</v>
      </c>
      <c r="D118" s="42">
        <v>89800000000</v>
      </c>
    </row>
    <row r="119" spans="1:4" x14ac:dyDescent="0.3">
      <c r="A119" s="22" t="s">
        <v>162</v>
      </c>
      <c r="B119" s="28">
        <v>5.0999999999999996</v>
      </c>
      <c r="C119" s="39">
        <v>31900</v>
      </c>
      <c r="D119" s="42">
        <v>126400000000</v>
      </c>
    </row>
    <row r="120" spans="1:4" x14ac:dyDescent="0.3">
      <c r="A120" s="22" t="s">
        <v>163</v>
      </c>
      <c r="B120" s="28">
        <v>3.9</v>
      </c>
      <c r="C120" s="39">
        <v>20800</v>
      </c>
      <c r="D120" s="42">
        <v>129000000000</v>
      </c>
    </row>
    <row r="121" spans="1:4" x14ac:dyDescent="0.3">
      <c r="A121" s="22" t="s">
        <v>164</v>
      </c>
      <c r="B121" s="28">
        <v>1.3</v>
      </c>
      <c r="C121" s="39">
        <v>27700</v>
      </c>
      <c r="D121" s="42">
        <v>1609000000000</v>
      </c>
    </row>
    <row r="122" spans="1:4" x14ac:dyDescent="0.3">
      <c r="A122" s="22" t="s">
        <v>165</v>
      </c>
      <c r="B122" s="28">
        <v>1.9</v>
      </c>
      <c r="C122" s="39">
        <v>4100</v>
      </c>
      <c r="D122" s="42">
        <v>11130000000</v>
      </c>
    </row>
    <row r="123" spans="1:4" x14ac:dyDescent="0.3">
      <c r="A123" s="22" t="s">
        <v>166</v>
      </c>
      <c r="B123" s="28"/>
      <c r="C123" s="39"/>
      <c r="D123" s="42"/>
    </row>
    <row r="124" spans="1:4" x14ac:dyDescent="0.3">
      <c r="A124" s="22" t="s">
        <v>167</v>
      </c>
      <c r="B124" s="28">
        <v>2.9</v>
      </c>
      <c r="C124" s="39">
        <v>29400</v>
      </c>
      <c r="D124" s="42">
        <v>3745000000000</v>
      </c>
    </row>
    <row r="125" spans="1:4" x14ac:dyDescent="0.3">
      <c r="A125" s="22" t="s">
        <v>168</v>
      </c>
      <c r="B125" s="28"/>
      <c r="C125" s="39"/>
      <c r="D125" s="42"/>
    </row>
    <row r="126" spans="1:4" x14ac:dyDescent="0.3">
      <c r="A126" s="22" t="s">
        <v>169</v>
      </c>
      <c r="B126" s="28"/>
      <c r="C126" s="39">
        <v>40000</v>
      </c>
      <c r="D126" s="42">
        <v>3600000000</v>
      </c>
    </row>
    <row r="127" spans="1:4" x14ac:dyDescent="0.3">
      <c r="A127" s="22" t="s">
        <v>170</v>
      </c>
      <c r="B127" s="28"/>
      <c r="C127" s="39"/>
      <c r="D127" s="42"/>
    </row>
    <row r="128" spans="1:4" x14ac:dyDescent="0.3">
      <c r="A128" s="22" t="s">
        <v>171</v>
      </c>
      <c r="B128" s="28">
        <v>5.0999999999999996</v>
      </c>
      <c r="C128" s="39">
        <v>4500</v>
      </c>
      <c r="D128" s="42">
        <v>25500000000</v>
      </c>
    </row>
    <row r="129" spans="1:4" x14ac:dyDescent="0.3">
      <c r="A129" s="22" t="s">
        <v>172</v>
      </c>
      <c r="B129" s="28"/>
      <c r="C129" s="39"/>
      <c r="D129" s="42"/>
    </row>
    <row r="130" spans="1:4" x14ac:dyDescent="0.3">
      <c r="A130" s="22" t="s">
        <v>173</v>
      </c>
      <c r="B130" s="28">
        <v>9.1</v>
      </c>
      <c r="C130" s="39">
        <v>7800</v>
      </c>
      <c r="D130" s="42">
        <v>118400000000</v>
      </c>
    </row>
    <row r="131" spans="1:4" x14ac:dyDescent="0.3">
      <c r="A131" s="22" t="s">
        <v>174</v>
      </c>
      <c r="B131" s="28">
        <v>2.2000000000000002</v>
      </c>
      <c r="C131" s="39">
        <v>1100</v>
      </c>
      <c r="D131" s="42">
        <v>34680000000</v>
      </c>
    </row>
    <row r="132" spans="1:4" x14ac:dyDescent="0.3">
      <c r="A132" s="22" t="s">
        <v>175</v>
      </c>
      <c r="B132" s="28"/>
      <c r="C132" s="39"/>
      <c r="D132" s="42"/>
    </row>
    <row r="133" spans="1:4" x14ac:dyDescent="0.3">
      <c r="A133" s="22" t="s">
        <v>176</v>
      </c>
      <c r="B133" s="28">
        <v>1.5</v>
      </c>
      <c r="C133" s="39">
        <v>800</v>
      </c>
      <c r="D133" s="42">
        <v>79000000</v>
      </c>
    </row>
    <row r="134" spans="1:4" x14ac:dyDescent="0.3">
      <c r="A134" s="22" t="s">
        <v>177</v>
      </c>
      <c r="B134" s="28">
        <v>1</v>
      </c>
      <c r="C134" s="39">
        <v>1400</v>
      </c>
      <c r="D134" s="42">
        <v>30880000000</v>
      </c>
    </row>
    <row r="135" spans="1:4" x14ac:dyDescent="0.3">
      <c r="A135" s="22" t="s">
        <v>178</v>
      </c>
      <c r="B135" s="28">
        <v>4.5999999999999996</v>
      </c>
      <c r="C135" s="39">
        <v>19200</v>
      </c>
      <c r="D135" s="42">
        <v>925100000000</v>
      </c>
    </row>
    <row r="136" spans="1:4" x14ac:dyDescent="0.3">
      <c r="A136" s="22" t="s">
        <v>179</v>
      </c>
      <c r="B136" s="28">
        <v>6.8</v>
      </c>
      <c r="C136" s="39">
        <v>21300</v>
      </c>
      <c r="D136" s="42">
        <v>48000000000</v>
      </c>
    </row>
    <row r="137" spans="1:4" x14ac:dyDescent="0.3">
      <c r="A137" s="22" t="s">
        <v>180</v>
      </c>
      <c r="B137" s="28">
        <v>6</v>
      </c>
      <c r="C137" s="39">
        <v>1700</v>
      </c>
      <c r="D137" s="42">
        <v>8495000000</v>
      </c>
    </row>
    <row r="138" spans="1:4" x14ac:dyDescent="0.3">
      <c r="A138" s="22" t="s">
        <v>181</v>
      </c>
      <c r="B138" s="28">
        <v>6</v>
      </c>
      <c r="C138" s="39">
        <v>1900</v>
      </c>
      <c r="D138" s="42">
        <v>11280000000</v>
      </c>
    </row>
    <row r="139" spans="1:4" x14ac:dyDescent="0.3">
      <c r="A139" s="22" t="s">
        <v>182</v>
      </c>
      <c r="B139" s="28">
        <v>7.6</v>
      </c>
      <c r="C139" s="39">
        <v>11500</v>
      </c>
      <c r="D139" s="42">
        <v>26530000000</v>
      </c>
    </row>
    <row r="140" spans="1:4" x14ac:dyDescent="0.3">
      <c r="A140" s="22" t="s">
        <v>183</v>
      </c>
      <c r="B140" s="28">
        <v>4</v>
      </c>
      <c r="C140" s="39">
        <v>5000</v>
      </c>
      <c r="D140" s="42">
        <v>18830000000</v>
      </c>
    </row>
    <row r="141" spans="1:4" x14ac:dyDescent="0.3">
      <c r="A141" s="22" t="s">
        <v>184</v>
      </c>
      <c r="B141" s="28">
        <v>3.3</v>
      </c>
      <c r="C141" s="39">
        <v>3200</v>
      </c>
      <c r="D141" s="42">
        <v>5892000000</v>
      </c>
    </row>
    <row r="142" spans="1:4" x14ac:dyDescent="0.3">
      <c r="A142" s="22" t="s">
        <v>185</v>
      </c>
      <c r="B142" s="28">
        <v>21.8</v>
      </c>
      <c r="C142" s="39">
        <v>900</v>
      </c>
      <c r="D142" s="42">
        <v>2903000000</v>
      </c>
    </row>
    <row r="143" spans="1:4" x14ac:dyDescent="0.3">
      <c r="A143" s="22" t="s">
        <v>186</v>
      </c>
      <c r="B143" s="28">
        <v>4.9000000000000004</v>
      </c>
      <c r="C143" s="39">
        <v>6700</v>
      </c>
      <c r="D143" s="42">
        <v>37480000000</v>
      </c>
    </row>
    <row r="144" spans="1:4" x14ac:dyDescent="0.3">
      <c r="A144" s="22" t="s">
        <v>187</v>
      </c>
      <c r="B144" s="28">
        <v>11</v>
      </c>
      <c r="C144" s="39">
        <v>25000</v>
      </c>
      <c r="D144" s="42">
        <v>825000000</v>
      </c>
    </row>
    <row r="145" spans="1:4" x14ac:dyDescent="0.3">
      <c r="A145" s="22" t="s">
        <v>188</v>
      </c>
      <c r="B145" s="28">
        <v>6.6</v>
      </c>
      <c r="C145" s="39">
        <v>12500</v>
      </c>
      <c r="D145" s="42">
        <v>45230000000</v>
      </c>
    </row>
    <row r="146" spans="1:4" x14ac:dyDescent="0.3">
      <c r="A146" s="22" t="s">
        <v>189</v>
      </c>
      <c r="B146" s="28">
        <v>2.2999999999999998</v>
      </c>
      <c r="C146" s="39">
        <v>58900</v>
      </c>
      <c r="D146" s="42">
        <v>27270000000</v>
      </c>
    </row>
    <row r="147" spans="1:4" x14ac:dyDescent="0.3">
      <c r="A147" s="22" t="s">
        <v>190</v>
      </c>
      <c r="B147" s="28">
        <v>15.6</v>
      </c>
      <c r="C147" s="39">
        <v>19400</v>
      </c>
      <c r="D147" s="42">
        <v>9100000000</v>
      </c>
    </row>
    <row r="148" spans="1:4" x14ac:dyDescent="0.3">
      <c r="A148" s="22" t="s">
        <v>191</v>
      </c>
      <c r="B148" s="28">
        <v>1.3</v>
      </c>
      <c r="C148" s="39">
        <v>7100</v>
      </c>
      <c r="D148" s="42">
        <v>14400000000</v>
      </c>
    </row>
    <row r="149" spans="1:4" x14ac:dyDescent="0.3">
      <c r="A149" s="22" t="s">
        <v>192</v>
      </c>
      <c r="B149" s="28">
        <v>5.5</v>
      </c>
      <c r="C149" s="39">
        <v>800</v>
      </c>
      <c r="D149" s="42">
        <v>14560000000</v>
      </c>
    </row>
    <row r="150" spans="1:4" x14ac:dyDescent="0.3">
      <c r="A150" s="22" t="s">
        <v>193</v>
      </c>
      <c r="B150" s="28">
        <v>4</v>
      </c>
      <c r="C150" s="39">
        <v>600</v>
      </c>
      <c r="D150" s="42">
        <v>7410000000</v>
      </c>
    </row>
    <row r="151" spans="1:4" x14ac:dyDescent="0.3">
      <c r="A151" s="22" t="s">
        <v>194</v>
      </c>
      <c r="B151" s="28">
        <v>7.1</v>
      </c>
      <c r="C151" s="39">
        <v>9700</v>
      </c>
      <c r="D151" s="42">
        <v>229300000000</v>
      </c>
    </row>
    <row r="152" spans="1:4" x14ac:dyDescent="0.3">
      <c r="A152" s="22" t="s">
        <v>195</v>
      </c>
      <c r="B152" s="28">
        <v>2.2999999999999998</v>
      </c>
      <c r="C152" s="39">
        <v>3900</v>
      </c>
      <c r="D152" s="42">
        <v>1250000000</v>
      </c>
    </row>
    <row r="153" spans="1:4" x14ac:dyDescent="0.3">
      <c r="A153" s="22" t="s">
        <v>196</v>
      </c>
      <c r="B153" s="28">
        <v>4</v>
      </c>
      <c r="C153" s="39">
        <v>900</v>
      </c>
      <c r="D153" s="42">
        <v>11000000000</v>
      </c>
    </row>
    <row r="154" spans="1:4" x14ac:dyDescent="0.3">
      <c r="A154" s="22" t="s">
        <v>197</v>
      </c>
      <c r="B154" s="28">
        <v>1</v>
      </c>
      <c r="C154" s="39">
        <v>18200</v>
      </c>
      <c r="D154" s="42">
        <v>7223000000</v>
      </c>
    </row>
    <row r="155" spans="1:4" x14ac:dyDescent="0.3">
      <c r="A155" s="22" t="s">
        <v>198</v>
      </c>
      <c r="B155" s="28"/>
      <c r="C155" s="39">
        <v>28500</v>
      </c>
      <c r="D155" s="42">
        <v>2113000000</v>
      </c>
    </row>
    <row r="156" spans="1:4" x14ac:dyDescent="0.3">
      <c r="A156" s="22" t="s">
        <v>199</v>
      </c>
      <c r="B156" s="28">
        <v>1</v>
      </c>
      <c r="C156" s="39">
        <v>1600</v>
      </c>
      <c r="D156" s="42">
        <v>115000000</v>
      </c>
    </row>
    <row r="157" spans="1:4" x14ac:dyDescent="0.3">
      <c r="A157" s="22" t="s">
        <v>200</v>
      </c>
      <c r="B157" s="28"/>
      <c r="C157" s="39">
        <v>14400</v>
      </c>
      <c r="D157" s="42">
        <v>6117000000</v>
      </c>
    </row>
    <row r="158" spans="1:4" x14ac:dyDescent="0.3">
      <c r="A158" s="22" t="s">
        <v>201</v>
      </c>
      <c r="B158" s="28">
        <v>3</v>
      </c>
      <c r="C158" s="39">
        <v>1800</v>
      </c>
      <c r="D158" s="42">
        <v>5534000000</v>
      </c>
    </row>
    <row r="159" spans="1:4" x14ac:dyDescent="0.3">
      <c r="A159" s="22" t="s">
        <v>202</v>
      </c>
      <c r="B159" s="28">
        <v>4.7</v>
      </c>
      <c r="C159" s="39">
        <v>12800</v>
      </c>
      <c r="D159" s="42">
        <v>15680000000</v>
      </c>
    </row>
    <row r="160" spans="1:4" x14ac:dyDescent="0.3">
      <c r="A160" s="22" t="s">
        <v>203</v>
      </c>
      <c r="B160" s="28"/>
      <c r="C160" s="39">
        <v>2600</v>
      </c>
      <c r="D160" s="42">
        <v>466800000</v>
      </c>
    </row>
    <row r="161" spans="1:4" x14ac:dyDescent="0.3">
      <c r="A161" s="22" t="s">
        <v>204</v>
      </c>
      <c r="B161" s="28">
        <v>4.0999999999999996</v>
      </c>
      <c r="C161" s="39">
        <v>9600</v>
      </c>
      <c r="D161" s="42">
        <v>1006000000000</v>
      </c>
    </row>
    <row r="162" spans="1:4" x14ac:dyDescent="0.3">
      <c r="A162" s="22" t="s">
        <v>205</v>
      </c>
      <c r="B162" s="28">
        <v>1</v>
      </c>
      <c r="C162" s="39">
        <v>2000</v>
      </c>
      <c r="D162" s="42">
        <v>277000000</v>
      </c>
    </row>
    <row r="163" spans="1:4" x14ac:dyDescent="0.3">
      <c r="A163" s="22" t="s">
        <v>206</v>
      </c>
      <c r="B163" s="28"/>
      <c r="C163" s="39"/>
      <c r="D163" s="42"/>
    </row>
    <row r="164" spans="1:4" x14ac:dyDescent="0.3">
      <c r="A164" s="22" t="s">
        <v>207</v>
      </c>
      <c r="B164" s="28">
        <v>6.8</v>
      </c>
      <c r="C164" s="39">
        <v>1900</v>
      </c>
      <c r="D164" s="42">
        <v>8581000000</v>
      </c>
    </row>
    <row r="165" spans="1:4" x14ac:dyDescent="0.3">
      <c r="A165" s="22" t="s">
        <v>208</v>
      </c>
      <c r="B165" s="28">
        <v>0.9</v>
      </c>
      <c r="C165" s="39">
        <v>27000</v>
      </c>
      <c r="D165" s="42">
        <v>870000000</v>
      </c>
    </row>
    <row r="166" spans="1:4" x14ac:dyDescent="0.3">
      <c r="A166" s="22" t="s">
        <v>209</v>
      </c>
      <c r="B166" s="28">
        <v>10.6</v>
      </c>
      <c r="C166" s="39">
        <v>1900</v>
      </c>
      <c r="D166" s="42">
        <v>5332000000</v>
      </c>
    </row>
    <row r="167" spans="1:4" x14ac:dyDescent="0.3">
      <c r="A167" s="22" t="s">
        <v>210</v>
      </c>
      <c r="B167" s="28">
        <v>-1</v>
      </c>
      <c r="C167" s="39">
        <v>3400</v>
      </c>
      <c r="D167" s="42">
        <v>29000000</v>
      </c>
    </row>
    <row r="168" spans="1:4" x14ac:dyDescent="0.3">
      <c r="A168" s="22" t="s">
        <v>211</v>
      </c>
      <c r="B168" s="28">
        <v>4.4000000000000004</v>
      </c>
      <c r="C168" s="39">
        <v>4200</v>
      </c>
      <c r="D168" s="42">
        <v>134600000000</v>
      </c>
    </row>
    <row r="169" spans="1:4" x14ac:dyDescent="0.3">
      <c r="A169" s="22" t="s">
        <v>212</v>
      </c>
      <c r="B169" s="28">
        <v>8.1999999999999993</v>
      </c>
      <c r="C169" s="39">
        <v>1200</v>
      </c>
      <c r="D169" s="42">
        <v>23380000000</v>
      </c>
    </row>
    <row r="170" spans="1:4" x14ac:dyDescent="0.3">
      <c r="A170" s="22" t="s">
        <v>213</v>
      </c>
      <c r="B170" s="28">
        <v>4.8</v>
      </c>
      <c r="C170" s="39">
        <v>7300</v>
      </c>
      <c r="D170" s="42">
        <v>14760000000</v>
      </c>
    </row>
    <row r="171" spans="1:4" x14ac:dyDescent="0.3">
      <c r="A171" s="22" t="s">
        <v>214</v>
      </c>
      <c r="B171" s="28"/>
      <c r="C171" s="39">
        <v>5000</v>
      </c>
      <c r="D171" s="42">
        <v>60000000</v>
      </c>
    </row>
    <row r="172" spans="1:4" x14ac:dyDescent="0.3">
      <c r="A172" s="22" t="s">
        <v>215</v>
      </c>
      <c r="B172" s="28"/>
      <c r="C172" s="39"/>
      <c r="D172" s="42"/>
    </row>
    <row r="173" spans="1:4" x14ac:dyDescent="0.3">
      <c r="A173" s="22" t="s">
        <v>216</v>
      </c>
      <c r="B173" s="28">
        <v>3</v>
      </c>
      <c r="C173" s="39">
        <v>1500</v>
      </c>
      <c r="D173" s="42">
        <v>39530000000</v>
      </c>
    </row>
    <row r="174" spans="1:4" x14ac:dyDescent="0.3">
      <c r="A174" s="22" t="s">
        <v>217</v>
      </c>
      <c r="B174" s="28">
        <v>1.2</v>
      </c>
      <c r="C174" s="39">
        <v>29500</v>
      </c>
      <c r="D174" s="42">
        <v>481100000000</v>
      </c>
    </row>
    <row r="175" spans="1:4" x14ac:dyDescent="0.3">
      <c r="A175" s="22" t="s">
        <v>218</v>
      </c>
      <c r="B175" s="28">
        <v>0.5</v>
      </c>
      <c r="C175" s="39">
        <v>11400</v>
      </c>
      <c r="D175" s="42">
        <v>2450000000</v>
      </c>
    </row>
    <row r="176" spans="1:4" x14ac:dyDescent="0.3">
      <c r="A176" s="22" t="s">
        <v>219</v>
      </c>
      <c r="B176" s="28"/>
      <c r="C176" s="39">
        <v>15000</v>
      </c>
      <c r="D176" s="42">
        <v>3158000000</v>
      </c>
    </row>
    <row r="177" spans="1:4" x14ac:dyDescent="0.3">
      <c r="A177" s="22" t="s">
        <v>220</v>
      </c>
      <c r="B177" s="28">
        <v>4.8</v>
      </c>
      <c r="C177" s="39">
        <v>23200</v>
      </c>
      <c r="D177" s="42">
        <v>92510000000</v>
      </c>
    </row>
    <row r="178" spans="1:4" x14ac:dyDescent="0.3">
      <c r="A178" s="22" t="s">
        <v>221</v>
      </c>
      <c r="B178" s="28">
        <v>4</v>
      </c>
      <c r="C178" s="39">
        <v>2300</v>
      </c>
      <c r="D178" s="42">
        <v>12340000000</v>
      </c>
    </row>
    <row r="179" spans="1:4" x14ac:dyDescent="0.3">
      <c r="A179" s="22" t="s">
        <v>222</v>
      </c>
      <c r="B179" s="28">
        <v>3.5</v>
      </c>
      <c r="C179" s="39">
        <v>900</v>
      </c>
      <c r="D179" s="42">
        <v>9716000000</v>
      </c>
    </row>
    <row r="180" spans="1:4" x14ac:dyDescent="0.3">
      <c r="A180" s="22" t="s">
        <v>223</v>
      </c>
      <c r="B180" s="28">
        <v>6.2</v>
      </c>
      <c r="C180" s="39">
        <v>1000</v>
      </c>
      <c r="D180" s="42">
        <v>125700000000</v>
      </c>
    </row>
    <row r="181" spans="1:4" x14ac:dyDescent="0.3">
      <c r="A181" s="22" t="s">
        <v>224</v>
      </c>
      <c r="B181" s="28">
        <v>-0.3</v>
      </c>
      <c r="C181" s="39">
        <v>3600</v>
      </c>
      <c r="D181" s="42">
        <v>7600000</v>
      </c>
    </row>
    <row r="182" spans="1:4" x14ac:dyDescent="0.3">
      <c r="A182" s="22" t="s">
        <v>225</v>
      </c>
      <c r="B182" s="28"/>
      <c r="C182" s="39"/>
      <c r="D182" s="42"/>
    </row>
    <row r="183" spans="1:4" x14ac:dyDescent="0.3">
      <c r="A183" s="22" t="s">
        <v>226</v>
      </c>
      <c r="B183" s="28"/>
      <c r="C183" s="39">
        <v>12500</v>
      </c>
      <c r="D183" s="42">
        <v>900000000</v>
      </c>
    </row>
    <row r="184" spans="1:4" x14ac:dyDescent="0.3">
      <c r="A184" s="22" t="s">
        <v>227</v>
      </c>
      <c r="B184" s="28">
        <v>3.3</v>
      </c>
      <c r="C184" s="39">
        <v>40000</v>
      </c>
      <c r="D184" s="42">
        <v>183000000000</v>
      </c>
    </row>
    <row r="185" spans="1:4" x14ac:dyDescent="0.3">
      <c r="A185" s="22" t="s">
        <v>228</v>
      </c>
      <c r="B185" s="28">
        <v>1.2</v>
      </c>
      <c r="C185" s="39">
        <v>13100</v>
      </c>
      <c r="D185" s="42">
        <v>38090000000</v>
      </c>
    </row>
    <row r="186" spans="1:4" x14ac:dyDescent="0.3">
      <c r="A186" s="22" t="s">
        <v>229</v>
      </c>
      <c r="B186" s="28">
        <v>6.1</v>
      </c>
      <c r="C186" s="39">
        <v>2200</v>
      </c>
      <c r="D186" s="42">
        <v>347300000000</v>
      </c>
    </row>
    <row r="187" spans="1:4" x14ac:dyDescent="0.3">
      <c r="A187" s="22" t="s">
        <v>230</v>
      </c>
      <c r="B187" s="28">
        <v>1</v>
      </c>
      <c r="C187" s="39">
        <v>9000</v>
      </c>
      <c r="D187" s="42">
        <v>174000000</v>
      </c>
    </row>
    <row r="188" spans="1:4" x14ac:dyDescent="0.3">
      <c r="A188" s="22" t="s">
        <v>231</v>
      </c>
      <c r="B188" s="28"/>
      <c r="C188" s="39"/>
      <c r="D188" s="42"/>
    </row>
    <row r="189" spans="1:4" x14ac:dyDescent="0.3">
      <c r="A189" s="22" t="s">
        <v>232</v>
      </c>
      <c r="B189" s="28">
        <v>6</v>
      </c>
      <c r="C189" s="39">
        <v>6900</v>
      </c>
      <c r="D189" s="42">
        <v>20570000000</v>
      </c>
    </row>
    <row r="190" spans="1:4" x14ac:dyDescent="0.3">
      <c r="A190" s="22" t="s">
        <v>233</v>
      </c>
      <c r="B190" s="28">
        <v>0.9</v>
      </c>
      <c r="C190" s="39">
        <v>2200</v>
      </c>
      <c r="D190" s="42">
        <v>11990000000</v>
      </c>
    </row>
    <row r="191" spans="1:4" x14ac:dyDescent="0.3">
      <c r="A191" s="22" t="s">
        <v>234</v>
      </c>
      <c r="B191" s="28">
        <v>2.8</v>
      </c>
      <c r="C191" s="39">
        <v>4800</v>
      </c>
      <c r="D191" s="42">
        <v>29930000000</v>
      </c>
    </row>
    <row r="192" spans="1:4" x14ac:dyDescent="0.3">
      <c r="A192" s="22" t="s">
        <v>235</v>
      </c>
      <c r="B192" s="28">
        <v>4.5</v>
      </c>
      <c r="C192" s="39">
        <v>5600</v>
      </c>
      <c r="D192" s="42">
        <v>155300000000</v>
      </c>
    </row>
    <row r="193" spans="1:4" x14ac:dyDescent="0.3">
      <c r="A193" s="22" t="s">
        <v>236</v>
      </c>
      <c r="B193" s="28">
        <v>5.9</v>
      </c>
      <c r="C193" s="39">
        <v>5000</v>
      </c>
      <c r="D193" s="42">
        <v>430600000000</v>
      </c>
    </row>
    <row r="194" spans="1:4" x14ac:dyDescent="0.3">
      <c r="A194" s="22" t="s">
        <v>237</v>
      </c>
      <c r="B194" s="28"/>
      <c r="C194" s="39"/>
      <c r="D194" s="42"/>
    </row>
    <row r="195" spans="1:4" x14ac:dyDescent="0.3">
      <c r="A195" s="22" t="s">
        <v>238</v>
      </c>
      <c r="B195" s="28">
        <v>5.6</v>
      </c>
      <c r="C195" s="39">
        <v>12000</v>
      </c>
      <c r="D195" s="42">
        <v>463000000000</v>
      </c>
    </row>
    <row r="196" spans="1:4" x14ac:dyDescent="0.3">
      <c r="A196" s="22" t="s">
        <v>239</v>
      </c>
      <c r="B196" s="28">
        <v>1.1000000000000001</v>
      </c>
      <c r="C196" s="39">
        <v>17900</v>
      </c>
      <c r="D196" s="42">
        <v>188700000000</v>
      </c>
    </row>
    <row r="197" spans="1:4" x14ac:dyDescent="0.3">
      <c r="A197" s="22" t="s">
        <v>240</v>
      </c>
      <c r="B197" s="28">
        <v>2.7</v>
      </c>
      <c r="C197" s="39">
        <v>17700</v>
      </c>
      <c r="D197" s="42">
        <v>68950000000</v>
      </c>
    </row>
    <row r="198" spans="1:4" x14ac:dyDescent="0.3">
      <c r="A198" s="22" t="s">
        <v>241</v>
      </c>
      <c r="B198" s="28">
        <v>8.6999999999999993</v>
      </c>
      <c r="C198" s="39">
        <v>23200</v>
      </c>
      <c r="D198" s="42">
        <v>19490000000</v>
      </c>
    </row>
    <row r="199" spans="1:4" x14ac:dyDescent="0.3">
      <c r="A199" s="22" t="s">
        <v>242</v>
      </c>
      <c r="B199" s="28">
        <v>2.5</v>
      </c>
      <c r="C199" s="39">
        <v>6000</v>
      </c>
      <c r="D199" s="42">
        <v>4570000000</v>
      </c>
    </row>
    <row r="200" spans="1:4" x14ac:dyDescent="0.3">
      <c r="A200" s="22" t="s">
        <v>243</v>
      </c>
      <c r="B200" s="28">
        <v>8.1</v>
      </c>
      <c r="C200" s="39">
        <v>7700</v>
      </c>
      <c r="D200" s="42">
        <v>171500000000</v>
      </c>
    </row>
    <row r="201" spans="1:4" x14ac:dyDescent="0.3">
      <c r="A201" s="22" t="s">
        <v>244</v>
      </c>
      <c r="B201" s="28">
        <v>6.7</v>
      </c>
      <c r="C201" s="39">
        <v>9800</v>
      </c>
      <c r="D201" s="42">
        <v>1408000000000</v>
      </c>
    </row>
    <row r="202" spans="1:4" x14ac:dyDescent="0.3">
      <c r="A202" s="22" t="s">
        <v>245</v>
      </c>
      <c r="B202" s="28">
        <v>0.9</v>
      </c>
      <c r="C202" s="39">
        <v>1300</v>
      </c>
      <c r="D202" s="42">
        <v>10430000000</v>
      </c>
    </row>
    <row r="203" spans="1:4" x14ac:dyDescent="0.3">
      <c r="A203" s="22" t="s">
        <v>246</v>
      </c>
      <c r="B203" s="28"/>
      <c r="C203" s="39">
        <v>2500</v>
      </c>
      <c r="D203" s="42">
        <v>18000000</v>
      </c>
    </row>
    <row r="204" spans="1:4" x14ac:dyDescent="0.3">
      <c r="A204" s="22" t="s">
        <v>247</v>
      </c>
      <c r="B204" s="28">
        <v>-1.9</v>
      </c>
      <c r="C204" s="39">
        <v>8800</v>
      </c>
      <c r="D204" s="42">
        <v>339000000</v>
      </c>
    </row>
    <row r="205" spans="1:4" x14ac:dyDescent="0.3">
      <c r="A205" s="22" t="s">
        <v>248</v>
      </c>
      <c r="B205" s="28">
        <v>3.3</v>
      </c>
      <c r="C205" s="39">
        <v>5400</v>
      </c>
      <c r="D205" s="42">
        <v>866000000</v>
      </c>
    </row>
    <row r="206" spans="1:4" x14ac:dyDescent="0.3">
      <c r="A206" s="22" t="s">
        <v>249</v>
      </c>
      <c r="B206" s="28"/>
      <c r="C206" s="39">
        <v>7000</v>
      </c>
      <c r="D206" s="42">
        <v>48300000</v>
      </c>
    </row>
    <row r="207" spans="1:4" x14ac:dyDescent="0.3">
      <c r="A207" s="22" t="s">
        <v>250</v>
      </c>
      <c r="B207" s="28">
        <v>0.7</v>
      </c>
      <c r="C207" s="39">
        <v>2900</v>
      </c>
      <c r="D207" s="42">
        <v>342000000</v>
      </c>
    </row>
    <row r="208" spans="1:4" x14ac:dyDescent="0.3">
      <c r="A208" s="22" t="s">
        <v>251</v>
      </c>
      <c r="B208" s="28">
        <v>5</v>
      </c>
      <c r="C208" s="39">
        <v>5600</v>
      </c>
      <c r="D208" s="42">
        <v>1000000000</v>
      </c>
    </row>
    <row r="209" spans="1:4" x14ac:dyDescent="0.3">
      <c r="A209" s="22" t="s">
        <v>252</v>
      </c>
      <c r="B209" s="28">
        <v>7.5</v>
      </c>
      <c r="C209" s="39">
        <v>34600</v>
      </c>
      <c r="D209" s="42">
        <v>940000000</v>
      </c>
    </row>
    <row r="210" spans="1:4" x14ac:dyDescent="0.3">
      <c r="A210" s="22" t="s">
        <v>253</v>
      </c>
      <c r="B210" s="28">
        <v>6</v>
      </c>
      <c r="C210" s="39">
        <v>1200</v>
      </c>
      <c r="D210" s="42">
        <v>214000000</v>
      </c>
    </row>
    <row r="211" spans="1:4" x14ac:dyDescent="0.3">
      <c r="A211" s="22" t="s">
        <v>254</v>
      </c>
      <c r="B211" s="28">
        <v>5</v>
      </c>
      <c r="C211" s="39">
        <v>12000</v>
      </c>
      <c r="D211" s="42">
        <v>310200000000</v>
      </c>
    </row>
    <row r="212" spans="1:4" x14ac:dyDescent="0.3">
      <c r="A212" s="22" t="s">
        <v>255</v>
      </c>
      <c r="B212" s="28">
        <v>3.2</v>
      </c>
      <c r="C212" s="39">
        <v>1700</v>
      </c>
      <c r="D212" s="42">
        <v>18360000000</v>
      </c>
    </row>
    <row r="213" spans="1:4" x14ac:dyDescent="0.3">
      <c r="A213" s="22" t="s">
        <v>256</v>
      </c>
      <c r="B213" s="28">
        <v>6.5</v>
      </c>
      <c r="C213" s="39">
        <v>2400</v>
      </c>
      <c r="D213" s="42">
        <v>26270000000</v>
      </c>
    </row>
    <row r="214" spans="1:4" x14ac:dyDescent="0.3">
      <c r="A214" s="22" t="s">
        <v>257</v>
      </c>
      <c r="B214" s="28">
        <v>1.5</v>
      </c>
      <c r="C214" s="39">
        <v>7800</v>
      </c>
      <c r="D214" s="42">
        <v>626000000</v>
      </c>
    </row>
    <row r="215" spans="1:4" x14ac:dyDescent="0.3">
      <c r="A215" s="22" t="s">
        <v>258</v>
      </c>
      <c r="B215" s="28">
        <v>6</v>
      </c>
      <c r="C215" s="39">
        <v>600</v>
      </c>
      <c r="D215" s="42">
        <v>3335000000</v>
      </c>
    </row>
    <row r="216" spans="1:4" x14ac:dyDescent="0.3">
      <c r="A216" s="22" t="s">
        <v>259</v>
      </c>
      <c r="B216" s="28">
        <v>8.1</v>
      </c>
      <c r="C216" s="39">
        <v>27800</v>
      </c>
      <c r="D216" s="42">
        <v>120900000000</v>
      </c>
    </row>
    <row r="217" spans="1:4" x14ac:dyDescent="0.3">
      <c r="A217" s="22" t="s">
        <v>260</v>
      </c>
      <c r="B217" s="28">
        <v>5.3</v>
      </c>
      <c r="C217" s="39">
        <v>14500</v>
      </c>
      <c r="D217" s="42">
        <v>78890000000</v>
      </c>
    </row>
    <row r="218" spans="1:4" x14ac:dyDescent="0.3">
      <c r="A218" s="22" t="s">
        <v>261</v>
      </c>
      <c r="B218" s="28">
        <v>3.9</v>
      </c>
      <c r="C218" s="39">
        <v>19600</v>
      </c>
      <c r="D218" s="42">
        <v>39410000000</v>
      </c>
    </row>
    <row r="219" spans="1:4" x14ac:dyDescent="0.3">
      <c r="A219" s="22" t="s">
        <v>262</v>
      </c>
      <c r="B219" s="28">
        <v>5.8</v>
      </c>
      <c r="C219" s="39">
        <v>1700</v>
      </c>
      <c r="D219" s="42">
        <v>800000000</v>
      </c>
    </row>
    <row r="220" spans="1:4" x14ac:dyDescent="0.3">
      <c r="A220" s="22" t="s">
        <v>263</v>
      </c>
      <c r="B220" s="28">
        <v>2.8</v>
      </c>
      <c r="C220" s="39">
        <v>600</v>
      </c>
      <c r="D220" s="42">
        <v>4597000000</v>
      </c>
    </row>
    <row r="221" spans="1:4" x14ac:dyDescent="0.3">
      <c r="A221" s="22" t="s">
        <v>264</v>
      </c>
      <c r="B221" s="28">
        <v>3.5</v>
      </c>
      <c r="C221" s="39">
        <v>11100</v>
      </c>
      <c r="D221" s="42">
        <v>491400000000</v>
      </c>
    </row>
    <row r="222" spans="1:4" x14ac:dyDescent="0.3">
      <c r="A222" s="22" t="s">
        <v>265</v>
      </c>
      <c r="B222" s="28"/>
      <c r="C222" s="39"/>
      <c r="D222" s="42"/>
    </row>
    <row r="223" spans="1:4" x14ac:dyDescent="0.3">
      <c r="A223" s="22" t="s">
        <v>266</v>
      </c>
      <c r="B223" s="28">
        <v>2.6</v>
      </c>
      <c r="C223" s="39">
        <v>23300</v>
      </c>
      <c r="D223" s="42">
        <v>937600000000</v>
      </c>
    </row>
    <row r="224" spans="1:4" x14ac:dyDescent="0.3">
      <c r="A224" s="22" t="s">
        <v>267</v>
      </c>
      <c r="B224" s="28"/>
      <c r="C224" s="39"/>
      <c r="D224" s="42"/>
    </row>
    <row r="225" spans="1:4" x14ac:dyDescent="0.3">
      <c r="A225" s="22" t="s">
        <v>268</v>
      </c>
      <c r="B225" s="28">
        <v>5.2</v>
      </c>
      <c r="C225" s="39">
        <v>4000</v>
      </c>
      <c r="D225" s="42">
        <v>80580000000</v>
      </c>
    </row>
    <row r="226" spans="1:4" x14ac:dyDescent="0.3">
      <c r="A226" s="22" t="s">
        <v>269</v>
      </c>
      <c r="B226" s="28">
        <v>6.4</v>
      </c>
      <c r="C226" s="39">
        <v>1900</v>
      </c>
      <c r="D226" s="42">
        <v>76190000000</v>
      </c>
    </row>
    <row r="227" spans="1:4" x14ac:dyDescent="0.3">
      <c r="A227" s="22" t="s">
        <v>270</v>
      </c>
      <c r="B227" s="28">
        <v>4.2</v>
      </c>
      <c r="C227" s="39">
        <v>4300</v>
      </c>
      <c r="D227" s="42">
        <v>1885000000</v>
      </c>
    </row>
    <row r="228" spans="1:4" x14ac:dyDescent="0.3">
      <c r="A228" s="22" t="s">
        <v>271</v>
      </c>
      <c r="B228" s="28"/>
      <c r="C228" s="39"/>
      <c r="D228" s="42"/>
    </row>
    <row r="229" spans="1:4" x14ac:dyDescent="0.3">
      <c r="A229" s="22" t="s">
        <v>272</v>
      </c>
      <c r="B229" s="28">
        <v>2.5</v>
      </c>
      <c r="C229" s="39">
        <v>5100</v>
      </c>
      <c r="D229" s="42">
        <v>6018000000</v>
      </c>
    </row>
    <row r="230" spans="1:4" x14ac:dyDescent="0.3">
      <c r="A230" s="22" t="s">
        <v>273</v>
      </c>
      <c r="B230" s="28">
        <v>3.6</v>
      </c>
      <c r="C230" s="39">
        <v>28400</v>
      </c>
      <c r="D230" s="42">
        <v>255400000000</v>
      </c>
    </row>
    <row r="231" spans="1:4" x14ac:dyDescent="0.3">
      <c r="A231" s="22" t="s">
        <v>274</v>
      </c>
      <c r="B231" s="28">
        <v>1.8</v>
      </c>
      <c r="C231" s="39">
        <v>33800</v>
      </c>
      <c r="D231" s="42">
        <v>251900000000</v>
      </c>
    </row>
    <row r="232" spans="1:4" x14ac:dyDescent="0.3">
      <c r="A232" s="22" t="s">
        <v>275</v>
      </c>
      <c r="B232" s="28">
        <v>2.2999999999999998</v>
      </c>
      <c r="C232" s="39">
        <v>3400</v>
      </c>
      <c r="D232" s="42">
        <v>60440000000</v>
      </c>
    </row>
    <row r="233" spans="1:4" x14ac:dyDescent="0.3">
      <c r="A233" s="22" t="s">
        <v>276</v>
      </c>
      <c r="B233" s="28">
        <v>6</v>
      </c>
      <c r="C233" s="39">
        <v>25300</v>
      </c>
      <c r="D233" s="42">
        <v>576200000000</v>
      </c>
    </row>
    <row r="234" spans="1:4" x14ac:dyDescent="0.3">
      <c r="A234" s="22" t="s">
        <v>277</v>
      </c>
      <c r="B234" s="28">
        <v>10.5</v>
      </c>
      <c r="C234" s="39">
        <v>1100</v>
      </c>
      <c r="D234" s="42">
        <v>7950000000</v>
      </c>
    </row>
    <row r="235" spans="1:4" x14ac:dyDescent="0.3">
      <c r="A235" s="22" t="s">
        <v>278</v>
      </c>
      <c r="B235" s="28">
        <v>5.8</v>
      </c>
      <c r="C235" s="39">
        <v>700</v>
      </c>
      <c r="D235" s="42">
        <v>23710000000</v>
      </c>
    </row>
    <row r="236" spans="1:4" x14ac:dyDescent="0.3">
      <c r="A236" s="22" t="s">
        <v>279</v>
      </c>
      <c r="B236" s="28">
        <v>6.1</v>
      </c>
      <c r="C236" s="39">
        <v>8100</v>
      </c>
      <c r="D236" s="42">
        <v>524800000000</v>
      </c>
    </row>
    <row r="237" spans="1:4" x14ac:dyDescent="0.3">
      <c r="A237" s="22" t="s">
        <v>280</v>
      </c>
      <c r="B237" s="28">
        <v>3</v>
      </c>
      <c r="C237" s="39">
        <v>1600</v>
      </c>
      <c r="D237" s="42">
        <v>8684000000</v>
      </c>
    </row>
    <row r="238" spans="1:4" x14ac:dyDescent="0.3">
      <c r="A238" s="22" t="s">
        <v>281</v>
      </c>
      <c r="B238" s="28"/>
      <c r="C238" s="39">
        <v>1000</v>
      </c>
      <c r="D238" s="42">
        <v>1500000</v>
      </c>
    </row>
    <row r="239" spans="1:4" x14ac:dyDescent="0.3">
      <c r="A239" s="22" t="s">
        <v>282</v>
      </c>
      <c r="B239" s="28">
        <v>1.5</v>
      </c>
      <c r="C239" s="39">
        <v>2300</v>
      </c>
      <c r="D239" s="42">
        <v>244000000</v>
      </c>
    </row>
    <row r="240" spans="1:4" x14ac:dyDescent="0.3">
      <c r="A240" s="22" t="s">
        <v>283</v>
      </c>
      <c r="B240" s="28">
        <v>5.7</v>
      </c>
      <c r="C240" s="39">
        <v>10500</v>
      </c>
      <c r="D240" s="42">
        <v>11480000000</v>
      </c>
    </row>
    <row r="241" spans="1:4" x14ac:dyDescent="0.3">
      <c r="A241" s="22" t="s">
        <v>284</v>
      </c>
      <c r="B241" s="28"/>
      <c r="C241" s="39"/>
      <c r="D241" s="42"/>
    </row>
    <row r="242" spans="1:4" x14ac:dyDescent="0.3">
      <c r="A242" s="22" t="s">
        <v>285</v>
      </c>
      <c r="B242" s="28">
        <v>5.0999999999999996</v>
      </c>
      <c r="C242" s="39">
        <v>7100</v>
      </c>
      <c r="D242" s="42">
        <v>70880000000</v>
      </c>
    </row>
    <row r="243" spans="1:4" x14ac:dyDescent="0.3">
      <c r="A243" s="22" t="s">
        <v>286</v>
      </c>
      <c r="B243" s="28">
        <v>8.1999999999999993</v>
      </c>
      <c r="C243" s="39">
        <v>7400</v>
      </c>
      <c r="D243" s="42">
        <v>508700000000</v>
      </c>
    </row>
    <row r="244" spans="1:4" x14ac:dyDescent="0.3">
      <c r="A244" s="22" t="s">
        <v>287</v>
      </c>
      <c r="B244" s="28">
        <v>7.5</v>
      </c>
      <c r="C244" s="39">
        <v>5700</v>
      </c>
      <c r="D244" s="42">
        <v>27600000000</v>
      </c>
    </row>
    <row r="245" spans="1:4" x14ac:dyDescent="0.3">
      <c r="A245" s="22" t="s">
        <v>288</v>
      </c>
      <c r="B245" s="28">
        <v>4.9000000000000004</v>
      </c>
      <c r="C245" s="39">
        <v>11500</v>
      </c>
      <c r="D245" s="42">
        <v>216000000</v>
      </c>
    </row>
    <row r="246" spans="1:4" x14ac:dyDescent="0.3">
      <c r="A246" s="22" t="s">
        <v>289</v>
      </c>
      <c r="B246" s="28">
        <v>3</v>
      </c>
      <c r="C246" s="39">
        <v>1100</v>
      </c>
      <c r="D246" s="42">
        <v>12200000</v>
      </c>
    </row>
    <row r="247" spans="1:4" x14ac:dyDescent="0.3">
      <c r="A247" s="22" t="s">
        <v>290</v>
      </c>
      <c r="B247" s="28">
        <v>5</v>
      </c>
      <c r="C247" s="39">
        <v>1500</v>
      </c>
      <c r="D247" s="42">
        <v>39390000000</v>
      </c>
    </row>
    <row r="248" spans="1:4" x14ac:dyDescent="0.3">
      <c r="A248" s="22" t="s">
        <v>291</v>
      </c>
      <c r="B248" s="28">
        <v>12</v>
      </c>
      <c r="C248" s="39">
        <v>6300</v>
      </c>
      <c r="D248" s="42">
        <v>299100000000</v>
      </c>
    </row>
    <row r="249" spans="1:4" x14ac:dyDescent="0.3">
      <c r="A249" s="22" t="s">
        <v>292</v>
      </c>
      <c r="B249" s="28">
        <v>5.7</v>
      </c>
      <c r="C249" s="39">
        <v>25200</v>
      </c>
      <c r="D249" s="42">
        <v>63670000000</v>
      </c>
    </row>
    <row r="250" spans="1:4" x14ac:dyDescent="0.3">
      <c r="A250" s="22" t="s">
        <v>293</v>
      </c>
      <c r="B250" s="28">
        <v>3.2</v>
      </c>
      <c r="C250" s="39">
        <v>29600</v>
      </c>
      <c r="D250" s="42">
        <v>1782000000000</v>
      </c>
    </row>
    <row r="251" spans="1:4" x14ac:dyDescent="0.3">
      <c r="A251" s="22" t="s">
        <v>294</v>
      </c>
      <c r="B251" s="28">
        <v>4.4000000000000004</v>
      </c>
      <c r="C251" s="39">
        <v>40100</v>
      </c>
      <c r="D251" s="42">
        <v>11750000000000</v>
      </c>
    </row>
    <row r="252" spans="1:4" x14ac:dyDescent="0.3">
      <c r="A252" s="22" t="s">
        <v>295</v>
      </c>
      <c r="B252" s="28">
        <v>10.199999999999999</v>
      </c>
      <c r="C252" s="39">
        <v>14500</v>
      </c>
      <c r="D252" s="42">
        <v>49270000000</v>
      </c>
    </row>
    <row r="253" spans="1:4" x14ac:dyDescent="0.3">
      <c r="A253" s="22" t="s">
        <v>296</v>
      </c>
      <c r="B253" s="28">
        <v>4.4000000000000004</v>
      </c>
      <c r="C253" s="39">
        <v>1800</v>
      </c>
      <c r="D253" s="42">
        <v>47590000000</v>
      </c>
    </row>
    <row r="254" spans="1:4" x14ac:dyDescent="0.3">
      <c r="A254" s="22" t="s">
        <v>297</v>
      </c>
      <c r="B254" s="28">
        <v>1.1000000000000001</v>
      </c>
      <c r="C254" s="39">
        <v>2900</v>
      </c>
      <c r="D254" s="42">
        <v>580000000</v>
      </c>
    </row>
    <row r="255" spans="1:4" x14ac:dyDescent="0.3">
      <c r="A255" s="22" t="s">
        <v>298</v>
      </c>
      <c r="B255" s="28">
        <v>16.8</v>
      </c>
      <c r="C255" s="39">
        <v>5800</v>
      </c>
      <c r="D255" s="42">
        <v>145200000000</v>
      </c>
    </row>
    <row r="256" spans="1:4" x14ac:dyDescent="0.3">
      <c r="A256" s="22" t="s">
        <v>299</v>
      </c>
      <c r="B256" s="28">
        <v>7.7</v>
      </c>
      <c r="C256" s="39">
        <v>2700</v>
      </c>
      <c r="D256" s="42">
        <v>227200000000</v>
      </c>
    </row>
    <row r="257" spans="1:4" x14ac:dyDescent="0.3">
      <c r="A257" s="22" t="s">
        <v>300</v>
      </c>
      <c r="B257" s="28">
        <v>2</v>
      </c>
      <c r="C257" s="39">
        <v>17200</v>
      </c>
      <c r="D257" s="42">
        <v>2500000000</v>
      </c>
    </row>
    <row r="258" spans="1:4" x14ac:dyDescent="0.3">
      <c r="A258" s="22" t="s">
        <v>301</v>
      </c>
      <c r="B258" s="28"/>
      <c r="C258" s="39"/>
      <c r="D258" s="42"/>
    </row>
    <row r="259" spans="1:4" x14ac:dyDescent="0.3">
      <c r="A259" s="22" t="s">
        <v>302</v>
      </c>
      <c r="B259" s="28"/>
      <c r="C259" s="39">
        <v>3800</v>
      </c>
      <c r="D259" s="42">
        <v>60000000</v>
      </c>
    </row>
    <row r="260" spans="1:4" x14ac:dyDescent="0.3">
      <c r="A260" s="22" t="s">
        <v>303</v>
      </c>
      <c r="B260" s="28">
        <v>6</v>
      </c>
      <c r="C260" s="39">
        <v>800</v>
      </c>
      <c r="D260" s="42">
        <v>1800000000</v>
      </c>
    </row>
    <row r="261" spans="1:4" x14ac:dyDescent="0.3">
      <c r="A261" s="22" t="s">
        <v>304</v>
      </c>
      <c r="B261" s="28"/>
      <c r="C261" s="39"/>
      <c r="D261" s="42"/>
    </row>
    <row r="262" spans="1:4" x14ac:dyDescent="0.3">
      <c r="A262" s="22" t="s">
        <v>305</v>
      </c>
      <c r="B262" s="28">
        <v>1.9</v>
      </c>
      <c r="C262" s="39">
        <v>800</v>
      </c>
      <c r="D262" s="42">
        <v>16250000000</v>
      </c>
    </row>
    <row r="263" spans="1:4" x14ac:dyDescent="0.3">
      <c r="A263" s="22" t="s">
        <v>306</v>
      </c>
      <c r="B263" s="28">
        <v>4.5999999999999996</v>
      </c>
      <c r="C263" s="39">
        <v>900</v>
      </c>
      <c r="D263" s="42">
        <v>9409000000</v>
      </c>
    </row>
    <row r="264" spans="1:4" x14ac:dyDescent="0.3">
      <c r="A264" s="22" t="s">
        <v>307</v>
      </c>
      <c r="B264" s="28">
        <v>-8.1999999999999993</v>
      </c>
      <c r="C264" s="39">
        <v>1900</v>
      </c>
      <c r="D264" s="42">
        <v>24370000000</v>
      </c>
    </row>
    <row r="265" spans="1:4" x14ac:dyDescent="0.3">
      <c r="A265" s="23" t="s">
        <v>330</v>
      </c>
      <c r="B265" s="30">
        <v>1012.9000000000001</v>
      </c>
      <c r="C265" s="40">
        <v>2427135</v>
      </c>
      <c r="D265" s="43">
        <v>67289115400000</v>
      </c>
    </row>
  </sheetData>
  <sortState xmlns:xlrd2="http://schemas.microsoft.com/office/spreadsheetml/2017/richdata2" columnSort="1" ref="A1:D265">
    <sortCondition descending="1" ref="B1"/>
  </sortState>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A1730-64EA-4372-9295-CED73CDAADDC}">
  <dimension ref="A1:F265"/>
  <sheetViews>
    <sheetView topLeftCell="F1" zoomScale="80" zoomScaleNormal="80" workbookViewId="0">
      <selection activeCell="B2" sqref="B2"/>
    </sheetView>
  </sheetViews>
  <sheetFormatPr defaultRowHeight="14.4" x14ac:dyDescent="0.3"/>
  <cols>
    <col min="1" max="1" width="41.5546875" bestFit="1" customWidth="1"/>
    <col min="2" max="2" width="36" bestFit="1" customWidth="1"/>
    <col min="3" max="3" width="31.109375" bestFit="1" customWidth="1"/>
    <col min="4" max="4" width="31.21875" bestFit="1" customWidth="1"/>
    <col min="5" max="5" width="34.109375" bestFit="1" customWidth="1"/>
    <col min="6" max="6" width="38.77734375" bestFit="1" customWidth="1"/>
  </cols>
  <sheetData>
    <row r="1" spans="1:6" x14ac:dyDescent="0.3">
      <c r="A1" s="20" t="s">
        <v>329</v>
      </c>
      <c r="B1" s="19" t="s">
        <v>336</v>
      </c>
      <c r="C1" s="24" t="s">
        <v>337</v>
      </c>
      <c r="D1" s="24" t="s">
        <v>338</v>
      </c>
      <c r="E1" s="24" t="s">
        <v>339</v>
      </c>
      <c r="F1" s="25" t="s">
        <v>340</v>
      </c>
    </row>
    <row r="2" spans="1:6" x14ac:dyDescent="0.3">
      <c r="A2" s="21" t="s">
        <v>123</v>
      </c>
      <c r="B2" s="44">
        <v>467700000000</v>
      </c>
      <c r="C2" s="32">
        <v>78100000000</v>
      </c>
      <c r="D2" s="32">
        <v>297800000000</v>
      </c>
      <c r="E2" s="32">
        <v>242600000000</v>
      </c>
      <c r="F2" s="27">
        <v>3256000000000</v>
      </c>
    </row>
    <row r="3" spans="1:6" x14ac:dyDescent="0.3">
      <c r="A3" s="22" t="s">
        <v>45</v>
      </c>
      <c r="B3" s="45">
        <v>220000000</v>
      </c>
      <c r="C3" s="33">
        <v>0</v>
      </c>
      <c r="D3" s="33">
        <v>0</v>
      </c>
      <c r="E3" s="33">
        <v>220000000</v>
      </c>
      <c r="F3" s="29">
        <v>49980000000</v>
      </c>
    </row>
    <row r="4" spans="1:6" x14ac:dyDescent="0.3">
      <c r="A4" s="22" t="s">
        <v>46</v>
      </c>
      <c r="B4" s="45"/>
      <c r="C4" s="33"/>
      <c r="D4" s="33"/>
      <c r="E4" s="33"/>
      <c r="F4" s="29"/>
    </row>
    <row r="5" spans="1:6" x14ac:dyDescent="0.3">
      <c r="A5" s="22" t="s">
        <v>47</v>
      </c>
      <c r="B5" s="45">
        <v>30000000</v>
      </c>
      <c r="C5" s="33">
        <v>0</v>
      </c>
      <c r="D5" s="33">
        <v>0</v>
      </c>
      <c r="E5" s="33">
        <v>30000000</v>
      </c>
      <c r="F5" s="29">
        <v>3316000000</v>
      </c>
    </row>
    <row r="6" spans="1:6" x14ac:dyDescent="0.3">
      <c r="A6" s="22" t="s">
        <v>48</v>
      </c>
      <c r="B6" s="45">
        <v>22320000000</v>
      </c>
      <c r="C6" s="33">
        <v>57980000000</v>
      </c>
      <c r="D6" s="33">
        <v>0</v>
      </c>
      <c r="E6" s="33">
        <v>80300000000</v>
      </c>
      <c r="F6" s="29">
        <v>4739000000000</v>
      </c>
    </row>
    <row r="7" spans="1:6" x14ac:dyDescent="0.3">
      <c r="A7" s="22" t="s">
        <v>49</v>
      </c>
      <c r="B7" s="45"/>
      <c r="C7" s="33"/>
      <c r="D7" s="33"/>
      <c r="E7" s="33"/>
      <c r="F7" s="29"/>
    </row>
    <row r="8" spans="1:6" x14ac:dyDescent="0.3">
      <c r="A8" s="22" t="s">
        <v>50</v>
      </c>
      <c r="B8" s="45"/>
      <c r="C8" s="33"/>
      <c r="D8" s="33"/>
      <c r="E8" s="33"/>
      <c r="F8" s="29"/>
    </row>
    <row r="9" spans="1:6" x14ac:dyDescent="0.3">
      <c r="A9" s="22" t="s">
        <v>51</v>
      </c>
      <c r="B9" s="45">
        <v>530000000</v>
      </c>
      <c r="C9" s="33">
        <v>0</v>
      </c>
      <c r="D9" s="33">
        <v>0</v>
      </c>
      <c r="E9" s="33">
        <v>530000000</v>
      </c>
      <c r="F9" s="29">
        <v>79570000000</v>
      </c>
    </row>
    <row r="10" spans="1:6" x14ac:dyDescent="0.3">
      <c r="A10" s="22" t="s">
        <v>52</v>
      </c>
      <c r="B10" s="45"/>
      <c r="C10" s="33"/>
      <c r="D10" s="33"/>
      <c r="E10" s="33"/>
      <c r="F10" s="29"/>
    </row>
    <row r="11" spans="1:6" x14ac:dyDescent="0.3">
      <c r="A11" s="22" t="s">
        <v>53</v>
      </c>
      <c r="B11" s="45"/>
      <c r="C11" s="33"/>
      <c r="D11" s="33"/>
      <c r="E11" s="33"/>
      <c r="F11" s="29"/>
    </row>
    <row r="12" spans="1:6" x14ac:dyDescent="0.3">
      <c r="A12" s="22" t="s">
        <v>54</v>
      </c>
      <c r="B12" s="45"/>
      <c r="C12" s="33"/>
      <c r="D12" s="33"/>
      <c r="E12" s="33"/>
      <c r="F12" s="29"/>
    </row>
    <row r="13" spans="1:6" x14ac:dyDescent="0.3">
      <c r="A13" s="22" t="s">
        <v>55</v>
      </c>
      <c r="B13" s="45">
        <v>31100000000</v>
      </c>
      <c r="C13" s="33">
        <v>6050000000</v>
      </c>
      <c r="D13" s="33">
        <v>0</v>
      </c>
      <c r="E13" s="33">
        <v>37150000000</v>
      </c>
      <c r="F13" s="29">
        <v>768000000000</v>
      </c>
    </row>
    <row r="14" spans="1:6" x14ac:dyDescent="0.3">
      <c r="A14" s="22" t="s">
        <v>56</v>
      </c>
      <c r="B14" s="45">
        <v>1400000000</v>
      </c>
      <c r="C14" s="33">
        <v>0</v>
      </c>
      <c r="D14" s="33">
        <v>1400000000</v>
      </c>
      <c r="E14" s="33">
        <v>0</v>
      </c>
      <c r="F14" s="29"/>
    </row>
    <row r="15" spans="1:6" x14ac:dyDescent="0.3">
      <c r="A15" s="22" t="s">
        <v>57</v>
      </c>
      <c r="B15" s="45"/>
      <c r="C15" s="33"/>
      <c r="D15" s="33"/>
      <c r="E15" s="33"/>
      <c r="F15" s="29"/>
    </row>
    <row r="16" spans="1:6" x14ac:dyDescent="0.3">
      <c r="A16" s="22" t="s">
        <v>58</v>
      </c>
      <c r="B16" s="45"/>
      <c r="C16" s="33"/>
      <c r="D16" s="33"/>
      <c r="E16" s="33"/>
      <c r="F16" s="29"/>
    </row>
    <row r="17" spans="1:6" x14ac:dyDescent="0.3">
      <c r="A17" s="22" t="s">
        <v>59</v>
      </c>
      <c r="B17" s="45">
        <v>23330000000</v>
      </c>
      <c r="C17" s="33">
        <v>9744000000</v>
      </c>
      <c r="D17" s="33">
        <v>0</v>
      </c>
      <c r="E17" s="33">
        <v>33080000000</v>
      </c>
      <c r="F17" s="29">
        <v>2407000000000</v>
      </c>
    </row>
    <row r="18" spans="1:6" x14ac:dyDescent="0.3">
      <c r="A18" s="22" t="s">
        <v>60</v>
      </c>
      <c r="B18" s="45">
        <v>7810000000</v>
      </c>
      <c r="C18" s="33">
        <v>403000000</v>
      </c>
      <c r="D18" s="33">
        <v>6033000000</v>
      </c>
      <c r="E18" s="33">
        <v>1731000000</v>
      </c>
      <c r="F18" s="29">
        <v>24900000000</v>
      </c>
    </row>
    <row r="19" spans="1:6" x14ac:dyDescent="0.3">
      <c r="A19" s="22" t="s">
        <v>61</v>
      </c>
      <c r="B19" s="45">
        <v>6720000000</v>
      </c>
      <c r="C19" s="33">
        <v>0</v>
      </c>
      <c r="D19" s="33">
        <v>1000000000</v>
      </c>
      <c r="E19" s="33">
        <v>5720000000</v>
      </c>
      <c r="F19" s="29">
        <v>62300000000</v>
      </c>
    </row>
    <row r="20" spans="1:6" x14ac:dyDescent="0.3">
      <c r="A20" s="22" t="s">
        <v>62</v>
      </c>
      <c r="B20" s="45"/>
      <c r="C20" s="33"/>
      <c r="D20" s="33"/>
      <c r="E20" s="33"/>
      <c r="F20" s="29"/>
    </row>
    <row r="21" spans="1:6" x14ac:dyDescent="0.3">
      <c r="A21" s="22" t="s">
        <v>63</v>
      </c>
      <c r="B21" s="45">
        <v>32700000000</v>
      </c>
      <c r="C21" s="33">
        <v>0</v>
      </c>
      <c r="D21" s="33">
        <v>0</v>
      </c>
      <c r="E21" s="33">
        <v>32700000000</v>
      </c>
      <c r="F21" s="29">
        <v>46000000000</v>
      </c>
    </row>
    <row r="22" spans="1:6" x14ac:dyDescent="0.3">
      <c r="A22" s="22" t="s">
        <v>64</v>
      </c>
      <c r="B22" s="45"/>
      <c r="C22" s="33"/>
      <c r="D22" s="33"/>
      <c r="E22" s="33"/>
      <c r="F22" s="29"/>
    </row>
    <row r="23" spans="1:6" x14ac:dyDescent="0.3">
      <c r="A23" s="22" t="s">
        <v>65</v>
      </c>
      <c r="B23" s="45">
        <v>9900000000</v>
      </c>
      <c r="C23" s="33">
        <v>0</v>
      </c>
      <c r="D23" s="33">
        <v>0</v>
      </c>
      <c r="E23" s="33">
        <v>9900000000</v>
      </c>
      <c r="F23" s="29">
        <v>150300000000</v>
      </c>
    </row>
    <row r="24" spans="1:6" x14ac:dyDescent="0.3">
      <c r="A24" s="22" t="s">
        <v>66</v>
      </c>
      <c r="B24" s="45">
        <v>29170000</v>
      </c>
      <c r="C24" s="33">
        <v>0</v>
      </c>
      <c r="D24" s="33">
        <v>0</v>
      </c>
      <c r="E24" s="33">
        <v>29170000</v>
      </c>
      <c r="F24" s="29">
        <v>70790000</v>
      </c>
    </row>
    <row r="25" spans="1:6" x14ac:dyDescent="0.3">
      <c r="A25" s="22" t="s">
        <v>67</v>
      </c>
      <c r="B25" s="45"/>
      <c r="C25" s="33"/>
      <c r="D25" s="33"/>
      <c r="E25" s="33"/>
      <c r="F25" s="29"/>
    </row>
    <row r="26" spans="1:6" x14ac:dyDescent="0.3">
      <c r="A26" s="22" t="s">
        <v>68</v>
      </c>
      <c r="B26" s="45">
        <v>18800000000</v>
      </c>
      <c r="C26" s="33">
        <v>0</v>
      </c>
      <c r="D26" s="33">
        <v>18500000000</v>
      </c>
      <c r="E26" s="33">
        <v>250000000</v>
      </c>
      <c r="F26" s="29"/>
    </row>
    <row r="27" spans="1:6" x14ac:dyDescent="0.3">
      <c r="A27" s="22" t="s">
        <v>69</v>
      </c>
      <c r="B27" s="45">
        <v>15500000000</v>
      </c>
      <c r="C27" s="33">
        <v>0</v>
      </c>
      <c r="D27" s="33">
        <v>15400000000</v>
      </c>
      <c r="E27" s="33">
        <v>0</v>
      </c>
      <c r="F27" s="29"/>
    </row>
    <row r="28" spans="1:6" x14ac:dyDescent="0.3">
      <c r="A28" s="22" t="s">
        <v>70</v>
      </c>
      <c r="B28" s="45"/>
      <c r="C28" s="33"/>
      <c r="D28" s="33"/>
      <c r="E28" s="33"/>
      <c r="F28" s="29"/>
    </row>
    <row r="29" spans="1:6" x14ac:dyDescent="0.3">
      <c r="A29" s="22" t="s">
        <v>71</v>
      </c>
      <c r="B29" s="45"/>
      <c r="C29" s="33"/>
      <c r="D29" s="33"/>
      <c r="E29" s="33"/>
      <c r="F29" s="29">
        <v>608800000</v>
      </c>
    </row>
    <row r="30" spans="1:6" x14ac:dyDescent="0.3">
      <c r="A30" s="22" t="s">
        <v>72</v>
      </c>
      <c r="B30" s="45"/>
      <c r="C30" s="33"/>
      <c r="D30" s="33"/>
      <c r="E30" s="33"/>
      <c r="F30" s="29"/>
    </row>
    <row r="31" spans="1:6" x14ac:dyDescent="0.3">
      <c r="A31" s="22" t="s">
        <v>73</v>
      </c>
      <c r="B31" s="45"/>
      <c r="C31" s="33"/>
      <c r="D31" s="33"/>
      <c r="E31" s="33"/>
      <c r="F31" s="29"/>
    </row>
    <row r="32" spans="1:6" x14ac:dyDescent="0.3">
      <c r="A32" s="22" t="s">
        <v>74</v>
      </c>
      <c r="B32" s="45">
        <v>1150000000</v>
      </c>
      <c r="C32" s="33">
        <v>2900000000</v>
      </c>
      <c r="D32" s="33">
        <v>0</v>
      </c>
      <c r="E32" s="33">
        <v>8440000000</v>
      </c>
      <c r="F32" s="29">
        <v>727200000000</v>
      </c>
    </row>
    <row r="33" spans="1:6" x14ac:dyDescent="0.3">
      <c r="A33" s="22" t="s">
        <v>75</v>
      </c>
      <c r="B33" s="45">
        <v>300000000</v>
      </c>
      <c r="C33" s="33">
        <v>0</v>
      </c>
      <c r="D33" s="33">
        <v>300000000</v>
      </c>
      <c r="E33" s="33">
        <v>0</v>
      </c>
      <c r="F33" s="29"/>
    </row>
    <row r="34" spans="1:6" x14ac:dyDescent="0.3">
      <c r="A34" s="22" t="s">
        <v>76</v>
      </c>
      <c r="B34" s="45"/>
      <c r="C34" s="33"/>
      <c r="D34" s="33"/>
      <c r="E34" s="33"/>
      <c r="F34" s="29"/>
    </row>
    <row r="35" spans="1:6" x14ac:dyDescent="0.3">
      <c r="A35" s="22" t="s">
        <v>77</v>
      </c>
      <c r="B35" s="45"/>
      <c r="C35" s="33"/>
      <c r="D35" s="33"/>
      <c r="E35" s="33"/>
      <c r="F35" s="29"/>
    </row>
    <row r="36" spans="1:6" x14ac:dyDescent="0.3">
      <c r="A36" s="22" t="s">
        <v>78</v>
      </c>
      <c r="B36" s="45">
        <v>9590000000</v>
      </c>
      <c r="C36" s="33">
        <v>0</v>
      </c>
      <c r="D36" s="33">
        <v>3640000000</v>
      </c>
      <c r="E36" s="33">
        <v>5950000000</v>
      </c>
      <c r="F36" s="29">
        <v>221700000000</v>
      </c>
    </row>
    <row r="37" spans="1:6" x14ac:dyDescent="0.3">
      <c r="A37" s="22" t="s">
        <v>79</v>
      </c>
      <c r="B37" s="45"/>
      <c r="C37" s="33"/>
      <c r="D37" s="33"/>
      <c r="E37" s="33"/>
      <c r="F37" s="29"/>
    </row>
    <row r="38" spans="1:6" x14ac:dyDescent="0.3">
      <c r="A38" s="22" t="s">
        <v>80</v>
      </c>
      <c r="B38" s="45"/>
      <c r="C38" s="33"/>
      <c r="D38" s="33"/>
      <c r="E38" s="33"/>
      <c r="F38" s="29"/>
    </row>
    <row r="39" spans="1:6" x14ac:dyDescent="0.3">
      <c r="A39" s="22" t="s">
        <v>81</v>
      </c>
      <c r="B39" s="45">
        <v>1350000000</v>
      </c>
      <c r="C39" s="33">
        <v>9000000000</v>
      </c>
      <c r="D39" s="33">
        <v>0</v>
      </c>
      <c r="E39" s="33">
        <v>10350000000</v>
      </c>
      <c r="F39" s="29">
        <v>315000000000</v>
      </c>
    </row>
    <row r="40" spans="1:6" x14ac:dyDescent="0.3">
      <c r="A40" s="22" t="s">
        <v>82</v>
      </c>
      <c r="B40" s="45">
        <v>5804000000</v>
      </c>
      <c r="C40" s="33">
        <v>0</v>
      </c>
      <c r="D40" s="33">
        <v>5800000000</v>
      </c>
      <c r="E40" s="33">
        <v>4000000</v>
      </c>
      <c r="F40" s="29">
        <v>3724000000</v>
      </c>
    </row>
    <row r="41" spans="1:6" x14ac:dyDescent="0.3">
      <c r="A41" s="22" t="s">
        <v>83</v>
      </c>
      <c r="B41" s="45"/>
      <c r="C41" s="33"/>
      <c r="D41" s="33"/>
      <c r="E41" s="33"/>
      <c r="F41" s="29"/>
    </row>
    <row r="42" spans="1:6" x14ac:dyDescent="0.3">
      <c r="A42" s="22" t="s">
        <v>84</v>
      </c>
      <c r="B42" s="45">
        <v>1569000000</v>
      </c>
      <c r="C42" s="33">
        <v>8424000000</v>
      </c>
      <c r="D42" s="33">
        <v>0</v>
      </c>
      <c r="E42" s="33">
        <v>9980000000</v>
      </c>
      <c r="F42" s="29">
        <v>2460000000000</v>
      </c>
    </row>
    <row r="43" spans="1:6" x14ac:dyDescent="0.3">
      <c r="A43" s="22" t="s">
        <v>85</v>
      </c>
      <c r="B43" s="45"/>
      <c r="C43" s="33"/>
      <c r="D43" s="33"/>
      <c r="E43" s="33"/>
      <c r="F43" s="29"/>
    </row>
    <row r="44" spans="1:6" x14ac:dyDescent="0.3">
      <c r="A44" s="22" t="s">
        <v>86</v>
      </c>
      <c r="B44" s="45"/>
      <c r="C44" s="33"/>
      <c r="D44" s="33"/>
      <c r="E44" s="33"/>
      <c r="F44" s="29"/>
    </row>
    <row r="45" spans="1:6" x14ac:dyDescent="0.3">
      <c r="A45" s="22" t="s">
        <v>87</v>
      </c>
      <c r="B45" s="45">
        <v>0</v>
      </c>
      <c r="C45" s="33">
        <v>0</v>
      </c>
      <c r="D45" s="33">
        <v>0</v>
      </c>
      <c r="E45" s="33">
        <v>0</v>
      </c>
      <c r="F45" s="29">
        <v>55220000000</v>
      </c>
    </row>
    <row r="46" spans="1:6" x14ac:dyDescent="0.3">
      <c r="A46" s="22" t="s">
        <v>88</v>
      </c>
      <c r="B46" s="45">
        <v>55800000000</v>
      </c>
      <c r="C46" s="33">
        <v>91520000000</v>
      </c>
      <c r="D46" s="33">
        <v>8730000000</v>
      </c>
      <c r="E46" s="33">
        <v>165800000000</v>
      </c>
      <c r="F46" s="29">
        <v>1691000000000</v>
      </c>
    </row>
    <row r="47" spans="1:6" x14ac:dyDescent="0.3">
      <c r="A47" s="22" t="s">
        <v>89</v>
      </c>
      <c r="B47" s="45"/>
      <c r="C47" s="33"/>
      <c r="D47" s="33"/>
      <c r="E47" s="33"/>
      <c r="F47" s="29"/>
    </row>
    <row r="48" spans="1:6" x14ac:dyDescent="0.3">
      <c r="A48" s="22" t="s">
        <v>90</v>
      </c>
      <c r="B48" s="45"/>
      <c r="C48" s="33"/>
      <c r="D48" s="33"/>
      <c r="E48" s="33"/>
      <c r="F48" s="29"/>
    </row>
    <row r="49" spans="1:6" x14ac:dyDescent="0.3">
      <c r="A49" s="22" t="s">
        <v>91</v>
      </c>
      <c r="B49" s="45"/>
      <c r="C49" s="33"/>
      <c r="D49" s="33"/>
      <c r="E49" s="33"/>
      <c r="F49" s="29"/>
    </row>
    <row r="50" spans="1:6" x14ac:dyDescent="0.3">
      <c r="A50" s="22" t="s">
        <v>92</v>
      </c>
      <c r="B50" s="45"/>
      <c r="C50" s="33"/>
      <c r="D50" s="33"/>
      <c r="E50" s="33"/>
      <c r="F50" s="29"/>
    </row>
    <row r="51" spans="1:6" x14ac:dyDescent="0.3">
      <c r="A51" s="22" t="s">
        <v>93</v>
      </c>
      <c r="B51" s="45">
        <v>6517000000</v>
      </c>
      <c r="C51" s="33">
        <v>0</v>
      </c>
      <c r="D51" s="33">
        <v>5337000000</v>
      </c>
      <c r="E51" s="33">
        <v>1180000000</v>
      </c>
      <c r="F51" s="29">
        <v>99050000000</v>
      </c>
    </row>
    <row r="52" spans="1:6" x14ac:dyDescent="0.3">
      <c r="A52" s="22" t="s">
        <v>94</v>
      </c>
      <c r="B52" s="45">
        <v>29180000000</v>
      </c>
      <c r="C52" s="33">
        <v>0</v>
      </c>
      <c r="D52" s="33">
        <v>0</v>
      </c>
      <c r="E52" s="33">
        <v>35000000000</v>
      </c>
      <c r="F52" s="29">
        <v>2230000000000</v>
      </c>
    </row>
    <row r="53" spans="1:6" x14ac:dyDescent="0.3">
      <c r="A53" s="22" t="s">
        <v>95</v>
      </c>
      <c r="B53" s="45"/>
      <c r="C53" s="33"/>
      <c r="D53" s="33"/>
      <c r="E53" s="33"/>
      <c r="F53" s="29"/>
    </row>
    <row r="54" spans="1:6" x14ac:dyDescent="0.3">
      <c r="A54" s="22" t="s">
        <v>96</v>
      </c>
      <c r="B54" s="45"/>
      <c r="C54" s="33"/>
      <c r="D54" s="33"/>
      <c r="E54" s="33"/>
      <c r="F54" s="29"/>
    </row>
    <row r="55" spans="1:6" x14ac:dyDescent="0.3">
      <c r="A55" s="22" t="s">
        <v>97</v>
      </c>
      <c r="B55" s="45"/>
      <c r="C55" s="33"/>
      <c r="D55" s="33"/>
      <c r="E55" s="33"/>
      <c r="F55" s="29"/>
    </row>
    <row r="56" spans="1:6" x14ac:dyDescent="0.3">
      <c r="A56" s="22" t="s">
        <v>98</v>
      </c>
      <c r="B56" s="45">
        <v>5700000000</v>
      </c>
      <c r="C56" s="33">
        <v>0</v>
      </c>
      <c r="D56" s="33">
        <v>0</v>
      </c>
      <c r="E56" s="33">
        <v>5700000000</v>
      </c>
      <c r="F56" s="29">
        <v>132000000000</v>
      </c>
    </row>
    <row r="57" spans="1:6" x14ac:dyDescent="0.3">
      <c r="A57" s="22" t="s">
        <v>99</v>
      </c>
      <c r="B57" s="45"/>
      <c r="C57" s="33"/>
      <c r="D57" s="33"/>
      <c r="E57" s="33"/>
      <c r="F57" s="29"/>
    </row>
    <row r="58" spans="1:6" x14ac:dyDescent="0.3">
      <c r="A58" s="22" t="s">
        <v>100</v>
      </c>
      <c r="B58" s="45"/>
      <c r="C58" s="33"/>
      <c r="D58" s="33"/>
      <c r="E58" s="33"/>
      <c r="F58" s="29">
        <v>104800000000</v>
      </c>
    </row>
    <row r="59" spans="1:6" x14ac:dyDescent="0.3">
      <c r="A59" s="22" t="s">
        <v>101</v>
      </c>
      <c r="B59" s="45">
        <v>0</v>
      </c>
      <c r="C59" s="33">
        <v>0</v>
      </c>
      <c r="D59" s="33">
        <v>0</v>
      </c>
      <c r="E59" s="33">
        <v>0</v>
      </c>
      <c r="F59" s="29">
        <v>495500000</v>
      </c>
    </row>
    <row r="60" spans="1:6" x14ac:dyDescent="0.3">
      <c r="A60" s="22" t="s">
        <v>102</v>
      </c>
      <c r="B60" s="45"/>
      <c r="C60" s="33"/>
      <c r="D60" s="33"/>
      <c r="E60" s="33"/>
      <c r="F60" s="29"/>
    </row>
    <row r="61" spans="1:6" x14ac:dyDescent="0.3">
      <c r="A61" s="22" t="s">
        <v>103</v>
      </c>
      <c r="B61" s="45"/>
      <c r="C61" s="33"/>
      <c r="D61" s="33"/>
      <c r="E61" s="33"/>
      <c r="F61" s="29"/>
    </row>
    <row r="62" spans="1:6" x14ac:dyDescent="0.3">
      <c r="A62" s="22" t="s">
        <v>104</v>
      </c>
      <c r="B62" s="45">
        <v>1350000000</v>
      </c>
      <c r="C62" s="33">
        <v>0</v>
      </c>
      <c r="D62" s="33">
        <v>0</v>
      </c>
      <c r="E62" s="33">
        <v>1350000000</v>
      </c>
      <c r="F62" s="29">
        <v>14870000000</v>
      </c>
    </row>
    <row r="63" spans="1:6" x14ac:dyDescent="0.3">
      <c r="A63" s="22" t="s">
        <v>105</v>
      </c>
      <c r="B63" s="45">
        <v>2840000000</v>
      </c>
      <c r="C63" s="33">
        <v>0</v>
      </c>
      <c r="D63" s="33">
        <v>1080000000</v>
      </c>
      <c r="E63" s="33">
        <v>1760000000</v>
      </c>
      <c r="F63" s="29">
        <v>34360000000</v>
      </c>
    </row>
    <row r="64" spans="1:6" x14ac:dyDescent="0.3">
      <c r="A64" s="22" t="s">
        <v>106</v>
      </c>
      <c r="B64" s="45">
        <v>600000000</v>
      </c>
      <c r="C64" s="33">
        <v>0</v>
      </c>
      <c r="D64" s="33">
        <v>0</v>
      </c>
      <c r="E64" s="33">
        <v>600000000</v>
      </c>
      <c r="F64" s="29">
        <v>42620000000</v>
      </c>
    </row>
    <row r="65" spans="1:6" x14ac:dyDescent="0.3">
      <c r="A65" s="22" t="s">
        <v>107</v>
      </c>
      <c r="B65" s="45"/>
      <c r="C65" s="33"/>
      <c r="D65" s="33"/>
      <c r="E65" s="33"/>
      <c r="F65" s="29"/>
    </row>
    <row r="66" spans="1:6" x14ac:dyDescent="0.3">
      <c r="A66" s="22" t="s">
        <v>108</v>
      </c>
      <c r="B66" s="45">
        <v>9892000000</v>
      </c>
      <c r="C66" s="33">
        <v>1000000</v>
      </c>
      <c r="D66" s="33">
        <v>9521000000</v>
      </c>
      <c r="E66" s="33">
        <v>160000000</v>
      </c>
      <c r="F66" s="29">
        <v>3057000000</v>
      </c>
    </row>
    <row r="67" spans="1:6" x14ac:dyDescent="0.3">
      <c r="A67" s="22" t="s">
        <v>109</v>
      </c>
      <c r="B67" s="45">
        <v>5280000000</v>
      </c>
      <c r="C67" s="33">
        <v>3100000000</v>
      </c>
      <c r="D67" s="33">
        <v>0</v>
      </c>
      <c r="E67" s="33">
        <v>8380000000</v>
      </c>
      <c r="F67" s="29">
        <v>81980000000</v>
      </c>
    </row>
    <row r="68" spans="1:6" x14ac:dyDescent="0.3">
      <c r="A68" s="22" t="s">
        <v>110</v>
      </c>
      <c r="B68" s="45"/>
      <c r="C68" s="33"/>
      <c r="D68" s="33"/>
      <c r="E68" s="33"/>
      <c r="F68" s="29"/>
    </row>
    <row r="69" spans="1:6" x14ac:dyDescent="0.3">
      <c r="A69" s="22" t="s">
        <v>111</v>
      </c>
      <c r="B69" s="45"/>
      <c r="C69" s="33"/>
      <c r="D69" s="33"/>
      <c r="E69" s="33"/>
      <c r="F69" s="29"/>
    </row>
    <row r="70" spans="1:6" x14ac:dyDescent="0.3">
      <c r="A70" s="22" t="s">
        <v>112</v>
      </c>
      <c r="B70" s="45"/>
      <c r="C70" s="33"/>
      <c r="D70" s="33"/>
      <c r="E70" s="33"/>
      <c r="F70" s="29"/>
    </row>
    <row r="71" spans="1:6" x14ac:dyDescent="0.3">
      <c r="A71" s="22" t="s">
        <v>113</v>
      </c>
      <c r="B71" s="45"/>
      <c r="C71" s="33"/>
      <c r="D71" s="33"/>
      <c r="E71" s="33"/>
      <c r="F71" s="29"/>
    </row>
    <row r="72" spans="1:6" x14ac:dyDescent="0.3">
      <c r="A72" s="22" t="s">
        <v>114</v>
      </c>
      <c r="B72" s="45"/>
      <c r="C72" s="33"/>
      <c r="D72" s="33"/>
      <c r="E72" s="33"/>
      <c r="F72" s="29"/>
    </row>
    <row r="73" spans="1:6" x14ac:dyDescent="0.3">
      <c r="A73" s="22" t="s">
        <v>115</v>
      </c>
      <c r="B73" s="45">
        <v>160000000</v>
      </c>
      <c r="C73" s="33">
        <v>0</v>
      </c>
      <c r="D73" s="33">
        <v>0</v>
      </c>
      <c r="E73" s="33">
        <v>160000000</v>
      </c>
      <c r="F73" s="29">
        <v>106500000000</v>
      </c>
    </row>
    <row r="74" spans="1:6" x14ac:dyDescent="0.3">
      <c r="A74" s="22" t="s">
        <v>116</v>
      </c>
      <c r="B74" s="45">
        <v>21200000000</v>
      </c>
      <c r="C74" s="33">
        <v>0</v>
      </c>
      <c r="D74" s="33">
        <v>0</v>
      </c>
      <c r="E74" s="33">
        <v>21200000000</v>
      </c>
      <c r="F74" s="29">
        <v>1264000000000</v>
      </c>
    </row>
    <row r="75" spans="1:6" x14ac:dyDescent="0.3">
      <c r="A75" s="22" t="s">
        <v>117</v>
      </c>
      <c r="B75" s="45"/>
      <c r="C75" s="33"/>
      <c r="D75" s="33"/>
      <c r="E75" s="33"/>
      <c r="F75" s="29"/>
    </row>
    <row r="76" spans="1:6" x14ac:dyDescent="0.3">
      <c r="A76" s="22" t="s">
        <v>118</v>
      </c>
      <c r="B76" s="45">
        <v>20000000</v>
      </c>
      <c r="C76" s="33">
        <v>0</v>
      </c>
      <c r="D76" s="33">
        <v>0</v>
      </c>
      <c r="E76" s="33">
        <v>20000000</v>
      </c>
      <c r="F76" s="29">
        <v>68530000000</v>
      </c>
    </row>
    <row r="77" spans="1:6" x14ac:dyDescent="0.3">
      <c r="A77" s="22" t="s">
        <v>119</v>
      </c>
      <c r="B77" s="45"/>
      <c r="C77" s="33"/>
      <c r="D77" s="33"/>
      <c r="E77" s="33"/>
      <c r="F77" s="29"/>
    </row>
    <row r="78" spans="1:6" x14ac:dyDescent="0.3">
      <c r="A78" s="22" t="s">
        <v>120</v>
      </c>
      <c r="B78" s="45">
        <v>1270000000</v>
      </c>
      <c r="C78" s="33">
        <v>0</v>
      </c>
      <c r="D78" s="33">
        <v>1270000000</v>
      </c>
      <c r="E78" s="33">
        <v>0</v>
      </c>
      <c r="F78" s="29"/>
    </row>
    <row r="79" spans="1:6" x14ac:dyDescent="0.3">
      <c r="A79" s="22" t="s">
        <v>121</v>
      </c>
      <c r="B79" s="45"/>
      <c r="C79" s="33"/>
      <c r="D79" s="33"/>
      <c r="E79" s="33"/>
      <c r="F79" s="29">
        <v>12460000000</v>
      </c>
    </row>
    <row r="80" spans="1:6" x14ac:dyDescent="0.3">
      <c r="A80" s="22" t="s">
        <v>122</v>
      </c>
      <c r="B80" s="45"/>
      <c r="C80" s="33"/>
      <c r="D80" s="33"/>
      <c r="E80" s="33"/>
      <c r="F80" s="29"/>
    </row>
    <row r="81" spans="1:6" x14ac:dyDescent="0.3">
      <c r="A81" s="22" t="s">
        <v>124</v>
      </c>
      <c r="B81" s="45"/>
      <c r="C81" s="33"/>
      <c r="D81" s="33"/>
      <c r="E81" s="33"/>
      <c r="F81" s="29"/>
    </row>
    <row r="82" spans="1:6" x14ac:dyDescent="0.3">
      <c r="A82" s="22" t="s">
        <v>125</v>
      </c>
      <c r="B82" s="45"/>
      <c r="C82" s="33"/>
      <c r="D82" s="33"/>
      <c r="E82" s="33"/>
      <c r="F82" s="29"/>
    </row>
    <row r="83" spans="1:6" x14ac:dyDescent="0.3">
      <c r="A83" s="22" t="s">
        <v>126</v>
      </c>
      <c r="B83" s="45"/>
      <c r="C83" s="33"/>
      <c r="D83" s="33"/>
      <c r="E83" s="33"/>
      <c r="F83" s="29"/>
    </row>
    <row r="84" spans="1:6" x14ac:dyDescent="0.3">
      <c r="A84" s="22" t="s">
        <v>127</v>
      </c>
      <c r="B84" s="45">
        <v>4557000000</v>
      </c>
      <c r="C84" s="33">
        <v>0</v>
      </c>
      <c r="D84" s="33">
        <v>4567000000</v>
      </c>
      <c r="E84" s="33">
        <v>0</v>
      </c>
      <c r="F84" s="29"/>
    </row>
    <row r="85" spans="1:6" x14ac:dyDescent="0.3">
      <c r="A85" s="22" t="s">
        <v>128</v>
      </c>
      <c r="B85" s="45">
        <v>42010000000</v>
      </c>
      <c r="C85" s="33">
        <v>1725000000</v>
      </c>
      <c r="D85" s="33">
        <v>40260000000</v>
      </c>
      <c r="E85" s="33">
        <v>1898000000</v>
      </c>
      <c r="F85" s="29">
        <v>12860000000</v>
      </c>
    </row>
    <row r="86" spans="1:6" x14ac:dyDescent="0.3">
      <c r="A86" s="22" t="s">
        <v>129</v>
      </c>
      <c r="B86" s="45"/>
      <c r="C86" s="33"/>
      <c r="D86" s="33"/>
      <c r="E86" s="33"/>
      <c r="F86" s="29"/>
    </row>
    <row r="87" spans="1:6" x14ac:dyDescent="0.3">
      <c r="A87" s="22" t="s">
        <v>130</v>
      </c>
      <c r="B87" s="45"/>
      <c r="C87" s="33"/>
      <c r="D87" s="33"/>
      <c r="E87" s="33"/>
      <c r="F87" s="29"/>
    </row>
    <row r="88" spans="1:6" x14ac:dyDescent="0.3">
      <c r="A88" s="22" t="s">
        <v>131</v>
      </c>
      <c r="B88" s="45"/>
      <c r="C88" s="33"/>
      <c r="D88" s="33"/>
      <c r="E88" s="33"/>
      <c r="F88" s="29"/>
    </row>
    <row r="89" spans="1:6" x14ac:dyDescent="0.3">
      <c r="A89" s="22" t="s">
        <v>132</v>
      </c>
      <c r="B89" s="45">
        <v>80000000</v>
      </c>
      <c r="C89" s="33">
        <v>0</v>
      </c>
      <c r="D89" s="33">
        <v>0</v>
      </c>
      <c r="E89" s="33">
        <v>80000000</v>
      </c>
      <c r="F89" s="29">
        <v>66470000000</v>
      </c>
    </row>
    <row r="90" spans="1:6" x14ac:dyDescent="0.3">
      <c r="A90" s="22" t="s">
        <v>133</v>
      </c>
      <c r="B90" s="45"/>
      <c r="C90" s="33"/>
      <c r="D90" s="33"/>
      <c r="E90" s="33"/>
      <c r="F90" s="29"/>
    </row>
    <row r="91" spans="1:6" x14ac:dyDescent="0.3">
      <c r="A91" s="22" t="s">
        <v>134</v>
      </c>
      <c r="B91" s="45"/>
      <c r="C91" s="33"/>
      <c r="D91" s="33"/>
      <c r="E91" s="33"/>
      <c r="F91" s="29"/>
    </row>
    <row r="92" spans="1:6" x14ac:dyDescent="0.3">
      <c r="A92" s="22" t="s">
        <v>135</v>
      </c>
      <c r="B92" s="45">
        <v>1160000000</v>
      </c>
      <c r="C92" s="33">
        <v>0</v>
      </c>
      <c r="D92" s="33">
        <v>1100000000</v>
      </c>
      <c r="E92" s="33">
        <v>60000000</v>
      </c>
      <c r="F92" s="29"/>
    </row>
    <row r="93" spans="1:6" x14ac:dyDescent="0.3">
      <c r="A93" s="22" t="s">
        <v>136</v>
      </c>
      <c r="B93" s="45">
        <v>99550000000</v>
      </c>
      <c r="C93" s="33">
        <v>7731000000</v>
      </c>
      <c r="D93" s="33">
        <v>85020000000</v>
      </c>
      <c r="E93" s="33">
        <v>21000000000</v>
      </c>
      <c r="F93" s="29">
        <v>293000000000</v>
      </c>
    </row>
    <row r="94" spans="1:6" x14ac:dyDescent="0.3">
      <c r="A94" s="22" t="s">
        <v>137</v>
      </c>
      <c r="B94" s="45"/>
      <c r="C94" s="33"/>
      <c r="D94" s="33"/>
      <c r="E94" s="33"/>
      <c r="F94" s="29">
        <v>11890000000</v>
      </c>
    </row>
    <row r="95" spans="1:6" x14ac:dyDescent="0.3">
      <c r="A95" s="22" t="s">
        <v>138</v>
      </c>
      <c r="B95" s="45"/>
      <c r="C95" s="33"/>
      <c r="D95" s="33"/>
      <c r="E95" s="33"/>
      <c r="F95" s="29"/>
    </row>
    <row r="96" spans="1:6" x14ac:dyDescent="0.3">
      <c r="A96" s="22" t="s">
        <v>139</v>
      </c>
      <c r="B96" s="45"/>
      <c r="C96" s="33"/>
      <c r="D96" s="33"/>
      <c r="E96" s="33"/>
      <c r="F96" s="29"/>
    </row>
    <row r="97" spans="1:6" x14ac:dyDescent="0.3">
      <c r="A97" s="22" t="s">
        <v>140</v>
      </c>
      <c r="B97" s="45">
        <v>2021000000</v>
      </c>
      <c r="C97" s="33">
        <v>0</v>
      </c>
      <c r="D97" s="33">
        <v>2018000000</v>
      </c>
      <c r="E97" s="33">
        <v>35000000</v>
      </c>
      <c r="F97" s="29">
        <v>254900000</v>
      </c>
    </row>
    <row r="98" spans="1:6" x14ac:dyDescent="0.3">
      <c r="A98" s="22" t="s">
        <v>141</v>
      </c>
      <c r="B98" s="45"/>
      <c r="C98" s="33"/>
      <c r="D98" s="33"/>
      <c r="E98" s="33"/>
      <c r="F98" s="29"/>
    </row>
    <row r="99" spans="1:6" x14ac:dyDescent="0.3">
      <c r="A99" s="22" t="s">
        <v>142</v>
      </c>
      <c r="B99" s="45"/>
      <c r="C99" s="33"/>
      <c r="D99" s="33"/>
      <c r="E99" s="33"/>
      <c r="F99" s="29"/>
    </row>
    <row r="100" spans="1:6" x14ac:dyDescent="0.3">
      <c r="A100" s="22" t="s">
        <v>143</v>
      </c>
      <c r="B100" s="45"/>
      <c r="C100" s="33"/>
      <c r="D100" s="33"/>
      <c r="E100" s="33"/>
      <c r="F100" s="29"/>
    </row>
    <row r="101" spans="1:6" x14ac:dyDescent="0.3">
      <c r="A101" s="22" t="s">
        <v>144</v>
      </c>
      <c r="B101" s="45"/>
      <c r="C101" s="33"/>
      <c r="D101" s="33"/>
      <c r="E101" s="33"/>
      <c r="F101" s="29"/>
    </row>
    <row r="102" spans="1:6" x14ac:dyDescent="0.3">
      <c r="A102" s="22" t="s">
        <v>145</v>
      </c>
      <c r="B102" s="45"/>
      <c r="C102" s="33"/>
      <c r="D102" s="33"/>
      <c r="E102" s="33"/>
      <c r="F102" s="29">
        <v>1543000000</v>
      </c>
    </row>
    <row r="103" spans="1:6" x14ac:dyDescent="0.3">
      <c r="A103" s="22" t="s">
        <v>146</v>
      </c>
      <c r="B103" s="45"/>
      <c r="C103" s="33"/>
      <c r="D103" s="33"/>
      <c r="E103" s="33"/>
      <c r="F103" s="29"/>
    </row>
    <row r="104" spans="1:6" x14ac:dyDescent="0.3">
      <c r="A104" s="22" t="s">
        <v>147</v>
      </c>
      <c r="B104" s="45"/>
      <c r="C104" s="33"/>
      <c r="D104" s="33"/>
      <c r="E104" s="33"/>
      <c r="F104" s="29"/>
    </row>
    <row r="105" spans="1:6" x14ac:dyDescent="0.3">
      <c r="A105" s="22" t="s">
        <v>148</v>
      </c>
      <c r="B105" s="45"/>
      <c r="C105" s="33"/>
      <c r="D105" s="33"/>
      <c r="E105" s="33"/>
      <c r="F105" s="29"/>
    </row>
    <row r="106" spans="1:6" x14ac:dyDescent="0.3">
      <c r="A106" s="22" t="s">
        <v>149</v>
      </c>
      <c r="B106" s="45"/>
      <c r="C106" s="33"/>
      <c r="D106" s="33"/>
      <c r="E106" s="33"/>
      <c r="F106" s="29"/>
    </row>
    <row r="107" spans="1:6" x14ac:dyDescent="0.3">
      <c r="A107" s="22" t="s">
        <v>150</v>
      </c>
      <c r="B107" s="45"/>
      <c r="C107" s="33"/>
      <c r="D107" s="33"/>
      <c r="E107" s="33"/>
      <c r="F107" s="29"/>
    </row>
    <row r="108" spans="1:6" x14ac:dyDescent="0.3">
      <c r="A108" s="22" t="s">
        <v>151</v>
      </c>
      <c r="B108" s="45"/>
      <c r="C108" s="33"/>
      <c r="D108" s="33"/>
      <c r="E108" s="33"/>
      <c r="F108" s="29"/>
    </row>
    <row r="109" spans="1:6" x14ac:dyDescent="0.3">
      <c r="A109" s="22" t="s">
        <v>152</v>
      </c>
      <c r="B109" s="45"/>
      <c r="C109" s="33"/>
      <c r="D109" s="33"/>
      <c r="E109" s="33"/>
      <c r="F109" s="29"/>
    </row>
    <row r="110" spans="1:6" x14ac:dyDescent="0.3">
      <c r="A110" s="22" t="s">
        <v>153</v>
      </c>
      <c r="B110" s="45"/>
      <c r="C110" s="33"/>
      <c r="D110" s="33"/>
      <c r="E110" s="33"/>
      <c r="F110" s="29"/>
    </row>
    <row r="111" spans="1:6" x14ac:dyDescent="0.3">
      <c r="A111" s="22" t="s">
        <v>154</v>
      </c>
      <c r="B111" s="45">
        <v>680900000</v>
      </c>
      <c r="C111" s="33">
        <v>0</v>
      </c>
      <c r="D111" s="33">
        <v>680900000</v>
      </c>
      <c r="E111" s="33"/>
      <c r="F111" s="29"/>
    </row>
    <row r="112" spans="1:6" x14ac:dyDescent="0.3">
      <c r="A112" s="22" t="s">
        <v>155</v>
      </c>
      <c r="B112" s="45"/>
      <c r="C112" s="33"/>
      <c r="D112" s="33"/>
      <c r="E112" s="33"/>
      <c r="F112" s="29"/>
    </row>
    <row r="113" spans="1:6" x14ac:dyDescent="0.3">
      <c r="A113" s="22" t="s">
        <v>156</v>
      </c>
      <c r="B113" s="45">
        <v>13370000000</v>
      </c>
      <c r="C113" s="33">
        <v>4000000</v>
      </c>
      <c r="D113" s="33">
        <v>9587000000</v>
      </c>
      <c r="E113" s="33">
        <v>3231000000</v>
      </c>
      <c r="F113" s="29">
        <v>50450000000</v>
      </c>
    </row>
    <row r="114" spans="1:6" x14ac:dyDescent="0.3">
      <c r="A114" s="22" t="s">
        <v>157</v>
      </c>
      <c r="B114" s="45"/>
      <c r="C114" s="33"/>
      <c r="D114" s="33"/>
      <c r="E114" s="33"/>
      <c r="F114" s="29"/>
    </row>
    <row r="115" spans="1:6" x14ac:dyDescent="0.3">
      <c r="A115" s="22" t="s">
        <v>158</v>
      </c>
      <c r="B115" s="45">
        <v>22750000000</v>
      </c>
      <c r="C115" s="33">
        <v>0</v>
      </c>
      <c r="D115" s="33">
        <v>0</v>
      </c>
      <c r="E115" s="33">
        <v>22750000000</v>
      </c>
      <c r="F115" s="29">
        <v>542400000000</v>
      </c>
    </row>
    <row r="116" spans="1:6" x14ac:dyDescent="0.3">
      <c r="A116" s="22" t="s">
        <v>159</v>
      </c>
      <c r="B116" s="45">
        <v>55300000000</v>
      </c>
      <c r="C116" s="33">
        <v>39700000000</v>
      </c>
      <c r="D116" s="33">
        <v>0</v>
      </c>
      <c r="E116" s="33">
        <v>77600000000</v>
      </c>
      <c r="F116" s="29">
        <v>2549000000000</v>
      </c>
    </row>
    <row r="117" spans="1:6" x14ac:dyDescent="0.3">
      <c r="A117" s="22" t="s">
        <v>160</v>
      </c>
      <c r="B117" s="45">
        <v>72400000000</v>
      </c>
      <c r="C117" s="33">
        <v>3400000000</v>
      </c>
      <c r="D117" s="33">
        <v>4920000000</v>
      </c>
      <c r="E117" s="33">
        <v>79000000000</v>
      </c>
      <c r="F117" s="29">
        <v>26700000000000</v>
      </c>
    </row>
    <row r="118" spans="1:6" x14ac:dyDescent="0.3">
      <c r="A118" s="22" t="s">
        <v>161</v>
      </c>
      <c r="B118" s="45">
        <v>2350000000</v>
      </c>
      <c r="C118" s="33">
        <v>0</v>
      </c>
      <c r="D118" s="33">
        <v>0</v>
      </c>
      <c r="E118" s="33">
        <v>2350000000</v>
      </c>
      <c r="F118" s="29">
        <v>3149000000000</v>
      </c>
    </row>
    <row r="119" spans="1:6" x14ac:dyDescent="0.3">
      <c r="A119" s="22" t="s">
        <v>162</v>
      </c>
      <c r="B119" s="45">
        <v>4199000000</v>
      </c>
      <c r="C119" s="33">
        <v>0</v>
      </c>
      <c r="D119" s="33">
        <v>3384000000</v>
      </c>
      <c r="E119" s="33">
        <v>815000000</v>
      </c>
      <c r="F119" s="29">
        <v>9911000000</v>
      </c>
    </row>
    <row r="120" spans="1:6" x14ac:dyDescent="0.3">
      <c r="A120" s="22" t="s">
        <v>163</v>
      </c>
      <c r="B120" s="45">
        <v>10000000</v>
      </c>
      <c r="C120" s="33">
        <v>0</v>
      </c>
      <c r="D120" s="33">
        <v>0</v>
      </c>
      <c r="E120" s="33">
        <v>10000000</v>
      </c>
      <c r="F120" s="29">
        <v>20810000000</v>
      </c>
    </row>
    <row r="121" spans="1:6" x14ac:dyDescent="0.3">
      <c r="A121" s="22" t="s">
        <v>164</v>
      </c>
      <c r="B121" s="45">
        <v>71180000000</v>
      </c>
      <c r="C121" s="33">
        <v>61000000</v>
      </c>
      <c r="D121" s="33">
        <v>54780000000</v>
      </c>
      <c r="E121" s="33">
        <v>15490000000</v>
      </c>
      <c r="F121" s="29">
        <v>209700000000</v>
      </c>
    </row>
    <row r="122" spans="1:6" x14ac:dyDescent="0.3">
      <c r="A122" s="22" t="s">
        <v>165</v>
      </c>
      <c r="B122" s="45"/>
      <c r="C122" s="33"/>
      <c r="D122" s="33"/>
      <c r="E122" s="33"/>
      <c r="F122" s="29"/>
    </row>
    <row r="123" spans="1:6" x14ac:dyDescent="0.3">
      <c r="A123" s="22" t="s">
        <v>166</v>
      </c>
      <c r="B123" s="45"/>
      <c r="C123" s="33"/>
      <c r="D123" s="33"/>
      <c r="E123" s="33"/>
      <c r="F123" s="29"/>
    </row>
    <row r="124" spans="1:6" x14ac:dyDescent="0.3">
      <c r="A124" s="22" t="s">
        <v>167</v>
      </c>
      <c r="B124" s="45">
        <v>80420000000</v>
      </c>
      <c r="C124" s="33">
        <v>0</v>
      </c>
      <c r="D124" s="33">
        <v>77730000000</v>
      </c>
      <c r="E124" s="33">
        <v>2519000000</v>
      </c>
      <c r="F124" s="29">
        <v>20020000000</v>
      </c>
    </row>
    <row r="125" spans="1:6" x14ac:dyDescent="0.3">
      <c r="A125" s="22" t="s">
        <v>168</v>
      </c>
      <c r="B125" s="45"/>
      <c r="C125" s="33"/>
      <c r="D125" s="33"/>
      <c r="E125" s="33"/>
      <c r="F125" s="29"/>
    </row>
    <row r="126" spans="1:6" x14ac:dyDescent="0.3">
      <c r="A126" s="22" t="s">
        <v>169</v>
      </c>
      <c r="B126" s="45"/>
      <c r="C126" s="33"/>
      <c r="D126" s="33"/>
      <c r="E126" s="33"/>
      <c r="F126" s="29"/>
    </row>
    <row r="127" spans="1:6" x14ac:dyDescent="0.3">
      <c r="A127" s="22" t="s">
        <v>170</v>
      </c>
      <c r="B127" s="45"/>
      <c r="C127" s="33"/>
      <c r="D127" s="33"/>
      <c r="E127" s="33"/>
      <c r="F127" s="29"/>
    </row>
    <row r="128" spans="1:6" x14ac:dyDescent="0.3">
      <c r="A128" s="22" t="s">
        <v>171</v>
      </c>
      <c r="B128" s="45">
        <v>290000000</v>
      </c>
      <c r="C128" s="33">
        <v>0</v>
      </c>
      <c r="D128" s="33">
        <v>0</v>
      </c>
      <c r="E128" s="33">
        <v>290000000</v>
      </c>
      <c r="F128" s="29">
        <v>3256000000</v>
      </c>
    </row>
    <row r="129" spans="1:6" x14ac:dyDescent="0.3">
      <c r="A129" s="22" t="s">
        <v>172</v>
      </c>
      <c r="B129" s="45"/>
      <c r="C129" s="33"/>
      <c r="D129" s="33"/>
      <c r="E129" s="33"/>
      <c r="F129" s="29"/>
    </row>
    <row r="130" spans="1:6" x14ac:dyDescent="0.3">
      <c r="A130" s="22" t="s">
        <v>173</v>
      </c>
      <c r="B130" s="45">
        <v>14300000000</v>
      </c>
      <c r="C130" s="33">
        <v>11010000000</v>
      </c>
      <c r="D130" s="33">
        <v>8696000000</v>
      </c>
      <c r="E130" s="33">
        <v>11600000000</v>
      </c>
      <c r="F130" s="29">
        <v>1800000000000</v>
      </c>
    </row>
    <row r="131" spans="1:6" x14ac:dyDescent="0.3">
      <c r="A131" s="22" t="s">
        <v>174</v>
      </c>
      <c r="B131" s="45"/>
      <c r="C131" s="33"/>
      <c r="D131" s="33"/>
      <c r="E131" s="33"/>
      <c r="F131" s="29"/>
    </row>
    <row r="132" spans="1:6" x14ac:dyDescent="0.3">
      <c r="A132" s="22" t="s">
        <v>175</v>
      </c>
      <c r="B132" s="45"/>
      <c r="C132" s="33"/>
      <c r="D132" s="33"/>
      <c r="E132" s="33"/>
      <c r="F132" s="29"/>
    </row>
    <row r="133" spans="1:6" x14ac:dyDescent="0.3">
      <c r="A133" s="22" t="s">
        <v>176</v>
      </c>
      <c r="B133" s="45"/>
      <c r="C133" s="33"/>
      <c r="D133" s="33"/>
      <c r="E133" s="33"/>
      <c r="F133" s="29"/>
    </row>
    <row r="134" spans="1:6" x14ac:dyDescent="0.3">
      <c r="A134" s="22" t="s">
        <v>177</v>
      </c>
      <c r="B134" s="45"/>
      <c r="C134" s="33"/>
      <c r="D134" s="33"/>
      <c r="E134" s="33"/>
      <c r="F134" s="29"/>
    </row>
    <row r="135" spans="1:6" x14ac:dyDescent="0.3">
      <c r="A135" s="22" t="s">
        <v>178</v>
      </c>
      <c r="B135" s="45">
        <v>20920000000</v>
      </c>
      <c r="C135" s="33">
        <v>0</v>
      </c>
      <c r="D135" s="33">
        <v>21110000000</v>
      </c>
      <c r="E135" s="33">
        <v>0</v>
      </c>
      <c r="F135" s="29"/>
    </row>
    <row r="136" spans="1:6" x14ac:dyDescent="0.3">
      <c r="A136" s="22" t="s">
        <v>179</v>
      </c>
      <c r="B136" s="45">
        <v>8700000000</v>
      </c>
      <c r="C136" s="33">
        <v>0</v>
      </c>
      <c r="D136" s="33">
        <v>0</v>
      </c>
      <c r="E136" s="33">
        <v>8700000000</v>
      </c>
      <c r="F136" s="29">
        <v>1548000000000</v>
      </c>
    </row>
    <row r="137" spans="1:6" x14ac:dyDescent="0.3">
      <c r="A137" s="22" t="s">
        <v>180</v>
      </c>
      <c r="B137" s="45">
        <v>2016000000</v>
      </c>
      <c r="C137" s="33">
        <v>0</v>
      </c>
      <c r="D137" s="33">
        <v>2000000000</v>
      </c>
      <c r="E137" s="33">
        <v>16000000</v>
      </c>
      <c r="F137" s="29"/>
    </row>
    <row r="138" spans="1:6" x14ac:dyDescent="0.3">
      <c r="A138" s="22" t="s">
        <v>181</v>
      </c>
      <c r="B138" s="45"/>
      <c r="C138" s="33"/>
      <c r="D138" s="33"/>
      <c r="E138" s="33"/>
      <c r="F138" s="29"/>
    </row>
    <row r="139" spans="1:6" x14ac:dyDescent="0.3">
      <c r="A139" s="22" t="s">
        <v>182</v>
      </c>
      <c r="B139" s="45">
        <v>1700000000</v>
      </c>
      <c r="C139" s="33">
        <v>0</v>
      </c>
      <c r="D139" s="33">
        <v>1700000000</v>
      </c>
      <c r="E139" s="33">
        <v>0</v>
      </c>
      <c r="F139" s="29"/>
    </row>
    <row r="140" spans="1:6" x14ac:dyDescent="0.3">
      <c r="A140" s="22" t="s">
        <v>183</v>
      </c>
      <c r="B140" s="45"/>
      <c r="C140" s="33"/>
      <c r="D140" s="33"/>
      <c r="E140" s="33"/>
      <c r="F140" s="29"/>
    </row>
    <row r="141" spans="1:6" x14ac:dyDescent="0.3">
      <c r="A141" s="22" t="s">
        <v>184</v>
      </c>
      <c r="B141" s="45"/>
      <c r="C141" s="33"/>
      <c r="D141" s="33"/>
      <c r="E141" s="33"/>
      <c r="F141" s="29"/>
    </row>
    <row r="142" spans="1:6" x14ac:dyDescent="0.3">
      <c r="A142" s="22" t="s">
        <v>185</v>
      </c>
      <c r="B142" s="45"/>
      <c r="C142" s="33"/>
      <c r="D142" s="33"/>
      <c r="E142" s="33"/>
      <c r="F142" s="29"/>
    </row>
    <row r="143" spans="1:6" x14ac:dyDescent="0.3">
      <c r="A143" s="22" t="s">
        <v>186</v>
      </c>
      <c r="B143" s="45">
        <v>5410000000</v>
      </c>
      <c r="C143" s="33">
        <v>770000000</v>
      </c>
      <c r="D143" s="33">
        <v>0</v>
      </c>
      <c r="E143" s="33">
        <v>6180000000</v>
      </c>
      <c r="F143" s="29">
        <v>1321000000000</v>
      </c>
    </row>
    <row r="144" spans="1:6" x14ac:dyDescent="0.3">
      <c r="A144" s="22" t="s">
        <v>187</v>
      </c>
      <c r="B144" s="45"/>
      <c r="C144" s="33"/>
      <c r="D144" s="33"/>
      <c r="E144" s="33"/>
      <c r="F144" s="29"/>
    </row>
    <row r="145" spans="1:6" x14ac:dyDescent="0.3">
      <c r="A145" s="22" t="s">
        <v>188</v>
      </c>
      <c r="B145" s="45">
        <v>2760000000</v>
      </c>
      <c r="C145" s="33">
        <v>0</v>
      </c>
      <c r="D145" s="33">
        <v>2760000000</v>
      </c>
      <c r="E145" s="33">
        <v>0</v>
      </c>
      <c r="F145" s="29"/>
    </row>
    <row r="146" spans="1:6" x14ac:dyDescent="0.3">
      <c r="A146" s="22" t="s">
        <v>189</v>
      </c>
      <c r="B146" s="45">
        <v>865000000</v>
      </c>
      <c r="C146" s="33">
        <v>0</v>
      </c>
      <c r="D146" s="33">
        <v>867000000</v>
      </c>
      <c r="E146" s="33">
        <v>0</v>
      </c>
      <c r="F146" s="29"/>
    </row>
    <row r="147" spans="1:6" x14ac:dyDescent="0.3">
      <c r="A147" s="22" t="s">
        <v>190</v>
      </c>
      <c r="B147" s="45"/>
      <c r="C147" s="33"/>
      <c r="D147" s="33"/>
      <c r="E147" s="33"/>
      <c r="F147" s="29"/>
    </row>
    <row r="148" spans="1:6" x14ac:dyDescent="0.3">
      <c r="A148" s="22" t="s">
        <v>191</v>
      </c>
      <c r="B148" s="45"/>
      <c r="C148" s="33"/>
      <c r="D148" s="33"/>
      <c r="E148" s="33"/>
      <c r="F148" s="29"/>
    </row>
    <row r="149" spans="1:6" x14ac:dyDescent="0.3">
      <c r="A149" s="22" t="s">
        <v>192</v>
      </c>
      <c r="B149" s="45"/>
      <c r="C149" s="33"/>
      <c r="D149" s="33"/>
      <c r="E149" s="33"/>
      <c r="F149" s="29">
        <v>0</v>
      </c>
    </row>
    <row r="150" spans="1:6" x14ac:dyDescent="0.3">
      <c r="A150" s="22" t="s">
        <v>193</v>
      </c>
      <c r="B150" s="45"/>
      <c r="C150" s="33"/>
      <c r="D150" s="33"/>
      <c r="E150" s="33"/>
      <c r="F150" s="29"/>
    </row>
    <row r="151" spans="1:6" x14ac:dyDescent="0.3">
      <c r="A151" s="22" t="s">
        <v>194</v>
      </c>
      <c r="B151" s="45">
        <v>31250000000</v>
      </c>
      <c r="C151" s="33">
        <v>22410000000</v>
      </c>
      <c r="D151" s="33">
        <v>0</v>
      </c>
      <c r="E151" s="33">
        <v>53660000000</v>
      </c>
      <c r="F151" s="29">
        <v>2230000000000</v>
      </c>
    </row>
    <row r="152" spans="1:6" x14ac:dyDescent="0.3">
      <c r="A152" s="22" t="s">
        <v>195</v>
      </c>
      <c r="B152" s="45"/>
      <c r="C152" s="33"/>
      <c r="D152" s="33"/>
      <c r="E152" s="33"/>
      <c r="F152" s="29"/>
    </row>
    <row r="153" spans="1:6" x14ac:dyDescent="0.3">
      <c r="A153" s="22" t="s">
        <v>196</v>
      </c>
      <c r="B153" s="45"/>
      <c r="C153" s="33"/>
      <c r="D153" s="33"/>
      <c r="E153" s="33"/>
      <c r="F153" s="29"/>
    </row>
    <row r="154" spans="1:6" x14ac:dyDescent="0.3">
      <c r="A154" s="22" t="s">
        <v>197</v>
      </c>
      <c r="B154" s="45"/>
      <c r="C154" s="33"/>
      <c r="D154" s="33"/>
      <c r="E154" s="33"/>
      <c r="F154" s="29"/>
    </row>
    <row r="155" spans="1:6" x14ac:dyDescent="0.3">
      <c r="A155" s="22" t="s">
        <v>198</v>
      </c>
      <c r="B155" s="45"/>
      <c r="C155" s="33"/>
      <c r="D155" s="33"/>
      <c r="E155" s="33"/>
      <c r="F155" s="29"/>
    </row>
    <row r="156" spans="1:6" x14ac:dyDescent="0.3">
      <c r="A156" s="22" t="s">
        <v>199</v>
      </c>
      <c r="B156" s="45"/>
      <c r="C156" s="33"/>
      <c r="D156" s="33"/>
      <c r="E156" s="33"/>
      <c r="F156" s="29"/>
    </row>
    <row r="157" spans="1:6" x14ac:dyDescent="0.3">
      <c r="A157" s="22" t="s">
        <v>200</v>
      </c>
      <c r="B157" s="45"/>
      <c r="C157" s="33"/>
      <c r="D157" s="33"/>
      <c r="E157" s="33"/>
      <c r="F157" s="29"/>
    </row>
    <row r="158" spans="1:6" x14ac:dyDescent="0.3">
      <c r="A158" s="22" t="s">
        <v>201</v>
      </c>
      <c r="B158" s="45"/>
      <c r="C158" s="33"/>
      <c r="D158" s="33"/>
      <c r="E158" s="33"/>
      <c r="F158" s="29"/>
    </row>
    <row r="159" spans="1:6" x14ac:dyDescent="0.3">
      <c r="A159" s="22" t="s">
        <v>202</v>
      </c>
      <c r="B159" s="45"/>
      <c r="C159" s="33"/>
      <c r="D159" s="33"/>
      <c r="E159" s="33"/>
      <c r="F159" s="29"/>
    </row>
    <row r="160" spans="1:6" x14ac:dyDescent="0.3">
      <c r="A160" s="22" t="s">
        <v>203</v>
      </c>
      <c r="B160" s="45"/>
      <c r="C160" s="33"/>
      <c r="D160" s="33"/>
      <c r="E160" s="33"/>
      <c r="F160" s="29"/>
    </row>
    <row r="161" spans="1:6" x14ac:dyDescent="0.3">
      <c r="A161" s="22" t="s">
        <v>204</v>
      </c>
      <c r="B161" s="45">
        <v>55100000000</v>
      </c>
      <c r="C161" s="33">
        <v>0</v>
      </c>
      <c r="D161" s="33">
        <v>7850000000</v>
      </c>
      <c r="E161" s="33">
        <v>47300000000</v>
      </c>
      <c r="F161" s="29">
        <v>420000000000</v>
      </c>
    </row>
    <row r="162" spans="1:6" x14ac:dyDescent="0.3">
      <c r="A162" s="22" t="s">
        <v>205</v>
      </c>
      <c r="B162" s="45"/>
      <c r="C162" s="33"/>
      <c r="D162" s="33"/>
      <c r="E162" s="33"/>
      <c r="F162" s="29"/>
    </row>
    <row r="163" spans="1:6" x14ac:dyDescent="0.3">
      <c r="A163" s="22" t="s">
        <v>206</v>
      </c>
      <c r="B163" s="45"/>
      <c r="C163" s="33"/>
      <c r="D163" s="33"/>
      <c r="E163" s="33"/>
      <c r="F163" s="29"/>
    </row>
    <row r="164" spans="1:6" x14ac:dyDescent="0.3">
      <c r="A164" s="22" t="s">
        <v>207</v>
      </c>
      <c r="B164" s="45">
        <v>2050000000</v>
      </c>
      <c r="C164" s="33">
        <v>0</v>
      </c>
      <c r="D164" s="33">
        <v>2050000000</v>
      </c>
      <c r="E164" s="33">
        <v>0</v>
      </c>
      <c r="F164" s="29"/>
    </row>
    <row r="165" spans="1:6" x14ac:dyDescent="0.3">
      <c r="A165" s="22" t="s">
        <v>208</v>
      </c>
      <c r="B165" s="45"/>
      <c r="C165" s="33"/>
      <c r="D165" s="33"/>
      <c r="E165" s="33"/>
      <c r="F165" s="29"/>
    </row>
    <row r="166" spans="1:6" x14ac:dyDescent="0.3">
      <c r="A166" s="22" t="s">
        <v>209</v>
      </c>
      <c r="B166" s="45"/>
      <c r="C166" s="33"/>
      <c r="D166" s="33"/>
      <c r="E166" s="33"/>
      <c r="F166" s="29"/>
    </row>
    <row r="167" spans="1:6" x14ac:dyDescent="0.3">
      <c r="A167" s="22" t="s">
        <v>210</v>
      </c>
      <c r="B167" s="45"/>
      <c r="C167" s="33"/>
      <c r="D167" s="33"/>
      <c r="E167" s="33"/>
      <c r="F167" s="29"/>
    </row>
    <row r="168" spans="1:6" x14ac:dyDescent="0.3">
      <c r="A168" s="22" t="s">
        <v>211</v>
      </c>
      <c r="B168" s="45">
        <v>50000000</v>
      </c>
      <c r="C168" s="33">
        <v>0</v>
      </c>
      <c r="D168" s="33">
        <v>0</v>
      </c>
      <c r="E168" s="33">
        <v>50000000</v>
      </c>
      <c r="F168" s="29">
        <v>665400000</v>
      </c>
    </row>
    <row r="169" spans="1:6" x14ac:dyDescent="0.3">
      <c r="A169" s="22" t="s">
        <v>212</v>
      </c>
      <c r="B169" s="45">
        <v>60000000</v>
      </c>
      <c r="C169" s="33">
        <v>0</v>
      </c>
      <c r="D169" s="33">
        <v>0</v>
      </c>
      <c r="E169" s="33">
        <v>60000000</v>
      </c>
      <c r="F169" s="29">
        <v>63710000000</v>
      </c>
    </row>
    <row r="170" spans="1:6" x14ac:dyDescent="0.3">
      <c r="A170" s="22" t="s">
        <v>213</v>
      </c>
      <c r="B170" s="45"/>
      <c r="C170" s="33"/>
      <c r="D170" s="33"/>
      <c r="E170" s="33"/>
      <c r="F170" s="29">
        <v>31150000000</v>
      </c>
    </row>
    <row r="171" spans="1:6" x14ac:dyDescent="0.3">
      <c r="A171" s="22" t="s">
        <v>214</v>
      </c>
      <c r="B171" s="45"/>
      <c r="C171" s="33"/>
      <c r="D171" s="33"/>
      <c r="E171" s="33"/>
      <c r="F171" s="29"/>
    </row>
    <row r="172" spans="1:6" x14ac:dyDescent="0.3">
      <c r="A172" s="22" t="s">
        <v>215</v>
      </c>
      <c r="B172" s="45"/>
      <c r="C172" s="33"/>
      <c r="D172" s="33"/>
      <c r="E172" s="33"/>
      <c r="F172" s="29"/>
    </row>
    <row r="173" spans="1:6" x14ac:dyDescent="0.3">
      <c r="A173" s="22" t="s">
        <v>216</v>
      </c>
      <c r="B173" s="45"/>
      <c r="C173" s="33"/>
      <c r="D173" s="33"/>
      <c r="E173" s="33"/>
      <c r="F173" s="29"/>
    </row>
    <row r="174" spans="1:6" x14ac:dyDescent="0.3">
      <c r="A174" s="22" t="s">
        <v>217</v>
      </c>
      <c r="B174" s="45">
        <v>49720000000</v>
      </c>
      <c r="C174" s="33">
        <v>49280000000</v>
      </c>
      <c r="D174" s="33">
        <v>20780000000</v>
      </c>
      <c r="E174" s="33">
        <v>77750000000</v>
      </c>
      <c r="F174" s="29">
        <v>1693000000000</v>
      </c>
    </row>
    <row r="175" spans="1:6" x14ac:dyDescent="0.3">
      <c r="A175" s="22" t="s">
        <v>218</v>
      </c>
      <c r="B175" s="45"/>
      <c r="C175" s="33"/>
      <c r="D175" s="33"/>
      <c r="E175" s="33"/>
      <c r="F175" s="29"/>
    </row>
    <row r="176" spans="1:6" x14ac:dyDescent="0.3">
      <c r="A176" s="22" t="s">
        <v>219</v>
      </c>
      <c r="B176" s="45"/>
      <c r="C176" s="33"/>
      <c r="D176" s="33"/>
      <c r="E176" s="33"/>
      <c r="F176" s="29"/>
    </row>
    <row r="177" spans="1:6" x14ac:dyDescent="0.3">
      <c r="A177" s="22" t="s">
        <v>220</v>
      </c>
      <c r="B177" s="45">
        <v>6504000000</v>
      </c>
      <c r="C177" s="33">
        <v>0</v>
      </c>
      <c r="D177" s="33">
        <v>0</v>
      </c>
      <c r="E177" s="33">
        <v>6504000000</v>
      </c>
      <c r="F177" s="29">
        <v>58940000000</v>
      </c>
    </row>
    <row r="178" spans="1:6" x14ac:dyDescent="0.3">
      <c r="A178" s="22" t="s">
        <v>221</v>
      </c>
      <c r="B178" s="45"/>
      <c r="C178" s="33"/>
      <c r="D178" s="33"/>
      <c r="E178" s="33"/>
      <c r="F178" s="29"/>
    </row>
    <row r="179" spans="1:6" x14ac:dyDescent="0.3">
      <c r="A179" s="22" t="s">
        <v>222</v>
      </c>
      <c r="B179" s="45"/>
      <c r="C179" s="33"/>
      <c r="D179" s="33"/>
      <c r="E179" s="33"/>
      <c r="F179" s="29"/>
    </row>
    <row r="180" spans="1:6" x14ac:dyDescent="0.3">
      <c r="A180" s="22" t="s">
        <v>223</v>
      </c>
      <c r="B180" s="45">
        <v>7850000000</v>
      </c>
      <c r="C180" s="33">
        <v>7830000000</v>
      </c>
      <c r="D180" s="33">
        <v>0</v>
      </c>
      <c r="E180" s="33">
        <v>15680000000</v>
      </c>
      <c r="F180" s="29">
        <v>4007000000000</v>
      </c>
    </row>
    <row r="181" spans="1:6" x14ac:dyDescent="0.3">
      <c r="A181" s="22" t="s">
        <v>224</v>
      </c>
      <c r="B181" s="45"/>
      <c r="C181" s="33"/>
      <c r="D181" s="33"/>
      <c r="E181" s="33"/>
      <c r="F181" s="29"/>
    </row>
    <row r="182" spans="1:6" x14ac:dyDescent="0.3">
      <c r="A182" s="22" t="s">
        <v>225</v>
      </c>
      <c r="B182" s="45"/>
      <c r="C182" s="33"/>
      <c r="D182" s="33"/>
      <c r="E182" s="33"/>
      <c r="F182" s="29"/>
    </row>
    <row r="183" spans="1:6" x14ac:dyDescent="0.3">
      <c r="A183" s="22" t="s">
        <v>226</v>
      </c>
      <c r="B183" s="45"/>
      <c r="C183" s="33"/>
      <c r="D183" s="33"/>
      <c r="E183" s="33"/>
      <c r="F183" s="29"/>
    </row>
    <row r="184" spans="1:6" x14ac:dyDescent="0.3">
      <c r="A184" s="22" t="s">
        <v>227</v>
      </c>
      <c r="B184" s="45">
        <v>4100000000</v>
      </c>
      <c r="C184" s="33">
        <v>50500000000</v>
      </c>
      <c r="D184" s="33">
        <v>0</v>
      </c>
      <c r="E184" s="33">
        <v>54600000000</v>
      </c>
      <c r="F184" s="29">
        <v>1716000000000</v>
      </c>
    </row>
    <row r="185" spans="1:6" x14ac:dyDescent="0.3">
      <c r="A185" s="22" t="s">
        <v>228</v>
      </c>
      <c r="B185" s="45">
        <v>6340000000</v>
      </c>
      <c r="C185" s="33">
        <v>7430000000</v>
      </c>
      <c r="D185" s="33">
        <v>0</v>
      </c>
      <c r="E185" s="33">
        <v>13770000000</v>
      </c>
      <c r="F185" s="29">
        <v>829700000000</v>
      </c>
    </row>
    <row r="186" spans="1:6" x14ac:dyDescent="0.3">
      <c r="A186" s="22" t="s">
        <v>229</v>
      </c>
      <c r="B186" s="45">
        <v>23400000000</v>
      </c>
      <c r="C186" s="33">
        <v>0</v>
      </c>
      <c r="D186" s="33">
        <v>0</v>
      </c>
      <c r="E186" s="33">
        <v>23400000000</v>
      </c>
      <c r="F186" s="29">
        <v>695600000000</v>
      </c>
    </row>
    <row r="187" spans="1:6" x14ac:dyDescent="0.3">
      <c r="A187" s="22" t="s">
        <v>230</v>
      </c>
      <c r="B187" s="45"/>
      <c r="C187" s="33"/>
      <c r="D187" s="33"/>
      <c r="E187" s="33"/>
      <c r="F187" s="29"/>
    </row>
    <row r="188" spans="1:6" x14ac:dyDescent="0.3">
      <c r="A188" s="22" t="s">
        <v>231</v>
      </c>
      <c r="B188" s="45"/>
      <c r="C188" s="33"/>
      <c r="D188" s="33"/>
      <c r="E188" s="33"/>
      <c r="F188" s="29"/>
    </row>
    <row r="189" spans="1:6" x14ac:dyDescent="0.3">
      <c r="A189" s="22" t="s">
        <v>232</v>
      </c>
      <c r="B189" s="45"/>
      <c r="C189" s="33"/>
      <c r="D189" s="33"/>
      <c r="E189" s="33"/>
      <c r="F189" s="29"/>
    </row>
    <row r="190" spans="1:6" x14ac:dyDescent="0.3">
      <c r="A190" s="22" t="s">
        <v>233</v>
      </c>
      <c r="B190" s="45">
        <v>110000000</v>
      </c>
      <c r="C190" s="33">
        <v>0</v>
      </c>
      <c r="D190" s="33">
        <v>0</v>
      </c>
      <c r="E190" s="33">
        <v>110000000</v>
      </c>
      <c r="F190" s="29">
        <v>385500000000</v>
      </c>
    </row>
    <row r="191" spans="1:6" x14ac:dyDescent="0.3">
      <c r="A191" s="22" t="s">
        <v>234</v>
      </c>
      <c r="B191" s="45"/>
      <c r="C191" s="33"/>
      <c r="D191" s="33"/>
      <c r="E191" s="33"/>
      <c r="F191" s="29"/>
    </row>
    <row r="192" spans="1:6" x14ac:dyDescent="0.3">
      <c r="A192" s="22" t="s">
        <v>235</v>
      </c>
      <c r="B192" s="45">
        <v>910000000</v>
      </c>
      <c r="C192" s="33">
        <v>0</v>
      </c>
      <c r="D192" s="33">
        <v>0</v>
      </c>
      <c r="E192" s="33">
        <v>910000000</v>
      </c>
      <c r="F192" s="29">
        <v>245100000000</v>
      </c>
    </row>
    <row r="193" spans="1:6" x14ac:dyDescent="0.3">
      <c r="A193" s="22" t="s">
        <v>236</v>
      </c>
      <c r="B193" s="45">
        <v>25000000</v>
      </c>
      <c r="C193" s="33">
        <v>0</v>
      </c>
      <c r="D193" s="33">
        <v>0</v>
      </c>
      <c r="E193" s="33">
        <v>2500000</v>
      </c>
      <c r="F193" s="29">
        <v>107600000000</v>
      </c>
    </row>
    <row r="194" spans="1:6" x14ac:dyDescent="0.3">
      <c r="A194" s="22" t="s">
        <v>237</v>
      </c>
      <c r="B194" s="45"/>
      <c r="C194" s="33"/>
      <c r="D194" s="33"/>
      <c r="E194" s="33"/>
      <c r="F194" s="29"/>
    </row>
    <row r="195" spans="1:6" x14ac:dyDescent="0.3">
      <c r="A195" s="22" t="s">
        <v>238</v>
      </c>
      <c r="B195" s="45">
        <v>13850000000</v>
      </c>
      <c r="C195" s="33">
        <v>41000000</v>
      </c>
      <c r="D195" s="33">
        <v>8782000000</v>
      </c>
      <c r="E195" s="33">
        <v>5471000000</v>
      </c>
      <c r="F195" s="29">
        <v>154400000000</v>
      </c>
    </row>
    <row r="196" spans="1:6" x14ac:dyDescent="0.3">
      <c r="A196" s="22" t="s">
        <v>239</v>
      </c>
      <c r="B196" s="45">
        <v>2542000000</v>
      </c>
      <c r="C196" s="33">
        <v>0</v>
      </c>
      <c r="D196" s="33">
        <v>2553000000</v>
      </c>
      <c r="E196" s="33">
        <v>0</v>
      </c>
      <c r="F196" s="29"/>
    </row>
    <row r="197" spans="1:6" x14ac:dyDescent="0.3">
      <c r="A197" s="22" t="s">
        <v>240</v>
      </c>
      <c r="B197" s="45">
        <v>630000000</v>
      </c>
      <c r="C197" s="33">
        <v>0</v>
      </c>
      <c r="D197" s="33">
        <v>630000000</v>
      </c>
      <c r="E197" s="33">
        <v>0</v>
      </c>
      <c r="F197" s="29"/>
    </row>
    <row r="198" spans="1:6" x14ac:dyDescent="0.3">
      <c r="A198" s="22" t="s">
        <v>241</v>
      </c>
      <c r="B198" s="45">
        <v>15860000000</v>
      </c>
      <c r="C198" s="33">
        <v>18200000000</v>
      </c>
      <c r="D198" s="33">
        <v>0</v>
      </c>
      <c r="E198" s="33">
        <v>32400000000</v>
      </c>
      <c r="F198" s="29">
        <v>14410000000000</v>
      </c>
    </row>
    <row r="199" spans="1:6" x14ac:dyDescent="0.3">
      <c r="A199" s="22" t="s">
        <v>242</v>
      </c>
      <c r="B199" s="45"/>
      <c r="C199" s="33"/>
      <c r="D199" s="33"/>
      <c r="E199" s="33"/>
      <c r="F199" s="29"/>
    </row>
    <row r="200" spans="1:6" x14ac:dyDescent="0.3">
      <c r="A200" s="22" t="s">
        <v>243</v>
      </c>
      <c r="B200" s="45">
        <v>18500000000</v>
      </c>
      <c r="C200" s="33">
        <v>0</v>
      </c>
      <c r="D200" s="33">
        <v>5400000000</v>
      </c>
      <c r="E200" s="33">
        <v>12600000000</v>
      </c>
      <c r="F200" s="29">
        <v>111100000000</v>
      </c>
    </row>
    <row r="201" spans="1:6" x14ac:dyDescent="0.3">
      <c r="A201" s="22" t="s">
        <v>244</v>
      </c>
      <c r="B201" s="45">
        <v>405800000000</v>
      </c>
      <c r="C201" s="33">
        <v>171000000000</v>
      </c>
      <c r="D201" s="33">
        <v>32700000000</v>
      </c>
      <c r="E201" s="33">
        <v>578600000000</v>
      </c>
      <c r="F201" s="29">
        <v>47000000000000</v>
      </c>
    </row>
    <row r="202" spans="1:6" x14ac:dyDescent="0.3">
      <c r="A202" s="22" t="s">
        <v>245</v>
      </c>
      <c r="B202" s="45"/>
      <c r="C202" s="33"/>
      <c r="D202" s="33"/>
      <c r="E202" s="33"/>
      <c r="F202" s="29">
        <v>28320000000</v>
      </c>
    </row>
    <row r="203" spans="1:6" x14ac:dyDescent="0.3">
      <c r="A203" s="22" t="s">
        <v>246</v>
      </c>
      <c r="B203" s="45"/>
      <c r="C203" s="33"/>
      <c r="D203" s="33"/>
      <c r="E203" s="33"/>
      <c r="F203" s="29"/>
    </row>
    <row r="204" spans="1:6" x14ac:dyDescent="0.3">
      <c r="A204" s="22" t="s">
        <v>247</v>
      </c>
      <c r="B204" s="45"/>
      <c r="C204" s="33"/>
      <c r="D204" s="33"/>
      <c r="E204" s="33"/>
      <c r="F204" s="29"/>
    </row>
    <row r="205" spans="1:6" x14ac:dyDescent="0.3">
      <c r="A205" s="22" t="s">
        <v>248</v>
      </c>
      <c r="B205" s="45"/>
      <c r="C205" s="33"/>
      <c r="D205" s="33"/>
      <c r="E205" s="33"/>
      <c r="F205" s="29"/>
    </row>
    <row r="206" spans="1:6" x14ac:dyDescent="0.3">
      <c r="A206" s="22" t="s">
        <v>249</v>
      </c>
      <c r="B206" s="45"/>
      <c r="C206" s="33"/>
      <c r="D206" s="33"/>
      <c r="E206" s="33"/>
      <c r="F206" s="29"/>
    </row>
    <row r="207" spans="1:6" x14ac:dyDescent="0.3">
      <c r="A207" s="22" t="s">
        <v>250</v>
      </c>
      <c r="B207" s="45"/>
      <c r="C207" s="33"/>
      <c r="D207" s="33"/>
      <c r="E207" s="33"/>
      <c r="F207" s="29"/>
    </row>
    <row r="208" spans="1:6" x14ac:dyDescent="0.3">
      <c r="A208" s="22" t="s">
        <v>251</v>
      </c>
      <c r="B208" s="45"/>
      <c r="C208" s="33"/>
      <c r="D208" s="33"/>
      <c r="E208" s="33"/>
      <c r="F208" s="29"/>
    </row>
    <row r="209" spans="1:6" x14ac:dyDescent="0.3">
      <c r="A209" s="22" t="s">
        <v>252</v>
      </c>
      <c r="B209" s="45"/>
      <c r="C209" s="33"/>
      <c r="D209" s="33"/>
      <c r="E209" s="33"/>
      <c r="F209" s="29"/>
    </row>
    <row r="210" spans="1:6" x14ac:dyDescent="0.3">
      <c r="A210" s="22" t="s">
        <v>253</v>
      </c>
      <c r="B210" s="45"/>
      <c r="C210" s="33"/>
      <c r="D210" s="33"/>
      <c r="E210" s="33"/>
      <c r="F210" s="29"/>
    </row>
    <row r="211" spans="1:6" x14ac:dyDescent="0.3">
      <c r="A211" s="22" t="s">
        <v>254</v>
      </c>
      <c r="B211" s="45">
        <v>56400000000</v>
      </c>
      <c r="C211" s="33">
        <v>0</v>
      </c>
      <c r="D211" s="33">
        <v>0</v>
      </c>
      <c r="E211" s="33">
        <v>56400000000</v>
      </c>
      <c r="F211" s="29">
        <v>6339000000000</v>
      </c>
    </row>
    <row r="212" spans="1:6" x14ac:dyDescent="0.3">
      <c r="A212" s="22" t="s">
        <v>255</v>
      </c>
      <c r="B212" s="45">
        <v>50000000</v>
      </c>
      <c r="C212" s="33">
        <v>0</v>
      </c>
      <c r="D212" s="33">
        <v>0</v>
      </c>
      <c r="E212" s="33">
        <v>50000000</v>
      </c>
      <c r="F212" s="29"/>
    </row>
    <row r="213" spans="1:6" x14ac:dyDescent="0.3">
      <c r="A213" s="22" t="s">
        <v>256</v>
      </c>
      <c r="B213" s="45">
        <v>602000000</v>
      </c>
      <c r="C213" s="33">
        <v>0</v>
      </c>
      <c r="D213" s="33">
        <v>0</v>
      </c>
      <c r="E213" s="33">
        <v>602000000</v>
      </c>
      <c r="F213" s="29">
        <v>24070000000</v>
      </c>
    </row>
    <row r="214" spans="1:6" x14ac:dyDescent="0.3">
      <c r="A214" s="22" t="s">
        <v>257</v>
      </c>
      <c r="B214" s="45"/>
      <c r="C214" s="33"/>
      <c r="D214" s="33"/>
      <c r="E214" s="33"/>
      <c r="F214" s="29"/>
    </row>
    <row r="215" spans="1:6" x14ac:dyDescent="0.3">
      <c r="A215" s="22" t="s">
        <v>258</v>
      </c>
      <c r="B215" s="45"/>
      <c r="C215" s="33"/>
      <c r="D215" s="33"/>
      <c r="E215" s="33"/>
      <c r="F215" s="29"/>
    </row>
    <row r="216" spans="1:6" x14ac:dyDescent="0.3">
      <c r="A216" s="22" t="s">
        <v>259</v>
      </c>
      <c r="B216" s="45">
        <v>2500000000</v>
      </c>
      <c r="C216" s="33">
        <v>0</v>
      </c>
      <c r="D216" s="33">
        <v>2500000000</v>
      </c>
      <c r="E216" s="33">
        <v>0</v>
      </c>
      <c r="F216" s="29"/>
    </row>
    <row r="217" spans="1:6" x14ac:dyDescent="0.3">
      <c r="A217" s="22" t="s">
        <v>260</v>
      </c>
      <c r="B217" s="45">
        <v>6800000000</v>
      </c>
      <c r="C217" s="33">
        <v>0</v>
      </c>
      <c r="D217" s="33">
        <v>6600000000</v>
      </c>
      <c r="E217" s="33">
        <v>190000000</v>
      </c>
      <c r="F217" s="29">
        <v>7504000000</v>
      </c>
    </row>
    <row r="218" spans="1:6" x14ac:dyDescent="0.3">
      <c r="A218" s="22" t="s">
        <v>261</v>
      </c>
      <c r="B218" s="45">
        <v>1040000000</v>
      </c>
      <c r="C218" s="33">
        <v>0</v>
      </c>
      <c r="D218" s="33">
        <v>1040000000</v>
      </c>
      <c r="E218" s="33">
        <v>0</v>
      </c>
      <c r="F218" s="29"/>
    </row>
    <row r="219" spans="1:6" x14ac:dyDescent="0.3">
      <c r="A219" s="22" t="s">
        <v>262</v>
      </c>
      <c r="B219" s="45"/>
      <c r="C219" s="33"/>
      <c r="D219" s="33"/>
      <c r="E219" s="33"/>
      <c r="F219" s="29"/>
    </row>
    <row r="220" spans="1:6" x14ac:dyDescent="0.3">
      <c r="A220" s="22" t="s">
        <v>263</v>
      </c>
      <c r="B220" s="45"/>
      <c r="C220" s="33"/>
      <c r="D220" s="33"/>
      <c r="E220" s="33"/>
      <c r="F220" s="29">
        <v>2832000000</v>
      </c>
    </row>
    <row r="221" spans="1:6" x14ac:dyDescent="0.3">
      <c r="A221" s="22" t="s">
        <v>264</v>
      </c>
      <c r="B221" s="45">
        <v>1800000000</v>
      </c>
      <c r="C221" s="33">
        <v>0</v>
      </c>
      <c r="D221" s="33">
        <v>0</v>
      </c>
      <c r="E221" s="33">
        <v>1800000000</v>
      </c>
      <c r="F221" s="29">
        <v>14160000000</v>
      </c>
    </row>
    <row r="222" spans="1:6" x14ac:dyDescent="0.3">
      <c r="A222" s="22" t="s">
        <v>265</v>
      </c>
      <c r="B222" s="45"/>
      <c r="C222" s="33"/>
      <c r="D222" s="33"/>
      <c r="E222" s="33"/>
      <c r="F222" s="29"/>
    </row>
    <row r="223" spans="1:6" x14ac:dyDescent="0.3">
      <c r="A223" s="22" t="s">
        <v>266</v>
      </c>
      <c r="B223" s="45">
        <v>17960000000</v>
      </c>
      <c r="C223" s="33">
        <v>0</v>
      </c>
      <c r="D223" s="33">
        <v>17260000000</v>
      </c>
      <c r="E223" s="33">
        <v>516000000</v>
      </c>
      <c r="F223" s="29">
        <v>254900000</v>
      </c>
    </row>
    <row r="224" spans="1:6" x14ac:dyDescent="0.3">
      <c r="A224" s="22" t="s">
        <v>267</v>
      </c>
      <c r="B224" s="45"/>
      <c r="C224" s="33"/>
      <c r="D224" s="33"/>
      <c r="E224" s="33"/>
      <c r="F224" s="29"/>
    </row>
    <row r="225" spans="1:6" x14ac:dyDescent="0.3">
      <c r="A225" s="22" t="s">
        <v>268</v>
      </c>
      <c r="B225" s="45"/>
      <c r="C225" s="33"/>
      <c r="D225" s="33"/>
      <c r="E225" s="33"/>
      <c r="F225" s="29"/>
    </row>
    <row r="226" spans="1:6" x14ac:dyDescent="0.3">
      <c r="A226" s="22" t="s">
        <v>269</v>
      </c>
      <c r="B226" s="45"/>
      <c r="C226" s="33"/>
      <c r="D226" s="33"/>
      <c r="E226" s="33"/>
      <c r="F226" s="29">
        <v>99110000000</v>
      </c>
    </row>
    <row r="227" spans="1:6" x14ac:dyDescent="0.3">
      <c r="A227" s="22" t="s">
        <v>270</v>
      </c>
      <c r="B227" s="45"/>
      <c r="C227" s="33"/>
      <c r="D227" s="33"/>
      <c r="E227" s="33"/>
      <c r="F227" s="29">
        <v>0</v>
      </c>
    </row>
    <row r="228" spans="1:6" x14ac:dyDescent="0.3">
      <c r="A228" s="22" t="s">
        <v>271</v>
      </c>
      <c r="B228" s="45"/>
      <c r="C228" s="33"/>
      <c r="D228" s="33"/>
      <c r="E228" s="33"/>
      <c r="F228" s="29"/>
    </row>
    <row r="229" spans="1:6" x14ac:dyDescent="0.3">
      <c r="A229" s="22" t="s">
        <v>272</v>
      </c>
      <c r="B229" s="45"/>
      <c r="C229" s="33"/>
      <c r="D229" s="33"/>
      <c r="E229" s="33"/>
      <c r="F229" s="29"/>
    </row>
    <row r="230" spans="1:6" x14ac:dyDescent="0.3">
      <c r="A230" s="22" t="s">
        <v>273</v>
      </c>
      <c r="B230" s="45">
        <v>949000000</v>
      </c>
      <c r="C230" s="33">
        <v>0</v>
      </c>
      <c r="D230" s="33">
        <v>968000000</v>
      </c>
      <c r="E230" s="33">
        <v>0</v>
      </c>
      <c r="F230" s="29"/>
    </row>
    <row r="231" spans="1:6" x14ac:dyDescent="0.3">
      <c r="A231" s="22" t="s">
        <v>274</v>
      </c>
      <c r="B231" s="45">
        <v>3093000000</v>
      </c>
      <c r="C231" s="33">
        <v>0</v>
      </c>
      <c r="D231" s="33">
        <v>3093000000</v>
      </c>
      <c r="E231" s="33">
        <v>0</v>
      </c>
      <c r="F231" s="29"/>
    </row>
    <row r="232" spans="1:6" x14ac:dyDescent="0.3">
      <c r="A232" s="22" t="s">
        <v>275</v>
      </c>
      <c r="B232" s="45">
        <v>5840000000</v>
      </c>
      <c r="C232" s="33">
        <v>0</v>
      </c>
      <c r="D232" s="33">
        <v>0</v>
      </c>
      <c r="E232" s="33">
        <v>5840000000</v>
      </c>
      <c r="F232" s="29">
        <v>240700000000</v>
      </c>
    </row>
    <row r="233" spans="1:6" x14ac:dyDescent="0.3">
      <c r="A233" s="22" t="s">
        <v>276</v>
      </c>
      <c r="B233" s="45">
        <v>6640000000</v>
      </c>
      <c r="C233" s="33">
        <v>410000000</v>
      </c>
      <c r="D233" s="33">
        <v>6300000000</v>
      </c>
      <c r="E233" s="33">
        <v>750000000</v>
      </c>
      <c r="F233" s="29">
        <v>38230000000</v>
      </c>
    </row>
    <row r="234" spans="1:6" x14ac:dyDescent="0.3">
      <c r="A234" s="22" t="s">
        <v>277</v>
      </c>
      <c r="B234" s="45">
        <v>1300000000</v>
      </c>
      <c r="C234" s="33">
        <v>0</v>
      </c>
      <c r="D234" s="33">
        <v>1250000000</v>
      </c>
      <c r="E234" s="33">
        <v>50000000</v>
      </c>
      <c r="F234" s="29"/>
    </row>
    <row r="235" spans="1:6" x14ac:dyDescent="0.3">
      <c r="A235" s="22" t="s">
        <v>278</v>
      </c>
      <c r="B235" s="45"/>
      <c r="C235" s="33"/>
      <c r="D235" s="33"/>
      <c r="E235" s="33"/>
      <c r="F235" s="29">
        <v>11330000000</v>
      </c>
    </row>
    <row r="236" spans="1:6" x14ac:dyDescent="0.3">
      <c r="A236" s="22" t="s">
        <v>279</v>
      </c>
      <c r="B236" s="45">
        <v>23930000000</v>
      </c>
      <c r="C236" s="33">
        <v>0</v>
      </c>
      <c r="D236" s="33">
        <v>5200000000</v>
      </c>
      <c r="E236" s="33">
        <v>18730000000</v>
      </c>
      <c r="F236" s="29">
        <v>368200000000</v>
      </c>
    </row>
    <row r="237" spans="1:6" x14ac:dyDescent="0.3">
      <c r="A237" s="22" t="s">
        <v>280</v>
      </c>
      <c r="B237" s="45"/>
      <c r="C237" s="33"/>
      <c r="D237" s="33"/>
      <c r="E237" s="33"/>
      <c r="F237" s="29"/>
    </row>
    <row r="238" spans="1:6" x14ac:dyDescent="0.3">
      <c r="A238" s="22" t="s">
        <v>281</v>
      </c>
      <c r="B238" s="45"/>
      <c r="C238" s="33"/>
      <c r="D238" s="33"/>
      <c r="E238" s="33"/>
      <c r="F238" s="29"/>
    </row>
    <row r="239" spans="1:6" x14ac:dyDescent="0.3">
      <c r="A239" s="22" t="s">
        <v>282</v>
      </c>
      <c r="B239" s="45"/>
      <c r="C239" s="33"/>
      <c r="D239" s="33"/>
      <c r="E239" s="33"/>
      <c r="F239" s="29"/>
    </row>
    <row r="240" spans="1:6" x14ac:dyDescent="0.3">
      <c r="A240" s="22" t="s">
        <v>283</v>
      </c>
      <c r="B240" s="45">
        <v>13760000000</v>
      </c>
      <c r="C240" s="33">
        <v>11790000000</v>
      </c>
      <c r="D240" s="33">
        <v>0</v>
      </c>
      <c r="E240" s="33">
        <v>25000000000</v>
      </c>
      <c r="F240" s="29">
        <v>589000000000</v>
      </c>
    </row>
    <row r="241" spans="1:6" x14ac:dyDescent="0.3">
      <c r="A241" s="22" t="s">
        <v>284</v>
      </c>
      <c r="B241" s="45"/>
      <c r="C241" s="33"/>
      <c r="D241" s="33"/>
      <c r="E241" s="33"/>
      <c r="F241" s="29"/>
    </row>
    <row r="242" spans="1:6" x14ac:dyDescent="0.3">
      <c r="A242" s="22" t="s">
        <v>285</v>
      </c>
      <c r="B242" s="45">
        <v>3830000000</v>
      </c>
      <c r="C242" s="33">
        <v>0</v>
      </c>
      <c r="D242" s="33">
        <v>1580000000</v>
      </c>
      <c r="E242" s="33">
        <v>2250000000</v>
      </c>
      <c r="F242" s="29">
        <v>77160000000</v>
      </c>
    </row>
    <row r="243" spans="1:6" x14ac:dyDescent="0.3">
      <c r="A243" s="22" t="s">
        <v>286</v>
      </c>
      <c r="B243" s="45">
        <v>15940000000</v>
      </c>
      <c r="C243" s="33">
        <v>0</v>
      </c>
      <c r="D243" s="33">
        <v>15750000000</v>
      </c>
      <c r="E243" s="33">
        <v>312000000</v>
      </c>
      <c r="F243" s="29">
        <v>8685000000</v>
      </c>
    </row>
    <row r="244" spans="1:6" x14ac:dyDescent="0.3">
      <c r="A244" s="22" t="s">
        <v>287</v>
      </c>
      <c r="B244" s="45">
        <v>9600000000</v>
      </c>
      <c r="C244" s="33">
        <v>43500000000</v>
      </c>
      <c r="D244" s="33">
        <v>0</v>
      </c>
      <c r="E244" s="33">
        <v>58570000000</v>
      </c>
      <c r="F244" s="29">
        <v>1430000000000</v>
      </c>
    </row>
    <row r="245" spans="1:6" x14ac:dyDescent="0.3">
      <c r="A245" s="22" t="s">
        <v>288</v>
      </c>
      <c r="B245" s="45"/>
      <c r="C245" s="33"/>
      <c r="D245" s="33"/>
      <c r="E245" s="33"/>
      <c r="F245" s="29"/>
    </row>
    <row r="246" spans="1:6" x14ac:dyDescent="0.3">
      <c r="A246" s="22" t="s">
        <v>289</v>
      </c>
      <c r="B246" s="45"/>
      <c r="C246" s="33"/>
      <c r="D246" s="33"/>
      <c r="E246" s="33"/>
      <c r="F246" s="29"/>
    </row>
    <row r="247" spans="1:6" x14ac:dyDescent="0.3">
      <c r="A247" s="22" t="s">
        <v>290</v>
      </c>
      <c r="B247" s="45"/>
      <c r="C247" s="33"/>
      <c r="D247" s="33"/>
      <c r="E247" s="33"/>
      <c r="F247" s="29"/>
    </row>
    <row r="248" spans="1:6" x14ac:dyDescent="0.3">
      <c r="A248" s="22" t="s">
        <v>291</v>
      </c>
      <c r="B248" s="45">
        <v>79860000000</v>
      </c>
      <c r="C248" s="33">
        <v>5800000000</v>
      </c>
      <c r="D248" s="33">
        <v>60400000000</v>
      </c>
      <c r="E248" s="33">
        <v>19600000000</v>
      </c>
      <c r="F248" s="29">
        <v>560700000000</v>
      </c>
    </row>
    <row r="249" spans="1:6" x14ac:dyDescent="0.3">
      <c r="A249" s="22" t="s">
        <v>292</v>
      </c>
      <c r="B249" s="45">
        <v>33700000000</v>
      </c>
      <c r="C249" s="33">
        <v>7190000000</v>
      </c>
      <c r="D249" s="33">
        <v>0</v>
      </c>
      <c r="E249" s="33">
        <v>44400000000</v>
      </c>
      <c r="F249" s="29">
        <v>6060000000000</v>
      </c>
    </row>
    <row r="250" spans="1:6" x14ac:dyDescent="0.3">
      <c r="A250" s="22" t="s">
        <v>293</v>
      </c>
      <c r="B250" s="45">
        <v>92850000000</v>
      </c>
      <c r="C250" s="33">
        <v>15750000000</v>
      </c>
      <c r="D250" s="33">
        <v>2700000000</v>
      </c>
      <c r="E250" s="33">
        <v>105900000000</v>
      </c>
      <c r="F250" s="29">
        <v>714900000000</v>
      </c>
    </row>
    <row r="251" spans="1:6" x14ac:dyDescent="0.3">
      <c r="A251" s="22" t="s">
        <v>294</v>
      </c>
      <c r="B251" s="45">
        <v>640900000000</v>
      </c>
      <c r="C251" s="33">
        <v>11160000000</v>
      </c>
      <c r="D251" s="33">
        <v>114100000000</v>
      </c>
      <c r="E251" s="33">
        <v>548100000000</v>
      </c>
      <c r="F251" s="29">
        <v>5195000000000</v>
      </c>
    </row>
    <row r="252" spans="1:6" x14ac:dyDescent="0.3">
      <c r="A252" s="22" t="s">
        <v>295</v>
      </c>
      <c r="B252" s="45">
        <v>64500000</v>
      </c>
      <c r="C252" s="33">
        <v>0</v>
      </c>
      <c r="D252" s="33">
        <v>65000000</v>
      </c>
      <c r="E252" s="33">
        <v>0</v>
      </c>
      <c r="F252" s="29"/>
    </row>
    <row r="253" spans="1:6" x14ac:dyDescent="0.3">
      <c r="A253" s="22" t="s">
        <v>296</v>
      </c>
      <c r="B253" s="45">
        <v>45200000000</v>
      </c>
      <c r="C253" s="33">
        <v>17900000000</v>
      </c>
      <c r="D253" s="33">
        <v>0</v>
      </c>
      <c r="E253" s="33">
        <v>63100000000</v>
      </c>
      <c r="F253" s="29">
        <v>937300000000</v>
      </c>
    </row>
    <row r="254" spans="1:6" x14ac:dyDescent="0.3">
      <c r="A254" s="22" t="s">
        <v>297</v>
      </c>
      <c r="B254" s="45"/>
      <c r="C254" s="33"/>
      <c r="D254" s="33"/>
      <c r="E254" s="33"/>
      <c r="F254" s="29"/>
    </row>
    <row r="255" spans="1:6" x14ac:dyDescent="0.3">
      <c r="A255" s="22" t="s">
        <v>298</v>
      </c>
      <c r="B255" s="45">
        <v>29400000000</v>
      </c>
      <c r="C255" s="33">
        <v>0</v>
      </c>
      <c r="D255" s="33">
        <v>0</v>
      </c>
      <c r="E255" s="33">
        <v>29400000000</v>
      </c>
      <c r="F255" s="29">
        <v>4190000000000</v>
      </c>
    </row>
    <row r="256" spans="1:6" x14ac:dyDescent="0.3">
      <c r="A256" s="22" t="s">
        <v>299</v>
      </c>
      <c r="B256" s="45">
        <v>1300000000</v>
      </c>
      <c r="C256" s="33">
        <v>0</v>
      </c>
      <c r="D256" s="33">
        <v>0</v>
      </c>
      <c r="E256" s="33">
        <v>1300000000</v>
      </c>
      <c r="F256" s="29">
        <v>192600000000</v>
      </c>
    </row>
    <row r="257" spans="1:6" x14ac:dyDescent="0.3">
      <c r="A257" s="22" t="s">
        <v>300</v>
      </c>
      <c r="B257" s="45"/>
      <c r="C257" s="33"/>
      <c r="D257" s="33"/>
      <c r="E257" s="33"/>
      <c r="F257" s="29"/>
    </row>
    <row r="258" spans="1:6" x14ac:dyDescent="0.3">
      <c r="A258" s="22" t="s">
        <v>301</v>
      </c>
      <c r="B258" s="45"/>
      <c r="C258" s="33"/>
      <c r="D258" s="33"/>
      <c r="E258" s="33"/>
      <c r="F258" s="29"/>
    </row>
    <row r="259" spans="1:6" x14ac:dyDescent="0.3">
      <c r="A259" s="22" t="s">
        <v>302</v>
      </c>
      <c r="B259" s="45"/>
      <c r="C259" s="33"/>
      <c r="D259" s="33"/>
      <c r="E259" s="33"/>
      <c r="F259" s="29"/>
    </row>
    <row r="260" spans="1:6" x14ac:dyDescent="0.3">
      <c r="A260" s="22" t="s">
        <v>303</v>
      </c>
      <c r="B260" s="45"/>
      <c r="C260" s="33"/>
      <c r="D260" s="33"/>
      <c r="E260" s="33"/>
      <c r="F260" s="29"/>
    </row>
    <row r="261" spans="1:6" x14ac:dyDescent="0.3">
      <c r="A261" s="22" t="s">
        <v>304</v>
      </c>
      <c r="B261" s="45"/>
      <c r="C261" s="33"/>
      <c r="D261" s="33"/>
      <c r="E261" s="33"/>
      <c r="F261" s="29"/>
    </row>
    <row r="262" spans="1:6" x14ac:dyDescent="0.3">
      <c r="A262" s="22" t="s">
        <v>305</v>
      </c>
      <c r="B262" s="45">
        <v>0</v>
      </c>
      <c r="C262" s="33">
        <v>0</v>
      </c>
      <c r="D262" s="33">
        <v>0</v>
      </c>
      <c r="E262" s="33">
        <v>0</v>
      </c>
      <c r="F262" s="29">
        <v>480000000000</v>
      </c>
    </row>
    <row r="263" spans="1:6" x14ac:dyDescent="0.3">
      <c r="A263" s="22" t="s">
        <v>306</v>
      </c>
      <c r="B263" s="45"/>
      <c r="C263" s="33"/>
      <c r="D263" s="33"/>
      <c r="E263" s="33"/>
      <c r="F263" s="29"/>
    </row>
    <row r="264" spans="1:6" x14ac:dyDescent="0.3">
      <c r="A264" s="22" t="s">
        <v>307</v>
      </c>
      <c r="B264" s="45"/>
      <c r="C264" s="33"/>
      <c r="D264" s="33"/>
      <c r="E264" s="33"/>
      <c r="F264" s="29"/>
    </row>
    <row r="265" spans="1:6" x14ac:dyDescent="0.3">
      <c r="A265" s="23" t="s">
        <v>330</v>
      </c>
      <c r="B265" s="46">
        <v>3066619570000</v>
      </c>
      <c r="C265" s="34">
        <v>771814000000</v>
      </c>
      <c r="D265" s="34">
        <v>1016541900000</v>
      </c>
      <c r="E265" s="34">
        <v>2879625670000</v>
      </c>
      <c r="F265" s="31">
        <v>161333698290000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FAFE-EB15-4B44-97A9-C0923F789AE9}">
  <dimension ref="A1:C265"/>
  <sheetViews>
    <sheetView topLeftCell="B1" zoomScale="80" zoomScaleNormal="80" workbookViewId="0"/>
  </sheetViews>
  <sheetFormatPr defaultRowHeight="14.4" x14ac:dyDescent="0.3"/>
  <cols>
    <col min="1" max="1" width="41.5546875" bestFit="1" customWidth="1"/>
    <col min="2" max="3" width="19.6640625" bestFit="1" customWidth="1"/>
  </cols>
  <sheetData>
    <row r="1" spans="1:3" x14ac:dyDescent="0.3">
      <c r="A1" s="20" t="s">
        <v>329</v>
      </c>
      <c r="B1" s="19" t="s">
        <v>341</v>
      </c>
      <c r="C1" s="25" t="s">
        <v>342</v>
      </c>
    </row>
    <row r="2" spans="1:3" x14ac:dyDescent="0.3">
      <c r="A2" s="21" t="s">
        <v>123</v>
      </c>
      <c r="B2" s="26">
        <v>22000414</v>
      </c>
      <c r="C2" s="27">
        <v>206032067</v>
      </c>
    </row>
    <row r="3" spans="1:3" x14ac:dyDescent="0.3">
      <c r="A3" s="22" t="s">
        <v>45</v>
      </c>
      <c r="B3" s="28"/>
      <c r="C3" s="29">
        <v>1000</v>
      </c>
    </row>
    <row r="4" spans="1:3" x14ac:dyDescent="0.3">
      <c r="A4" s="22" t="s">
        <v>46</v>
      </c>
      <c r="B4" s="28"/>
      <c r="C4" s="29"/>
    </row>
    <row r="5" spans="1:3" x14ac:dyDescent="0.3">
      <c r="A5" s="22" t="s">
        <v>47</v>
      </c>
      <c r="B5" s="28">
        <v>455</v>
      </c>
      <c r="C5" s="29">
        <v>30000</v>
      </c>
    </row>
    <row r="6" spans="1:3" x14ac:dyDescent="0.3">
      <c r="A6" s="22" t="s">
        <v>48</v>
      </c>
      <c r="B6" s="28">
        <v>897</v>
      </c>
      <c r="C6" s="29">
        <v>500000</v>
      </c>
    </row>
    <row r="7" spans="1:3" x14ac:dyDescent="0.3">
      <c r="A7" s="22" t="s">
        <v>49</v>
      </c>
      <c r="B7" s="28"/>
      <c r="C7" s="29"/>
    </row>
    <row r="8" spans="1:3" x14ac:dyDescent="0.3">
      <c r="A8" s="22" t="s">
        <v>50</v>
      </c>
      <c r="B8" s="28">
        <v>4144</v>
      </c>
      <c r="C8" s="29">
        <v>24500</v>
      </c>
    </row>
    <row r="9" spans="1:3" x14ac:dyDescent="0.3">
      <c r="A9" s="22" t="s">
        <v>51</v>
      </c>
      <c r="B9" s="28">
        <v>17</v>
      </c>
      <c r="C9" s="29">
        <v>41000</v>
      </c>
    </row>
    <row r="10" spans="1:3" x14ac:dyDescent="0.3">
      <c r="A10" s="22" t="s">
        <v>52</v>
      </c>
      <c r="B10" s="28"/>
      <c r="C10" s="29">
        <v>3000</v>
      </c>
    </row>
    <row r="11" spans="1:3" x14ac:dyDescent="0.3">
      <c r="A11" s="22" t="s">
        <v>53</v>
      </c>
      <c r="B11" s="28"/>
      <c r="C11" s="29"/>
    </row>
    <row r="12" spans="1:3" x14ac:dyDescent="0.3">
      <c r="A12" s="22" t="s">
        <v>54</v>
      </c>
      <c r="B12" s="28">
        <v>1665</v>
      </c>
      <c r="C12" s="29">
        <v>10000</v>
      </c>
    </row>
    <row r="13" spans="1:3" x14ac:dyDescent="0.3">
      <c r="A13" s="22" t="s">
        <v>55</v>
      </c>
      <c r="B13" s="28">
        <v>742358</v>
      </c>
      <c r="C13" s="29">
        <v>4100000</v>
      </c>
    </row>
    <row r="14" spans="1:3" x14ac:dyDescent="0.3">
      <c r="A14" s="22" t="s">
        <v>56</v>
      </c>
      <c r="B14" s="28">
        <v>2206</v>
      </c>
      <c r="C14" s="29">
        <v>150000</v>
      </c>
    </row>
    <row r="15" spans="1:3" x14ac:dyDescent="0.3">
      <c r="A15" s="22" t="s">
        <v>57</v>
      </c>
      <c r="B15" s="28">
        <v>923</v>
      </c>
      <c r="C15" s="29">
        <v>24000</v>
      </c>
    </row>
    <row r="16" spans="1:3" x14ac:dyDescent="0.3">
      <c r="A16" s="22" t="s">
        <v>58</v>
      </c>
      <c r="B16" s="28"/>
      <c r="C16" s="29"/>
    </row>
    <row r="17" spans="1:3" x14ac:dyDescent="0.3">
      <c r="A17" s="22" t="s">
        <v>59</v>
      </c>
      <c r="B17" s="28">
        <v>2847763</v>
      </c>
      <c r="C17" s="29">
        <v>9472000</v>
      </c>
    </row>
    <row r="18" spans="1:3" x14ac:dyDescent="0.3">
      <c r="A18" s="22" t="s">
        <v>60</v>
      </c>
      <c r="B18" s="28">
        <v>387006</v>
      </c>
      <c r="C18" s="29">
        <v>3730000</v>
      </c>
    </row>
    <row r="19" spans="1:3" x14ac:dyDescent="0.3">
      <c r="A19" s="22" t="s">
        <v>61</v>
      </c>
      <c r="B19" s="28">
        <v>586</v>
      </c>
      <c r="C19" s="29">
        <v>300000</v>
      </c>
    </row>
    <row r="20" spans="1:3" x14ac:dyDescent="0.3">
      <c r="A20" s="22" t="s">
        <v>62</v>
      </c>
      <c r="B20" s="28">
        <v>302</v>
      </c>
      <c r="C20" s="29">
        <v>84000</v>
      </c>
    </row>
    <row r="21" spans="1:3" x14ac:dyDescent="0.3">
      <c r="A21" s="22" t="s">
        <v>63</v>
      </c>
      <c r="B21" s="28">
        <v>1334</v>
      </c>
      <c r="C21" s="29">
        <v>195700</v>
      </c>
    </row>
    <row r="22" spans="1:3" x14ac:dyDescent="0.3">
      <c r="A22" s="22" t="s">
        <v>64</v>
      </c>
      <c r="B22" s="28"/>
      <c r="C22" s="29"/>
    </row>
    <row r="23" spans="1:3" x14ac:dyDescent="0.3">
      <c r="A23" s="22" t="s">
        <v>65</v>
      </c>
      <c r="B23" s="28">
        <v>1</v>
      </c>
      <c r="C23" s="29">
        <v>243000</v>
      </c>
    </row>
    <row r="24" spans="1:3" x14ac:dyDescent="0.3">
      <c r="A24" s="22" t="s">
        <v>66</v>
      </c>
      <c r="B24" s="28">
        <v>204</v>
      </c>
      <c r="C24" s="29">
        <v>100000</v>
      </c>
    </row>
    <row r="25" spans="1:3" x14ac:dyDescent="0.3">
      <c r="A25" s="22" t="s">
        <v>67</v>
      </c>
      <c r="B25" s="28"/>
      <c r="C25" s="29"/>
    </row>
    <row r="26" spans="1:3" x14ac:dyDescent="0.3">
      <c r="A26" s="22" t="s">
        <v>68</v>
      </c>
      <c r="B26" s="28">
        <v>5308</v>
      </c>
      <c r="C26" s="29">
        <v>1391900</v>
      </c>
    </row>
    <row r="27" spans="1:3" x14ac:dyDescent="0.3">
      <c r="A27" s="22" t="s">
        <v>69</v>
      </c>
      <c r="B27" s="28">
        <v>166799</v>
      </c>
      <c r="C27" s="29">
        <v>3400000</v>
      </c>
    </row>
    <row r="28" spans="1:3" x14ac:dyDescent="0.3">
      <c r="A28" s="22" t="s">
        <v>70</v>
      </c>
      <c r="B28" s="28">
        <v>2613</v>
      </c>
      <c r="C28" s="29">
        <v>30000</v>
      </c>
    </row>
    <row r="29" spans="1:3" x14ac:dyDescent="0.3">
      <c r="A29" s="22" t="s">
        <v>71</v>
      </c>
      <c r="B29" s="28">
        <v>879</v>
      </c>
      <c r="C29" s="29">
        <v>70000</v>
      </c>
    </row>
    <row r="30" spans="1:3" x14ac:dyDescent="0.3">
      <c r="A30" s="22" t="s">
        <v>72</v>
      </c>
      <c r="B30" s="28">
        <v>5161</v>
      </c>
      <c r="C30" s="29">
        <v>34500</v>
      </c>
    </row>
    <row r="31" spans="1:3" x14ac:dyDescent="0.3">
      <c r="A31" s="22" t="s">
        <v>73</v>
      </c>
      <c r="B31" s="28">
        <v>985</v>
      </c>
      <c r="C31" s="29">
        <v>15000</v>
      </c>
    </row>
    <row r="32" spans="1:3" x14ac:dyDescent="0.3">
      <c r="A32" s="22" t="s">
        <v>74</v>
      </c>
      <c r="B32" s="28">
        <v>7080</v>
      </c>
      <c r="C32" s="29">
        <v>270000</v>
      </c>
    </row>
    <row r="33" spans="1:3" x14ac:dyDescent="0.3">
      <c r="A33" s="22" t="s">
        <v>75</v>
      </c>
      <c r="B33" s="28">
        <v>6994</v>
      </c>
      <c r="C33" s="29">
        <v>100000</v>
      </c>
    </row>
    <row r="34" spans="1:3" x14ac:dyDescent="0.3">
      <c r="A34" s="22" t="s">
        <v>76</v>
      </c>
      <c r="B34" s="28">
        <v>1920</v>
      </c>
      <c r="C34" s="29">
        <v>60000</v>
      </c>
    </row>
    <row r="35" spans="1:3" x14ac:dyDescent="0.3">
      <c r="A35" s="22" t="s">
        <v>77</v>
      </c>
      <c r="B35" s="28"/>
      <c r="C35" s="29"/>
    </row>
    <row r="36" spans="1:3" x14ac:dyDescent="0.3">
      <c r="A36" s="22" t="s">
        <v>78</v>
      </c>
      <c r="B36" s="28">
        <v>3163349</v>
      </c>
      <c r="C36" s="29">
        <v>14300000</v>
      </c>
    </row>
    <row r="37" spans="1:3" x14ac:dyDescent="0.3">
      <c r="A37" s="22" t="s">
        <v>79</v>
      </c>
      <c r="B37" s="28"/>
      <c r="C37" s="29"/>
    </row>
    <row r="38" spans="1:3" x14ac:dyDescent="0.3">
      <c r="A38" s="22" t="s">
        <v>80</v>
      </c>
      <c r="B38" s="28"/>
      <c r="C38" s="29">
        <v>4000</v>
      </c>
    </row>
    <row r="39" spans="1:3" x14ac:dyDescent="0.3">
      <c r="A39" s="22" t="s">
        <v>81</v>
      </c>
      <c r="B39" s="28">
        <v>6409</v>
      </c>
      <c r="C39" s="29">
        <v>35000</v>
      </c>
    </row>
    <row r="40" spans="1:3" x14ac:dyDescent="0.3">
      <c r="A40" s="22" t="s">
        <v>82</v>
      </c>
      <c r="B40" s="28">
        <v>53421</v>
      </c>
      <c r="C40" s="29">
        <v>630000</v>
      </c>
    </row>
    <row r="41" spans="1:3" x14ac:dyDescent="0.3">
      <c r="A41" s="22" t="s">
        <v>83</v>
      </c>
      <c r="B41" s="28">
        <v>442</v>
      </c>
      <c r="C41" s="29">
        <v>48000</v>
      </c>
    </row>
    <row r="42" spans="1:3" x14ac:dyDescent="0.3">
      <c r="A42" s="22" t="s">
        <v>84</v>
      </c>
      <c r="B42" s="28">
        <v>3</v>
      </c>
      <c r="C42" s="29">
        <v>28000</v>
      </c>
    </row>
    <row r="43" spans="1:3" x14ac:dyDescent="0.3">
      <c r="A43" s="22" t="s">
        <v>85</v>
      </c>
      <c r="B43" s="28">
        <v>22</v>
      </c>
      <c r="C43" s="29">
        <v>14000</v>
      </c>
    </row>
    <row r="44" spans="1:3" x14ac:dyDescent="0.3">
      <c r="A44" s="22" t="s">
        <v>86</v>
      </c>
      <c r="B44" s="28">
        <v>818</v>
      </c>
      <c r="C44" s="29">
        <v>30000</v>
      </c>
    </row>
    <row r="45" spans="1:3" x14ac:dyDescent="0.3">
      <c r="A45" s="22" t="s">
        <v>87</v>
      </c>
      <c r="B45" s="28">
        <v>479</v>
      </c>
      <c r="C45" s="29">
        <v>60000</v>
      </c>
    </row>
    <row r="46" spans="1:3" x14ac:dyDescent="0.3">
      <c r="A46" s="22" t="s">
        <v>88</v>
      </c>
      <c r="B46" s="28">
        <v>3210081</v>
      </c>
      <c r="C46" s="29">
        <v>16110000</v>
      </c>
    </row>
    <row r="47" spans="1:3" x14ac:dyDescent="0.3">
      <c r="A47" s="22" t="s">
        <v>89</v>
      </c>
      <c r="B47" s="28">
        <v>118</v>
      </c>
      <c r="C47" s="29">
        <v>20400</v>
      </c>
    </row>
    <row r="48" spans="1:3" x14ac:dyDescent="0.3">
      <c r="A48" s="22" t="s">
        <v>90</v>
      </c>
      <c r="B48" s="28"/>
      <c r="C48" s="29">
        <v>9909</v>
      </c>
    </row>
    <row r="49" spans="1:3" x14ac:dyDescent="0.3">
      <c r="A49" s="22" t="s">
        <v>91</v>
      </c>
      <c r="B49" s="28">
        <v>6</v>
      </c>
      <c r="C49" s="29">
        <v>5000</v>
      </c>
    </row>
    <row r="50" spans="1:3" x14ac:dyDescent="0.3">
      <c r="A50" s="22" t="s">
        <v>92</v>
      </c>
      <c r="B50" s="28">
        <v>8</v>
      </c>
      <c r="C50" s="29">
        <v>15000</v>
      </c>
    </row>
    <row r="51" spans="1:3" x14ac:dyDescent="0.3">
      <c r="A51" s="22" t="s">
        <v>93</v>
      </c>
      <c r="B51" s="28">
        <v>202429</v>
      </c>
      <c r="C51" s="29">
        <v>3575000</v>
      </c>
    </row>
    <row r="52" spans="1:3" x14ac:dyDescent="0.3">
      <c r="A52" s="22" t="s">
        <v>94</v>
      </c>
      <c r="B52" s="28">
        <v>160421</v>
      </c>
      <c r="C52" s="29">
        <v>94000000</v>
      </c>
    </row>
    <row r="53" spans="1:3" x14ac:dyDescent="0.3">
      <c r="A53" s="22" t="s">
        <v>95</v>
      </c>
      <c r="B53" s="28"/>
      <c r="C53" s="29"/>
    </row>
    <row r="54" spans="1:3" x14ac:dyDescent="0.3">
      <c r="A54" s="22" t="s">
        <v>96</v>
      </c>
      <c r="B54" s="28"/>
      <c r="C54" s="29"/>
    </row>
    <row r="55" spans="1:3" x14ac:dyDescent="0.3">
      <c r="A55" s="22" t="s">
        <v>97</v>
      </c>
      <c r="B55" s="28"/>
      <c r="C55" s="29"/>
    </row>
    <row r="56" spans="1:3" x14ac:dyDescent="0.3">
      <c r="A56" s="22" t="s">
        <v>98</v>
      </c>
      <c r="B56" s="28">
        <v>115158</v>
      </c>
      <c r="C56" s="29">
        <v>2732200</v>
      </c>
    </row>
    <row r="57" spans="1:3" x14ac:dyDescent="0.3">
      <c r="A57" s="22" t="s">
        <v>99</v>
      </c>
      <c r="B57" s="28">
        <v>11</v>
      </c>
      <c r="C57" s="29">
        <v>5000</v>
      </c>
    </row>
    <row r="58" spans="1:3" x14ac:dyDescent="0.3">
      <c r="A58" s="22" t="s">
        <v>100</v>
      </c>
      <c r="B58" s="28">
        <v>153</v>
      </c>
      <c r="C58" s="29">
        <v>50000</v>
      </c>
    </row>
    <row r="59" spans="1:3" x14ac:dyDescent="0.3">
      <c r="A59" s="22" t="s">
        <v>101</v>
      </c>
      <c r="B59" s="28">
        <v>46</v>
      </c>
      <c r="C59" s="29">
        <v>15000</v>
      </c>
    </row>
    <row r="60" spans="1:3" x14ac:dyDescent="0.3">
      <c r="A60" s="22" t="s">
        <v>102</v>
      </c>
      <c r="B60" s="28"/>
      <c r="C60" s="29">
        <v>3600</v>
      </c>
    </row>
    <row r="61" spans="1:3" x14ac:dyDescent="0.3">
      <c r="A61" s="22" t="s">
        <v>103</v>
      </c>
      <c r="B61" s="28">
        <v>10826</v>
      </c>
      <c r="C61" s="29">
        <v>800000</v>
      </c>
    </row>
    <row r="62" spans="1:3" x14ac:dyDescent="0.3">
      <c r="A62" s="22" t="s">
        <v>104</v>
      </c>
      <c r="B62" s="28">
        <v>3795</v>
      </c>
      <c r="C62" s="29">
        <v>90000</v>
      </c>
    </row>
    <row r="63" spans="1:3" x14ac:dyDescent="0.3">
      <c r="A63" s="22" t="s">
        <v>105</v>
      </c>
      <c r="B63" s="28">
        <v>29644</v>
      </c>
      <c r="C63" s="29">
        <v>1014000</v>
      </c>
    </row>
    <row r="64" spans="1:3" x14ac:dyDescent="0.3">
      <c r="A64" s="22" t="s">
        <v>106</v>
      </c>
      <c r="B64" s="28">
        <v>1529</v>
      </c>
      <c r="C64" s="29">
        <v>120000</v>
      </c>
    </row>
    <row r="65" spans="1:3" x14ac:dyDescent="0.3">
      <c r="A65" s="22" t="s">
        <v>107</v>
      </c>
      <c r="B65" s="28">
        <v>5901</v>
      </c>
      <c r="C65" s="29">
        <v>210000</v>
      </c>
    </row>
    <row r="66" spans="1:3" x14ac:dyDescent="0.3">
      <c r="A66" s="22" t="s">
        <v>108</v>
      </c>
      <c r="B66" s="28">
        <v>295677</v>
      </c>
      <c r="C66" s="29">
        <v>2700000</v>
      </c>
    </row>
    <row r="67" spans="1:3" x14ac:dyDescent="0.3">
      <c r="A67" s="22" t="s">
        <v>109</v>
      </c>
      <c r="B67" s="28">
        <v>1219925</v>
      </c>
      <c r="C67" s="29">
        <v>2756000</v>
      </c>
    </row>
    <row r="68" spans="1:3" x14ac:dyDescent="0.3">
      <c r="A68" s="22" t="s">
        <v>110</v>
      </c>
      <c r="B68" s="28"/>
      <c r="C68" s="29"/>
    </row>
    <row r="69" spans="1:3" x14ac:dyDescent="0.3">
      <c r="A69" s="22" t="s">
        <v>111</v>
      </c>
      <c r="B69" s="28">
        <v>702</v>
      </c>
      <c r="C69" s="29">
        <v>6500</v>
      </c>
    </row>
    <row r="70" spans="1:3" x14ac:dyDescent="0.3">
      <c r="A70" s="22" t="s">
        <v>112</v>
      </c>
      <c r="B70" s="28">
        <v>681</v>
      </c>
      <c r="C70" s="29">
        <v>12500</v>
      </c>
    </row>
    <row r="71" spans="1:3" x14ac:dyDescent="0.3">
      <c r="A71" s="22" t="s">
        <v>113</v>
      </c>
      <c r="B71" s="28">
        <v>64197</v>
      </c>
      <c r="C71" s="29">
        <v>500000</v>
      </c>
    </row>
    <row r="72" spans="1:3" x14ac:dyDescent="0.3">
      <c r="A72" s="22" t="s">
        <v>114</v>
      </c>
      <c r="B72" s="28"/>
      <c r="C72" s="29"/>
    </row>
    <row r="73" spans="1:3" x14ac:dyDescent="0.3">
      <c r="A73" s="22" t="s">
        <v>115</v>
      </c>
      <c r="B73" s="28">
        <v>3188</v>
      </c>
      <c r="C73" s="29">
        <v>569700</v>
      </c>
    </row>
    <row r="74" spans="1:3" x14ac:dyDescent="0.3">
      <c r="A74" s="22" t="s">
        <v>116</v>
      </c>
      <c r="B74" s="28">
        <v>3401</v>
      </c>
      <c r="C74" s="29">
        <v>2700000</v>
      </c>
    </row>
    <row r="75" spans="1:3" x14ac:dyDescent="0.3">
      <c r="A75" s="22" t="s">
        <v>117</v>
      </c>
      <c r="B75" s="28">
        <v>4084</v>
      </c>
      <c r="C75" s="29">
        <v>550000</v>
      </c>
    </row>
    <row r="76" spans="1:3" x14ac:dyDescent="0.3">
      <c r="A76" s="22" t="s">
        <v>118</v>
      </c>
      <c r="B76" s="28">
        <v>3</v>
      </c>
      <c r="C76" s="29">
        <v>1800</v>
      </c>
    </row>
    <row r="77" spans="1:3" x14ac:dyDescent="0.3">
      <c r="A77" s="22" t="s">
        <v>119</v>
      </c>
      <c r="B77" s="28">
        <v>1047</v>
      </c>
      <c r="C77" s="29">
        <v>9500</v>
      </c>
    </row>
    <row r="78" spans="1:3" x14ac:dyDescent="0.3">
      <c r="A78" s="22" t="s">
        <v>120</v>
      </c>
      <c r="B78" s="28">
        <v>82142</v>
      </c>
      <c r="C78" s="29">
        <v>444000</v>
      </c>
    </row>
    <row r="79" spans="1:3" x14ac:dyDescent="0.3">
      <c r="A79" s="22" t="s">
        <v>121</v>
      </c>
      <c r="B79" s="28">
        <v>9</v>
      </c>
      <c r="C79" s="29">
        <v>75000</v>
      </c>
    </row>
    <row r="80" spans="1:3" x14ac:dyDescent="0.3">
      <c r="A80" s="22" t="s">
        <v>122</v>
      </c>
      <c r="B80" s="28"/>
      <c r="C80" s="29"/>
    </row>
    <row r="81" spans="1:3" x14ac:dyDescent="0.3">
      <c r="A81" s="22" t="s">
        <v>124</v>
      </c>
      <c r="B81" s="28"/>
      <c r="C81" s="29"/>
    </row>
    <row r="82" spans="1:3" x14ac:dyDescent="0.3">
      <c r="A82" s="22" t="s">
        <v>125</v>
      </c>
      <c r="B82" s="28"/>
      <c r="C82" s="29">
        <v>25000</v>
      </c>
    </row>
    <row r="83" spans="1:3" x14ac:dyDescent="0.3">
      <c r="A83" s="22" t="s">
        <v>126</v>
      </c>
      <c r="B83" s="28">
        <v>493</v>
      </c>
      <c r="C83" s="29">
        <v>55000</v>
      </c>
    </row>
    <row r="84" spans="1:3" x14ac:dyDescent="0.3">
      <c r="A84" s="22" t="s">
        <v>127</v>
      </c>
      <c r="B84" s="28">
        <v>1219173</v>
      </c>
      <c r="C84" s="29">
        <v>2650000</v>
      </c>
    </row>
    <row r="85" spans="1:3" x14ac:dyDescent="0.3">
      <c r="A85" s="22" t="s">
        <v>128</v>
      </c>
      <c r="B85" s="28">
        <v>2396761</v>
      </c>
      <c r="C85" s="29">
        <v>21900000</v>
      </c>
    </row>
    <row r="86" spans="1:3" x14ac:dyDescent="0.3">
      <c r="A86" s="22" t="s">
        <v>129</v>
      </c>
      <c r="B86" s="28"/>
      <c r="C86" s="29">
        <v>3200</v>
      </c>
    </row>
    <row r="87" spans="1:3" x14ac:dyDescent="0.3">
      <c r="A87" s="22" t="s">
        <v>130</v>
      </c>
      <c r="B87" s="28">
        <v>5123</v>
      </c>
      <c r="C87" s="29">
        <v>35000</v>
      </c>
    </row>
    <row r="88" spans="1:3" x14ac:dyDescent="0.3">
      <c r="A88" s="22" t="s">
        <v>131</v>
      </c>
      <c r="B88" s="28"/>
      <c r="C88" s="29"/>
    </row>
    <row r="89" spans="1:3" x14ac:dyDescent="0.3">
      <c r="A89" s="22" t="s">
        <v>132</v>
      </c>
      <c r="B89" s="28">
        <v>93</v>
      </c>
      <c r="C89" s="29">
        <v>35000</v>
      </c>
    </row>
    <row r="90" spans="1:3" x14ac:dyDescent="0.3">
      <c r="A90" s="22" t="s">
        <v>133</v>
      </c>
      <c r="B90" s="28">
        <v>568</v>
      </c>
      <c r="C90" s="29">
        <v>25000</v>
      </c>
    </row>
    <row r="91" spans="1:3" x14ac:dyDescent="0.3">
      <c r="A91" s="22" t="s">
        <v>134</v>
      </c>
      <c r="B91" s="28"/>
      <c r="C91" s="29">
        <v>60000</v>
      </c>
    </row>
    <row r="92" spans="1:3" x14ac:dyDescent="0.3">
      <c r="A92" s="22" t="s">
        <v>135</v>
      </c>
      <c r="B92" s="28">
        <v>5160</v>
      </c>
      <c r="C92" s="29">
        <v>150500</v>
      </c>
    </row>
    <row r="93" spans="1:3" x14ac:dyDescent="0.3">
      <c r="A93" s="22" t="s">
        <v>136</v>
      </c>
      <c r="B93" s="28">
        <v>2686119</v>
      </c>
      <c r="C93" s="29">
        <v>39000000</v>
      </c>
    </row>
    <row r="94" spans="1:3" x14ac:dyDescent="0.3">
      <c r="A94" s="22" t="s">
        <v>137</v>
      </c>
      <c r="B94" s="28">
        <v>407</v>
      </c>
      <c r="C94" s="29">
        <v>170000</v>
      </c>
    </row>
    <row r="95" spans="1:3" x14ac:dyDescent="0.3">
      <c r="A95" s="22" t="s">
        <v>138</v>
      </c>
      <c r="B95" s="28"/>
      <c r="C95" s="29">
        <v>6200</v>
      </c>
    </row>
    <row r="96" spans="1:3" x14ac:dyDescent="0.3">
      <c r="A96" s="22" t="s">
        <v>139</v>
      </c>
      <c r="B96" s="28"/>
      <c r="C96" s="29"/>
    </row>
    <row r="97" spans="1:3" x14ac:dyDescent="0.3">
      <c r="A97" s="22" t="s">
        <v>140</v>
      </c>
      <c r="B97" s="28">
        <v>208977</v>
      </c>
      <c r="C97" s="29">
        <v>1718400</v>
      </c>
    </row>
    <row r="98" spans="1:3" x14ac:dyDescent="0.3">
      <c r="A98" s="22" t="s">
        <v>141</v>
      </c>
      <c r="B98" s="28">
        <v>2642</v>
      </c>
      <c r="C98" s="29">
        <v>20000</v>
      </c>
    </row>
    <row r="99" spans="1:3" x14ac:dyDescent="0.3">
      <c r="A99" s="22" t="s">
        <v>142</v>
      </c>
      <c r="B99" s="28">
        <v>18</v>
      </c>
      <c r="C99" s="29">
        <v>15000</v>
      </c>
    </row>
    <row r="100" spans="1:3" x14ac:dyDescent="0.3">
      <c r="A100" s="22" t="s">
        <v>143</v>
      </c>
      <c r="B100" s="28"/>
      <c r="C100" s="29">
        <v>20000</v>
      </c>
    </row>
    <row r="101" spans="1:3" x14ac:dyDescent="0.3">
      <c r="A101" s="22" t="s">
        <v>144</v>
      </c>
      <c r="B101" s="28"/>
      <c r="C101" s="29">
        <v>50000</v>
      </c>
    </row>
    <row r="102" spans="1:3" x14ac:dyDescent="0.3">
      <c r="A102" s="22" t="s">
        <v>145</v>
      </c>
      <c r="B102" s="28">
        <v>20360</v>
      </c>
      <c r="C102" s="29">
        <v>400000</v>
      </c>
    </row>
    <row r="103" spans="1:3" x14ac:dyDescent="0.3">
      <c r="A103" s="22" t="s">
        <v>146</v>
      </c>
      <c r="B103" s="28"/>
      <c r="C103" s="29"/>
    </row>
    <row r="104" spans="1:3" x14ac:dyDescent="0.3">
      <c r="A104" s="22" t="s">
        <v>147</v>
      </c>
      <c r="B104" s="28">
        <v>380</v>
      </c>
      <c r="C104" s="29">
        <v>40000</v>
      </c>
    </row>
    <row r="105" spans="1:3" x14ac:dyDescent="0.3">
      <c r="A105" s="22" t="s">
        <v>148</v>
      </c>
      <c r="B105" s="28">
        <v>2</v>
      </c>
      <c r="C105" s="29">
        <v>19000</v>
      </c>
    </row>
    <row r="106" spans="1:3" x14ac:dyDescent="0.3">
      <c r="A106" s="22" t="s">
        <v>149</v>
      </c>
      <c r="B106" s="28">
        <v>613</v>
      </c>
      <c r="C106" s="29">
        <v>125000</v>
      </c>
    </row>
    <row r="107" spans="1:3" x14ac:dyDescent="0.3">
      <c r="A107" s="22" t="s">
        <v>150</v>
      </c>
      <c r="B107" s="28"/>
      <c r="C107" s="29">
        <v>80000</v>
      </c>
    </row>
    <row r="108" spans="1:3" x14ac:dyDescent="0.3">
      <c r="A108" s="22" t="s">
        <v>151</v>
      </c>
      <c r="B108" s="28"/>
      <c r="C108" s="29"/>
    </row>
    <row r="109" spans="1:3" x14ac:dyDescent="0.3">
      <c r="A109" s="22" t="s">
        <v>152</v>
      </c>
      <c r="B109" s="28">
        <v>9</v>
      </c>
      <c r="C109" s="29"/>
    </row>
    <row r="110" spans="1:3" x14ac:dyDescent="0.3">
      <c r="A110" s="22" t="s">
        <v>153</v>
      </c>
      <c r="B110" s="28">
        <v>1944</v>
      </c>
      <c r="C110" s="29">
        <v>168600</v>
      </c>
    </row>
    <row r="111" spans="1:3" x14ac:dyDescent="0.3">
      <c r="A111" s="22" t="s">
        <v>154</v>
      </c>
      <c r="B111" s="28">
        <v>591993</v>
      </c>
      <c r="C111" s="29">
        <v>3212800</v>
      </c>
    </row>
    <row r="112" spans="1:3" x14ac:dyDescent="0.3">
      <c r="A112" s="22" t="s">
        <v>155</v>
      </c>
      <c r="B112" s="28"/>
      <c r="C112" s="29"/>
    </row>
    <row r="113" spans="1:3" x14ac:dyDescent="0.3">
      <c r="A113" s="22" t="s">
        <v>156</v>
      </c>
      <c r="B113" s="28">
        <v>383071</v>
      </c>
      <c r="C113" s="29">
        <v>1600000</v>
      </c>
    </row>
    <row r="114" spans="1:3" x14ac:dyDescent="0.3">
      <c r="A114" s="22" t="s">
        <v>157</v>
      </c>
      <c r="B114" s="28">
        <v>122175</v>
      </c>
      <c r="C114" s="29">
        <v>195000</v>
      </c>
    </row>
    <row r="115" spans="1:3" x14ac:dyDescent="0.3">
      <c r="A115" s="22" t="s">
        <v>158</v>
      </c>
      <c r="B115" s="28">
        <v>86871</v>
      </c>
      <c r="C115" s="29">
        <v>18481000</v>
      </c>
    </row>
    <row r="116" spans="1:3" x14ac:dyDescent="0.3">
      <c r="A116" s="22" t="s">
        <v>159</v>
      </c>
      <c r="B116" s="28">
        <v>62036</v>
      </c>
      <c r="C116" s="29">
        <v>8000000</v>
      </c>
    </row>
    <row r="117" spans="1:3" x14ac:dyDescent="0.3">
      <c r="A117" s="22" t="s">
        <v>160</v>
      </c>
      <c r="B117" s="28">
        <v>5269</v>
      </c>
      <c r="C117" s="29">
        <v>4300000</v>
      </c>
    </row>
    <row r="118" spans="1:3" x14ac:dyDescent="0.3">
      <c r="A118" s="22" t="s">
        <v>161</v>
      </c>
      <c r="B118" s="28"/>
      <c r="C118" s="29">
        <v>25000</v>
      </c>
    </row>
    <row r="119" spans="1:3" x14ac:dyDescent="0.3">
      <c r="A119" s="22" t="s">
        <v>162</v>
      </c>
      <c r="B119" s="28">
        <v>162228</v>
      </c>
      <c r="C119" s="29">
        <v>1260000</v>
      </c>
    </row>
    <row r="120" spans="1:3" x14ac:dyDescent="0.3">
      <c r="A120" s="22" t="s">
        <v>163</v>
      </c>
      <c r="B120" s="28">
        <v>437516</v>
      </c>
      <c r="C120" s="29">
        <v>2000000</v>
      </c>
    </row>
    <row r="121" spans="1:3" x14ac:dyDescent="0.3">
      <c r="A121" s="22" t="s">
        <v>164</v>
      </c>
      <c r="B121" s="28">
        <v>1437511</v>
      </c>
      <c r="C121" s="29">
        <v>18500000</v>
      </c>
    </row>
    <row r="122" spans="1:3" x14ac:dyDescent="0.3">
      <c r="A122" s="22" t="s">
        <v>165</v>
      </c>
      <c r="B122" s="28">
        <v>1480</v>
      </c>
      <c r="C122" s="29">
        <v>600000</v>
      </c>
    </row>
    <row r="123" spans="1:3" x14ac:dyDescent="0.3">
      <c r="A123" s="22" t="s">
        <v>166</v>
      </c>
      <c r="B123" s="28"/>
      <c r="C123" s="29"/>
    </row>
    <row r="124" spans="1:3" x14ac:dyDescent="0.3">
      <c r="A124" s="22" t="s">
        <v>167</v>
      </c>
      <c r="B124" s="28">
        <v>12962065</v>
      </c>
      <c r="C124" s="29">
        <v>57200000</v>
      </c>
    </row>
    <row r="125" spans="1:3" x14ac:dyDescent="0.3">
      <c r="A125" s="22" t="s">
        <v>168</v>
      </c>
      <c r="B125" s="28"/>
      <c r="C125" s="29"/>
    </row>
    <row r="126" spans="1:3" x14ac:dyDescent="0.3">
      <c r="A126" s="22" t="s">
        <v>169</v>
      </c>
      <c r="B126" s="28"/>
      <c r="C126" s="29"/>
    </row>
    <row r="127" spans="1:3" x14ac:dyDescent="0.3">
      <c r="A127" s="22" t="s">
        <v>170</v>
      </c>
      <c r="B127" s="28"/>
      <c r="C127" s="29"/>
    </row>
    <row r="128" spans="1:3" x14ac:dyDescent="0.3">
      <c r="A128" s="22" t="s">
        <v>171</v>
      </c>
      <c r="B128" s="28">
        <v>3160</v>
      </c>
      <c r="C128" s="29">
        <v>457000</v>
      </c>
    </row>
    <row r="129" spans="1:3" x14ac:dyDescent="0.3">
      <c r="A129" s="22" t="s">
        <v>172</v>
      </c>
      <c r="B129" s="28"/>
      <c r="C129" s="29"/>
    </row>
    <row r="130" spans="1:3" x14ac:dyDescent="0.3">
      <c r="A130" s="22" t="s">
        <v>173</v>
      </c>
      <c r="B130" s="28">
        <v>21984</v>
      </c>
      <c r="C130" s="29">
        <v>250000</v>
      </c>
    </row>
    <row r="131" spans="1:3" x14ac:dyDescent="0.3">
      <c r="A131" s="22" t="s">
        <v>174</v>
      </c>
      <c r="B131" s="28">
        <v>8325</v>
      </c>
      <c r="C131" s="29">
        <v>400000</v>
      </c>
    </row>
    <row r="132" spans="1:3" x14ac:dyDescent="0.3">
      <c r="A132" s="22" t="s">
        <v>175</v>
      </c>
      <c r="B132" s="28"/>
      <c r="C132" s="29"/>
    </row>
    <row r="133" spans="1:3" x14ac:dyDescent="0.3">
      <c r="A133" s="22" t="s">
        <v>176</v>
      </c>
      <c r="B133" s="28"/>
      <c r="C133" s="29">
        <v>2000</v>
      </c>
    </row>
    <row r="134" spans="1:3" x14ac:dyDescent="0.3">
      <c r="A134" s="22" t="s">
        <v>177</v>
      </c>
      <c r="B134" s="28"/>
      <c r="C134" s="29"/>
    </row>
    <row r="135" spans="1:3" x14ac:dyDescent="0.3">
      <c r="A135" s="22" t="s">
        <v>178</v>
      </c>
      <c r="B135" s="28">
        <v>694206</v>
      </c>
      <c r="C135" s="29">
        <v>29220000</v>
      </c>
    </row>
    <row r="136" spans="1:3" x14ac:dyDescent="0.3">
      <c r="A136" s="22" t="s">
        <v>179</v>
      </c>
      <c r="B136" s="28">
        <v>3437</v>
      </c>
      <c r="C136" s="29">
        <v>567000</v>
      </c>
    </row>
    <row r="137" spans="1:3" x14ac:dyDescent="0.3">
      <c r="A137" s="22" t="s">
        <v>180</v>
      </c>
      <c r="B137" s="28">
        <v>12299</v>
      </c>
      <c r="C137" s="29">
        <v>152000</v>
      </c>
    </row>
    <row r="138" spans="1:3" x14ac:dyDescent="0.3">
      <c r="A138" s="22" t="s">
        <v>181</v>
      </c>
      <c r="B138" s="28">
        <v>937</v>
      </c>
      <c r="C138" s="29">
        <v>15000</v>
      </c>
    </row>
    <row r="139" spans="1:3" x14ac:dyDescent="0.3">
      <c r="A139" s="22" t="s">
        <v>182</v>
      </c>
      <c r="B139" s="28">
        <v>51758</v>
      </c>
      <c r="C139" s="29">
        <v>936000</v>
      </c>
    </row>
    <row r="140" spans="1:3" x14ac:dyDescent="0.3">
      <c r="A140" s="22" t="s">
        <v>183</v>
      </c>
      <c r="B140" s="28">
        <v>6998</v>
      </c>
      <c r="C140" s="29">
        <v>400000</v>
      </c>
    </row>
    <row r="141" spans="1:3" x14ac:dyDescent="0.3">
      <c r="A141" s="22" t="s">
        <v>184</v>
      </c>
      <c r="B141" s="28">
        <v>119</v>
      </c>
      <c r="C141" s="29">
        <v>21000</v>
      </c>
    </row>
    <row r="142" spans="1:3" x14ac:dyDescent="0.3">
      <c r="A142" s="22" t="s">
        <v>185</v>
      </c>
      <c r="B142" s="28">
        <v>14</v>
      </c>
      <c r="C142" s="29">
        <v>1000</v>
      </c>
    </row>
    <row r="143" spans="1:3" x14ac:dyDescent="0.3">
      <c r="A143" s="22" t="s">
        <v>186</v>
      </c>
      <c r="B143" s="28">
        <v>67</v>
      </c>
      <c r="C143" s="29">
        <v>160000</v>
      </c>
    </row>
    <row r="144" spans="1:3" x14ac:dyDescent="0.3">
      <c r="A144" s="22" t="s">
        <v>187</v>
      </c>
      <c r="B144" s="28">
        <v>3727</v>
      </c>
      <c r="C144" s="29">
        <v>20000</v>
      </c>
    </row>
    <row r="145" spans="1:3" x14ac:dyDescent="0.3">
      <c r="A145" s="22" t="s">
        <v>188</v>
      </c>
      <c r="B145" s="28">
        <v>67769</v>
      </c>
      <c r="C145" s="29">
        <v>695700</v>
      </c>
    </row>
    <row r="146" spans="1:3" x14ac:dyDescent="0.3">
      <c r="A146" s="22" t="s">
        <v>189</v>
      </c>
      <c r="B146" s="28">
        <v>28214</v>
      </c>
      <c r="C146" s="29">
        <v>165000</v>
      </c>
    </row>
    <row r="147" spans="1:3" x14ac:dyDescent="0.3">
      <c r="A147" s="22" t="s">
        <v>190</v>
      </c>
      <c r="B147" s="28">
        <v>89</v>
      </c>
      <c r="C147" s="29">
        <v>120000</v>
      </c>
    </row>
    <row r="148" spans="1:3" x14ac:dyDescent="0.3">
      <c r="A148" s="22" t="s">
        <v>191</v>
      </c>
      <c r="B148" s="28">
        <v>3738</v>
      </c>
      <c r="C148" s="29">
        <v>100000</v>
      </c>
    </row>
    <row r="149" spans="1:3" x14ac:dyDescent="0.3">
      <c r="A149" s="22" t="s">
        <v>192</v>
      </c>
      <c r="B149" s="28">
        <v>773</v>
      </c>
      <c r="C149" s="29">
        <v>70500</v>
      </c>
    </row>
    <row r="150" spans="1:3" x14ac:dyDescent="0.3">
      <c r="A150" s="22" t="s">
        <v>193</v>
      </c>
      <c r="B150" s="28">
        <v>18</v>
      </c>
      <c r="C150" s="29">
        <v>36000</v>
      </c>
    </row>
    <row r="151" spans="1:3" x14ac:dyDescent="0.3">
      <c r="A151" s="22" t="s">
        <v>194</v>
      </c>
      <c r="B151" s="28">
        <v>107971</v>
      </c>
      <c r="C151" s="29">
        <v>8692100</v>
      </c>
    </row>
    <row r="152" spans="1:3" x14ac:dyDescent="0.3">
      <c r="A152" s="22" t="s">
        <v>195</v>
      </c>
      <c r="B152" s="28">
        <v>532</v>
      </c>
      <c r="C152" s="29">
        <v>15000</v>
      </c>
    </row>
    <row r="153" spans="1:3" x14ac:dyDescent="0.3">
      <c r="A153" s="22" t="s">
        <v>196</v>
      </c>
      <c r="B153" s="28">
        <v>187</v>
      </c>
      <c r="C153" s="29">
        <v>25000</v>
      </c>
    </row>
    <row r="154" spans="1:3" x14ac:dyDescent="0.3">
      <c r="A154" s="22" t="s">
        <v>197</v>
      </c>
      <c r="B154" s="28">
        <v>7156</v>
      </c>
      <c r="C154" s="29">
        <v>120000</v>
      </c>
    </row>
    <row r="155" spans="1:3" x14ac:dyDescent="0.3">
      <c r="A155" s="22" t="s">
        <v>198</v>
      </c>
      <c r="B155" s="28"/>
      <c r="C155" s="29"/>
    </row>
    <row r="156" spans="1:3" x14ac:dyDescent="0.3">
      <c r="A156" s="22" t="s">
        <v>199</v>
      </c>
      <c r="B156" s="28">
        <v>6</v>
      </c>
      <c r="C156" s="29">
        <v>1400</v>
      </c>
    </row>
    <row r="157" spans="1:3" x14ac:dyDescent="0.3">
      <c r="A157" s="22" t="s">
        <v>200</v>
      </c>
      <c r="B157" s="28"/>
      <c r="C157" s="29">
        <v>40000</v>
      </c>
    </row>
    <row r="158" spans="1:3" x14ac:dyDescent="0.3">
      <c r="A158" s="22" t="s">
        <v>201</v>
      </c>
      <c r="B158" s="28">
        <v>25</v>
      </c>
      <c r="C158" s="29">
        <v>10000</v>
      </c>
    </row>
    <row r="159" spans="1:3" x14ac:dyDescent="0.3">
      <c r="A159" s="22" t="s">
        <v>202</v>
      </c>
      <c r="B159" s="28">
        <v>3985</v>
      </c>
      <c r="C159" s="29">
        <v>150000</v>
      </c>
    </row>
    <row r="160" spans="1:3" x14ac:dyDescent="0.3">
      <c r="A160" s="22" t="s">
        <v>203</v>
      </c>
      <c r="B160" s="28"/>
      <c r="C160" s="29"/>
    </row>
    <row r="161" spans="1:3" x14ac:dyDescent="0.3">
      <c r="A161" s="22" t="s">
        <v>204</v>
      </c>
      <c r="B161" s="28">
        <v>1333406</v>
      </c>
      <c r="C161" s="29">
        <v>10033000</v>
      </c>
    </row>
    <row r="162" spans="1:3" x14ac:dyDescent="0.3">
      <c r="A162" s="22" t="s">
        <v>205</v>
      </c>
      <c r="B162" s="28"/>
      <c r="C162" s="29">
        <v>6000</v>
      </c>
    </row>
    <row r="163" spans="1:3" x14ac:dyDescent="0.3">
      <c r="A163" s="22" t="s">
        <v>206</v>
      </c>
      <c r="B163" s="28"/>
      <c r="C163" s="29"/>
    </row>
    <row r="164" spans="1:3" x14ac:dyDescent="0.3">
      <c r="A164" s="22" t="s">
        <v>207</v>
      </c>
      <c r="B164" s="28">
        <v>11984</v>
      </c>
      <c r="C164" s="29">
        <v>150000</v>
      </c>
    </row>
    <row r="165" spans="1:3" x14ac:dyDescent="0.3">
      <c r="A165" s="22" t="s">
        <v>208</v>
      </c>
      <c r="B165" s="28">
        <v>533</v>
      </c>
      <c r="C165" s="29">
        <v>16000</v>
      </c>
    </row>
    <row r="166" spans="1:3" x14ac:dyDescent="0.3">
      <c r="A166" s="22" t="s">
        <v>209</v>
      </c>
      <c r="B166" s="28">
        <v>1000</v>
      </c>
      <c r="C166" s="29">
        <v>220000</v>
      </c>
    </row>
    <row r="167" spans="1:3" x14ac:dyDescent="0.3">
      <c r="A167" s="22" t="s">
        <v>210</v>
      </c>
      <c r="B167" s="28"/>
      <c r="C167" s="29"/>
    </row>
    <row r="168" spans="1:3" x14ac:dyDescent="0.3">
      <c r="A168" s="22" t="s">
        <v>211</v>
      </c>
      <c r="B168" s="28">
        <v>3627</v>
      </c>
      <c r="C168" s="29">
        <v>800000</v>
      </c>
    </row>
    <row r="169" spans="1:3" x14ac:dyDescent="0.3">
      <c r="A169" s="22" t="s">
        <v>212</v>
      </c>
      <c r="B169" s="28">
        <v>3249</v>
      </c>
      <c r="C169" s="29">
        <v>50000</v>
      </c>
    </row>
    <row r="170" spans="1:3" x14ac:dyDescent="0.3">
      <c r="A170" s="22" t="s">
        <v>213</v>
      </c>
      <c r="B170" s="28">
        <v>3164</v>
      </c>
      <c r="C170" s="29">
        <v>65000</v>
      </c>
    </row>
    <row r="171" spans="1:3" x14ac:dyDescent="0.3">
      <c r="A171" s="22" t="s">
        <v>214</v>
      </c>
      <c r="B171" s="28"/>
      <c r="C171" s="29">
        <v>300</v>
      </c>
    </row>
    <row r="172" spans="1:3" x14ac:dyDescent="0.3">
      <c r="A172" s="22" t="s">
        <v>215</v>
      </c>
      <c r="B172" s="28"/>
      <c r="C172" s="29"/>
    </row>
    <row r="173" spans="1:3" x14ac:dyDescent="0.3">
      <c r="A173" s="22" t="s">
        <v>216</v>
      </c>
      <c r="B173" s="28">
        <v>917</v>
      </c>
      <c r="C173" s="29">
        <v>80000</v>
      </c>
    </row>
    <row r="174" spans="1:3" x14ac:dyDescent="0.3">
      <c r="A174" s="22" t="s">
        <v>217</v>
      </c>
      <c r="B174" s="28">
        <v>4518226</v>
      </c>
      <c r="C174" s="29">
        <v>8500000</v>
      </c>
    </row>
    <row r="175" spans="1:3" x14ac:dyDescent="0.3">
      <c r="A175" s="22" t="s">
        <v>218</v>
      </c>
      <c r="B175" s="28">
        <v>119</v>
      </c>
      <c r="C175" s="29">
        <v>2000</v>
      </c>
    </row>
    <row r="176" spans="1:3" x14ac:dyDescent="0.3">
      <c r="A176" s="22" t="s">
        <v>219</v>
      </c>
      <c r="B176" s="28">
        <v>4449</v>
      </c>
      <c r="C176" s="29">
        <v>60000</v>
      </c>
    </row>
    <row r="177" spans="1:3" x14ac:dyDescent="0.3">
      <c r="A177" s="22" t="s">
        <v>220</v>
      </c>
      <c r="B177" s="28">
        <v>474395</v>
      </c>
      <c r="C177" s="29">
        <v>2110000</v>
      </c>
    </row>
    <row r="178" spans="1:3" x14ac:dyDescent="0.3">
      <c r="A178" s="22" t="s">
        <v>221</v>
      </c>
      <c r="B178" s="28">
        <v>7094</v>
      </c>
      <c r="C178" s="29">
        <v>90000</v>
      </c>
    </row>
    <row r="179" spans="1:3" x14ac:dyDescent="0.3">
      <c r="A179" s="22" t="s">
        <v>222</v>
      </c>
      <c r="B179" s="28">
        <v>134</v>
      </c>
      <c r="C179" s="29">
        <v>15000</v>
      </c>
    </row>
    <row r="180" spans="1:3" x14ac:dyDescent="0.3">
      <c r="A180" s="22" t="s">
        <v>223</v>
      </c>
      <c r="B180" s="28">
        <v>1142</v>
      </c>
      <c r="C180" s="29">
        <v>750000</v>
      </c>
    </row>
    <row r="181" spans="1:3" x14ac:dyDescent="0.3">
      <c r="A181" s="22" t="s">
        <v>224</v>
      </c>
      <c r="B181" s="28"/>
      <c r="C181" s="29"/>
    </row>
    <row r="182" spans="1:3" x14ac:dyDescent="0.3">
      <c r="A182" s="22" t="s">
        <v>225</v>
      </c>
      <c r="B182" s="28"/>
      <c r="C182" s="29">
        <v>700</v>
      </c>
    </row>
    <row r="183" spans="1:3" x14ac:dyDescent="0.3">
      <c r="A183" s="22" t="s">
        <v>226</v>
      </c>
      <c r="B183" s="28"/>
      <c r="C183" s="29"/>
    </row>
    <row r="184" spans="1:3" x14ac:dyDescent="0.3">
      <c r="A184" s="22" t="s">
        <v>227</v>
      </c>
      <c r="B184" s="28">
        <v>593850</v>
      </c>
      <c r="C184" s="29">
        <v>2288000</v>
      </c>
    </row>
    <row r="185" spans="1:3" x14ac:dyDescent="0.3">
      <c r="A185" s="22" t="s">
        <v>228</v>
      </c>
      <c r="B185" s="28">
        <v>726</v>
      </c>
      <c r="C185" s="29">
        <v>180000</v>
      </c>
    </row>
    <row r="186" spans="1:3" x14ac:dyDescent="0.3">
      <c r="A186" s="22" t="s">
        <v>229</v>
      </c>
      <c r="B186" s="28">
        <v>15124</v>
      </c>
      <c r="C186" s="29">
        <v>1500000</v>
      </c>
    </row>
    <row r="187" spans="1:3" x14ac:dyDescent="0.3">
      <c r="A187" s="22" t="s">
        <v>230</v>
      </c>
      <c r="B187" s="28"/>
      <c r="C187" s="29"/>
    </row>
    <row r="188" spans="1:3" x14ac:dyDescent="0.3">
      <c r="A188" s="22" t="s">
        <v>231</v>
      </c>
      <c r="B188" s="28"/>
      <c r="C188" s="29"/>
    </row>
    <row r="189" spans="1:3" x14ac:dyDescent="0.3">
      <c r="A189" s="22" t="s">
        <v>232</v>
      </c>
      <c r="B189" s="28">
        <v>7129</v>
      </c>
      <c r="C189" s="29">
        <v>120000</v>
      </c>
    </row>
    <row r="190" spans="1:3" x14ac:dyDescent="0.3">
      <c r="A190" s="22" t="s">
        <v>233</v>
      </c>
      <c r="B190" s="28">
        <v>389</v>
      </c>
      <c r="C190" s="29">
        <v>75000</v>
      </c>
    </row>
    <row r="191" spans="1:3" x14ac:dyDescent="0.3">
      <c r="A191" s="22" t="s">
        <v>234</v>
      </c>
      <c r="B191" s="28">
        <v>9243</v>
      </c>
      <c r="C191" s="29">
        <v>120000</v>
      </c>
    </row>
    <row r="192" spans="1:3" x14ac:dyDescent="0.3">
      <c r="A192" s="22" t="s">
        <v>235</v>
      </c>
      <c r="B192" s="28">
        <v>65868</v>
      </c>
      <c r="C192" s="29">
        <v>2850000</v>
      </c>
    </row>
    <row r="193" spans="1:3" x14ac:dyDescent="0.3">
      <c r="A193" s="22" t="s">
        <v>236</v>
      </c>
      <c r="B193" s="28">
        <v>38440</v>
      </c>
      <c r="C193" s="29">
        <v>3500000</v>
      </c>
    </row>
    <row r="194" spans="1:3" x14ac:dyDescent="0.3">
      <c r="A194" s="22" t="s">
        <v>237</v>
      </c>
      <c r="B194" s="28"/>
      <c r="C194" s="29"/>
    </row>
    <row r="195" spans="1:3" x14ac:dyDescent="0.3">
      <c r="A195" s="22" t="s">
        <v>238</v>
      </c>
      <c r="B195" s="28">
        <v>804915</v>
      </c>
      <c r="C195" s="29">
        <v>8970000</v>
      </c>
    </row>
    <row r="196" spans="1:3" x14ac:dyDescent="0.3">
      <c r="A196" s="22" t="s">
        <v>239</v>
      </c>
      <c r="B196" s="28">
        <v>346078</v>
      </c>
      <c r="C196" s="29">
        <v>3600000</v>
      </c>
    </row>
    <row r="197" spans="1:3" x14ac:dyDescent="0.3">
      <c r="A197" s="22" t="s">
        <v>240</v>
      </c>
      <c r="B197" s="28"/>
      <c r="C197" s="29">
        <v>600000</v>
      </c>
    </row>
    <row r="198" spans="1:3" x14ac:dyDescent="0.3">
      <c r="A198" s="22" t="s">
        <v>241</v>
      </c>
      <c r="B198" s="28">
        <v>221</v>
      </c>
      <c r="C198" s="29">
        <v>126000</v>
      </c>
    </row>
    <row r="199" spans="1:3" x14ac:dyDescent="0.3">
      <c r="A199" s="22" t="s">
        <v>242</v>
      </c>
      <c r="B199" s="28"/>
      <c r="C199" s="29">
        <v>150000</v>
      </c>
    </row>
    <row r="200" spans="1:3" x14ac:dyDescent="0.3">
      <c r="A200" s="22" t="s">
        <v>243</v>
      </c>
      <c r="B200" s="28">
        <v>50807</v>
      </c>
      <c r="C200" s="29">
        <v>4000000</v>
      </c>
    </row>
    <row r="201" spans="1:3" x14ac:dyDescent="0.3">
      <c r="A201" s="22" t="s">
        <v>244</v>
      </c>
      <c r="B201" s="28">
        <v>560874</v>
      </c>
      <c r="C201" s="29">
        <v>6000000</v>
      </c>
    </row>
    <row r="202" spans="1:3" x14ac:dyDescent="0.3">
      <c r="A202" s="22" t="s">
        <v>245</v>
      </c>
      <c r="B202" s="28">
        <v>1495</v>
      </c>
      <c r="C202" s="29">
        <v>25000</v>
      </c>
    </row>
    <row r="203" spans="1:3" x14ac:dyDescent="0.3">
      <c r="A203" s="22" t="s">
        <v>246</v>
      </c>
      <c r="B203" s="28"/>
      <c r="C203" s="29">
        <v>500</v>
      </c>
    </row>
    <row r="204" spans="1:3" x14ac:dyDescent="0.3">
      <c r="A204" s="22" t="s">
        <v>247</v>
      </c>
      <c r="B204" s="28">
        <v>51</v>
      </c>
      <c r="C204" s="29">
        <v>10000</v>
      </c>
    </row>
    <row r="205" spans="1:3" x14ac:dyDescent="0.3">
      <c r="A205" s="22" t="s">
        <v>248</v>
      </c>
      <c r="B205" s="28">
        <v>41</v>
      </c>
      <c r="C205" s="29">
        <v>13000</v>
      </c>
    </row>
    <row r="206" spans="1:3" x14ac:dyDescent="0.3">
      <c r="A206" s="22" t="s">
        <v>249</v>
      </c>
      <c r="B206" s="28"/>
      <c r="C206" s="29"/>
    </row>
    <row r="207" spans="1:3" x14ac:dyDescent="0.3">
      <c r="A207" s="22" t="s">
        <v>250</v>
      </c>
      <c r="B207" s="28">
        <v>4</v>
      </c>
      <c r="C207" s="29">
        <v>7000</v>
      </c>
    </row>
    <row r="208" spans="1:3" x14ac:dyDescent="0.3">
      <c r="A208" s="22" t="s">
        <v>251</v>
      </c>
      <c r="B208" s="28">
        <v>8225</v>
      </c>
      <c r="C208" s="29">
        <v>4000</v>
      </c>
    </row>
    <row r="209" spans="1:3" x14ac:dyDescent="0.3">
      <c r="A209" s="22" t="s">
        <v>252</v>
      </c>
      <c r="B209" s="28">
        <v>1763</v>
      </c>
      <c r="C209" s="29">
        <v>14300</v>
      </c>
    </row>
    <row r="210" spans="1:3" x14ac:dyDescent="0.3">
      <c r="A210" s="22" t="s">
        <v>253</v>
      </c>
      <c r="B210" s="28">
        <v>1069</v>
      </c>
      <c r="C210" s="29">
        <v>15000</v>
      </c>
    </row>
    <row r="211" spans="1:3" x14ac:dyDescent="0.3">
      <c r="A211" s="22" t="s">
        <v>254</v>
      </c>
      <c r="B211" s="28">
        <v>15931</v>
      </c>
      <c r="C211" s="29">
        <v>1500000</v>
      </c>
    </row>
    <row r="212" spans="1:3" x14ac:dyDescent="0.3">
      <c r="A212" s="22" t="s">
        <v>255</v>
      </c>
      <c r="B212" s="28">
        <v>672</v>
      </c>
      <c r="C212" s="29">
        <v>225000</v>
      </c>
    </row>
    <row r="213" spans="1:3" x14ac:dyDescent="0.3">
      <c r="A213" s="22" t="s">
        <v>256</v>
      </c>
      <c r="B213" s="28">
        <v>20207</v>
      </c>
      <c r="C213" s="29">
        <v>847000</v>
      </c>
    </row>
    <row r="214" spans="1:3" x14ac:dyDescent="0.3">
      <c r="A214" s="22" t="s">
        <v>257</v>
      </c>
      <c r="B214" s="28">
        <v>264</v>
      </c>
      <c r="C214" s="29">
        <v>11700</v>
      </c>
    </row>
    <row r="215" spans="1:3" x14ac:dyDescent="0.3">
      <c r="A215" s="22" t="s">
        <v>258</v>
      </c>
      <c r="B215" s="28">
        <v>277</v>
      </c>
      <c r="C215" s="29">
        <v>8000</v>
      </c>
    </row>
    <row r="216" spans="1:3" x14ac:dyDescent="0.3">
      <c r="A216" s="22" t="s">
        <v>259</v>
      </c>
      <c r="B216" s="28">
        <v>484825</v>
      </c>
      <c r="C216" s="29">
        <v>2310000</v>
      </c>
    </row>
    <row r="217" spans="1:3" x14ac:dyDescent="0.3">
      <c r="A217" s="22" t="s">
        <v>260</v>
      </c>
      <c r="B217" s="28">
        <v>89592</v>
      </c>
      <c r="C217" s="29">
        <v>1375800</v>
      </c>
    </row>
    <row r="218" spans="1:3" x14ac:dyDescent="0.3">
      <c r="A218" s="22" t="s">
        <v>261</v>
      </c>
      <c r="B218" s="28">
        <v>45491</v>
      </c>
      <c r="C218" s="29">
        <v>750000</v>
      </c>
    </row>
    <row r="219" spans="1:3" x14ac:dyDescent="0.3">
      <c r="A219" s="22" t="s">
        <v>262</v>
      </c>
      <c r="B219" s="28">
        <v>398</v>
      </c>
      <c r="C219" s="29">
        <v>2200</v>
      </c>
    </row>
    <row r="220" spans="1:3" x14ac:dyDescent="0.3">
      <c r="A220" s="22" t="s">
        <v>263</v>
      </c>
      <c r="B220" s="28">
        <v>4</v>
      </c>
      <c r="C220" s="29">
        <v>89000</v>
      </c>
    </row>
    <row r="221" spans="1:3" x14ac:dyDescent="0.3">
      <c r="A221" s="22" t="s">
        <v>264</v>
      </c>
      <c r="B221" s="28">
        <v>288633</v>
      </c>
      <c r="C221" s="29">
        <v>3100000</v>
      </c>
    </row>
    <row r="222" spans="1:3" x14ac:dyDescent="0.3">
      <c r="A222" s="22" t="s">
        <v>265</v>
      </c>
      <c r="B222" s="28"/>
      <c r="C222" s="29"/>
    </row>
    <row r="223" spans="1:3" x14ac:dyDescent="0.3">
      <c r="A223" s="22" t="s">
        <v>266</v>
      </c>
      <c r="B223" s="28">
        <v>1056950</v>
      </c>
      <c r="C223" s="29">
        <v>9789000</v>
      </c>
    </row>
    <row r="224" spans="1:3" x14ac:dyDescent="0.3">
      <c r="A224" s="22" t="s">
        <v>267</v>
      </c>
      <c r="B224" s="28"/>
      <c r="C224" s="29"/>
    </row>
    <row r="225" spans="1:3" x14ac:dyDescent="0.3">
      <c r="A225" s="22" t="s">
        <v>268</v>
      </c>
      <c r="B225" s="28">
        <v>1882</v>
      </c>
      <c r="C225" s="29">
        <v>200000</v>
      </c>
    </row>
    <row r="226" spans="1:3" x14ac:dyDescent="0.3">
      <c r="A226" s="22" t="s">
        <v>269</v>
      </c>
      <c r="B226" s="28"/>
      <c r="C226" s="29">
        <v>300000</v>
      </c>
    </row>
    <row r="227" spans="1:3" x14ac:dyDescent="0.3">
      <c r="A227" s="22" t="s">
        <v>270</v>
      </c>
      <c r="B227" s="28">
        <v>18</v>
      </c>
      <c r="C227" s="29">
        <v>20000</v>
      </c>
    </row>
    <row r="228" spans="1:3" x14ac:dyDescent="0.3">
      <c r="A228" s="22" t="s">
        <v>271</v>
      </c>
      <c r="B228" s="28"/>
      <c r="C228" s="29"/>
    </row>
    <row r="229" spans="1:3" x14ac:dyDescent="0.3">
      <c r="A229" s="22" t="s">
        <v>272</v>
      </c>
      <c r="B229" s="28">
        <v>1401</v>
      </c>
      <c r="C229" s="29">
        <v>27000</v>
      </c>
    </row>
    <row r="230" spans="1:3" x14ac:dyDescent="0.3">
      <c r="A230" s="22" t="s">
        <v>273</v>
      </c>
      <c r="B230" s="28">
        <v>945221</v>
      </c>
      <c r="C230" s="29">
        <v>5125000</v>
      </c>
    </row>
    <row r="231" spans="1:3" x14ac:dyDescent="0.3">
      <c r="A231" s="22" t="s">
        <v>274</v>
      </c>
      <c r="B231" s="28">
        <v>667275</v>
      </c>
      <c r="C231" s="29">
        <v>2556000</v>
      </c>
    </row>
    <row r="232" spans="1:3" x14ac:dyDescent="0.3">
      <c r="A232" s="22" t="s">
        <v>275</v>
      </c>
      <c r="B232" s="28">
        <v>11</v>
      </c>
      <c r="C232" s="29">
        <v>220000</v>
      </c>
    </row>
    <row r="233" spans="1:3" x14ac:dyDescent="0.3">
      <c r="A233" s="22" t="s">
        <v>276</v>
      </c>
      <c r="B233" s="28">
        <v>2777085</v>
      </c>
      <c r="C233" s="29">
        <v>13800000</v>
      </c>
    </row>
    <row r="234" spans="1:3" x14ac:dyDescent="0.3">
      <c r="A234" s="22" t="s">
        <v>277</v>
      </c>
      <c r="B234" s="28">
        <v>69</v>
      </c>
      <c r="C234" s="29">
        <v>4100</v>
      </c>
    </row>
    <row r="235" spans="1:3" x14ac:dyDescent="0.3">
      <c r="A235" s="22" t="s">
        <v>278</v>
      </c>
      <c r="B235" s="28">
        <v>5534</v>
      </c>
      <c r="C235" s="29">
        <v>250000</v>
      </c>
    </row>
    <row r="236" spans="1:3" x14ac:dyDescent="0.3">
      <c r="A236" s="22" t="s">
        <v>279</v>
      </c>
      <c r="B236" s="28">
        <v>103700</v>
      </c>
      <c r="C236" s="29">
        <v>6971500</v>
      </c>
    </row>
    <row r="237" spans="1:3" x14ac:dyDescent="0.3">
      <c r="A237" s="22" t="s">
        <v>280</v>
      </c>
      <c r="B237" s="28">
        <v>82</v>
      </c>
      <c r="C237" s="29">
        <v>210000</v>
      </c>
    </row>
    <row r="238" spans="1:3" x14ac:dyDescent="0.3">
      <c r="A238" s="22" t="s">
        <v>281</v>
      </c>
      <c r="B238" s="28"/>
      <c r="C238" s="29"/>
    </row>
    <row r="239" spans="1:3" x14ac:dyDescent="0.3">
      <c r="A239" s="22" t="s">
        <v>282</v>
      </c>
      <c r="B239" s="28">
        <v>18906</v>
      </c>
      <c r="C239" s="29">
        <v>2900</v>
      </c>
    </row>
    <row r="240" spans="1:3" x14ac:dyDescent="0.3">
      <c r="A240" s="22" t="s">
        <v>283</v>
      </c>
      <c r="B240" s="28">
        <v>8003</v>
      </c>
      <c r="C240" s="29">
        <v>138000</v>
      </c>
    </row>
    <row r="241" spans="1:3" x14ac:dyDescent="0.3">
      <c r="A241" s="22" t="s">
        <v>284</v>
      </c>
      <c r="B241" s="28"/>
      <c r="C241" s="29"/>
    </row>
    <row r="242" spans="1:3" x14ac:dyDescent="0.3">
      <c r="A242" s="22" t="s">
        <v>285</v>
      </c>
      <c r="B242" s="28">
        <v>281</v>
      </c>
      <c r="C242" s="29">
        <v>630000</v>
      </c>
    </row>
    <row r="243" spans="1:3" x14ac:dyDescent="0.3">
      <c r="A243" s="22" t="s">
        <v>286</v>
      </c>
      <c r="B243" s="28">
        <v>355215</v>
      </c>
      <c r="C243" s="29">
        <v>5500000</v>
      </c>
    </row>
    <row r="244" spans="1:3" x14ac:dyDescent="0.3">
      <c r="A244" s="22" t="s">
        <v>287</v>
      </c>
      <c r="B244" s="28">
        <v>524</v>
      </c>
      <c r="C244" s="29">
        <v>8000</v>
      </c>
    </row>
    <row r="245" spans="1:3" x14ac:dyDescent="0.3">
      <c r="A245" s="22" t="s">
        <v>288</v>
      </c>
      <c r="B245" s="28"/>
      <c r="C245" s="29"/>
    </row>
    <row r="246" spans="1:3" x14ac:dyDescent="0.3">
      <c r="A246" s="22" t="s">
        <v>289</v>
      </c>
      <c r="B246" s="28"/>
      <c r="C246" s="29">
        <v>1300</v>
      </c>
    </row>
    <row r="247" spans="1:3" x14ac:dyDescent="0.3">
      <c r="A247" s="22" t="s">
        <v>290</v>
      </c>
      <c r="B247" s="28">
        <v>2692</v>
      </c>
      <c r="C247" s="29">
        <v>125000</v>
      </c>
    </row>
    <row r="248" spans="1:3" x14ac:dyDescent="0.3">
      <c r="A248" s="22" t="s">
        <v>291</v>
      </c>
      <c r="B248" s="28">
        <v>94345</v>
      </c>
      <c r="C248" s="29">
        <v>3800000</v>
      </c>
    </row>
    <row r="249" spans="1:3" x14ac:dyDescent="0.3">
      <c r="A249" s="22" t="s">
        <v>292</v>
      </c>
      <c r="B249" s="28">
        <v>56283</v>
      </c>
      <c r="C249" s="29">
        <v>1110200</v>
      </c>
    </row>
    <row r="250" spans="1:3" x14ac:dyDescent="0.3">
      <c r="A250" s="22" t="s">
        <v>293</v>
      </c>
      <c r="B250" s="28">
        <v>3398708</v>
      </c>
      <c r="C250" s="29">
        <v>25000000</v>
      </c>
    </row>
    <row r="251" spans="1:3" x14ac:dyDescent="0.3">
      <c r="A251" s="22" t="s">
        <v>294</v>
      </c>
      <c r="B251" s="28">
        <v>115311958</v>
      </c>
      <c r="C251" s="29">
        <v>159000000</v>
      </c>
    </row>
    <row r="252" spans="1:3" x14ac:dyDescent="0.3">
      <c r="A252" s="22" t="s">
        <v>295</v>
      </c>
      <c r="B252" s="28">
        <v>87630</v>
      </c>
      <c r="C252" s="29">
        <v>400000</v>
      </c>
    </row>
    <row r="253" spans="1:3" x14ac:dyDescent="0.3">
      <c r="A253" s="22" t="s">
        <v>296</v>
      </c>
      <c r="B253" s="28">
        <v>1040</v>
      </c>
      <c r="C253" s="29">
        <v>492000</v>
      </c>
    </row>
    <row r="254" spans="1:3" x14ac:dyDescent="0.3">
      <c r="A254" s="22" t="s">
        <v>297</v>
      </c>
      <c r="B254" s="28">
        <v>512</v>
      </c>
      <c r="C254" s="29">
        <v>7500</v>
      </c>
    </row>
    <row r="255" spans="1:3" x14ac:dyDescent="0.3">
      <c r="A255" s="22" t="s">
        <v>298</v>
      </c>
      <c r="B255" s="28">
        <v>35301</v>
      </c>
      <c r="C255" s="29">
        <v>1274400</v>
      </c>
    </row>
    <row r="256" spans="1:3" x14ac:dyDescent="0.3">
      <c r="A256" s="22" t="s">
        <v>299</v>
      </c>
      <c r="B256" s="28">
        <v>340</v>
      </c>
      <c r="C256" s="29">
        <v>3500000</v>
      </c>
    </row>
    <row r="257" spans="1:3" x14ac:dyDescent="0.3">
      <c r="A257" s="22" t="s">
        <v>300</v>
      </c>
      <c r="B257" s="28"/>
      <c r="C257" s="29">
        <v>30000</v>
      </c>
    </row>
    <row r="258" spans="1:3" x14ac:dyDescent="0.3">
      <c r="A258" s="22" t="s">
        <v>301</v>
      </c>
      <c r="B258" s="28"/>
      <c r="C258" s="29"/>
    </row>
    <row r="259" spans="1:3" x14ac:dyDescent="0.3">
      <c r="A259" s="22" t="s">
        <v>302</v>
      </c>
      <c r="B259" s="28"/>
      <c r="C259" s="29">
        <v>900</v>
      </c>
    </row>
    <row r="260" spans="1:3" x14ac:dyDescent="0.3">
      <c r="A260" s="22" t="s">
        <v>303</v>
      </c>
      <c r="B260" s="28"/>
      <c r="C260" s="29">
        <v>145000</v>
      </c>
    </row>
    <row r="261" spans="1:3" x14ac:dyDescent="0.3">
      <c r="A261" s="22" t="s">
        <v>304</v>
      </c>
      <c r="B261" s="28"/>
      <c r="C261" s="29"/>
    </row>
    <row r="262" spans="1:3" x14ac:dyDescent="0.3">
      <c r="A262" s="22" t="s">
        <v>305</v>
      </c>
      <c r="B262" s="28">
        <v>138</v>
      </c>
      <c r="C262" s="29">
        <v>100000</v>
      </c>
    </row>
    <row r="263" spans="1:3" x14ac:dyDescent="0.3">
      <c r="A263" s="22" t="s">
        <v>306</v>
      </c>
      <c r="B263" s="28">
        <v>1880</v>
      </c>
      <c r="C263" s="29">
        <v>68200</v>
      </c>
    </row>
    <row r="264" spans="1:3" x14ac:dyDescent="0.3">
      <c r="A264" s="22" t="s">
        <v>307</v>
      </c>
      <c r="B264" s="28">
        <v>4501</v>
      </c>
      <c r="C264" s="29">
        <v>500000</v>
      </c>
    </row>
    <row r="265" spans="1:3" x14ac:dyDescent="0.3">
      <c r="A265" s="23" t="s">
        <v>330</v>
      </c>
      <c r="B265" s="30">
        <v>193410220</v>
      </c>
      <c r="C265" s="31">
        <v>908287676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E720-B11A-475B-BFE8-89063CB0A63E}">
  <dimension ref="A1"/>
  <sheetViews>
    <sheetView showGridLines="0" workbookViewId="0">
      <selection activeCell="V7" sqref="V7"/>
    </sheetView>
  </sheetViews>
  <sheetFormatPr defaultRowHeight="14.4" x14ac:dyDescent="0.3"/>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Raw_Data</vt:lpstr>
      <vt:lpstr>Filetred Data</vt:lpstr>
      <vt:lpstr>EDA and Stats</vt:lpstr>
      <vt:lpstr>Analysis and visual 1</vt:lpstr>
      <vt:lpstr>Analysis and visual 2</vt:lpstr>
      <vt:lpstr>Analysis and visual 3</vt:lpstr>
      <vt:lpstr>Analysis and visual 4</vt:lpstr>
      <vt:lpstr>Dashboard</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Swatick M</cp:lastModifiedBy>
  <dcterms:created xsi:type="dcterms:W3CDTF">2021-11-19T12:28:21Z</dcterms:created>
  <dcterms:modified xsi:type="dcterms:W3CDTF">2021-11-23T16:05:23Z</dcterms:modified>
  <cp:category/>
</cp:coreProperties>
</file>