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UHHY7gpHGMzdMXQls+4SDeMe5BjcJ7FJVaIh4JSXp0="/>
    </ext>
  </extLst>
</workbook>
</file>

<file path=xl/sharedStrings.xml><?xml version="1.0" encoding="utf-8"?>
<sst xmlns="http://schemas.openxmlformats.org/spreadsheetml/2006/main" count="131" uniqueCount="91">
  <si>
    <t>Costs</t>
  </si>
  <si>
    <t>Volume</t>
  </si>
  <si>
    <t>Tier 1</t>
  </si>
  <si>
    <t>Server Rent / Month /tier(£)</t>
  </si>
  <si>
    <t>Tier 2</t>
  </si>
  <si>
    <t>Server Rent</t>
  </si>
  <si>
    <t>Tier 3</t>
  </si>
  <si>
    <t>Salary</t>
  </si>
  <si>
    <t>Server Fee / Month (£)</t>
  </si>
  <si>
    <t>Total Clients</t>
  </si>
  <si>
    <t>Loan Interest</t>
  </si>
  <si>
    <t>Max Total Users</t>
  </si>
  <si>
    <t>Project Dev</t>
  </si>
  <si>
    <t>Paying Off Loan</t>
  </si>
  <si>
    <t>Employee Salary / hour (£)</t>
  </si>
  <si>
    <t>Cash In</t>
  </si>
  <si>
    <t>Employee Salary / Week  (£)</t>
  </si>
  <si>
    <t>loan 1</t>
  </si>
  <si>
    <t>Weekly hours</t>
  </si>
  <si>
    <t>loan 2</t>
  </si>
  <si>
    <t>Gross In</t>
  </si>
  <si>
    <t>working weeks / year</t>
  </si>
  <si>
    <t>Cash Out</t>
  </si>
  <si>
    <t>Employee Count</t>
  </si>
  <si>
    <t>Loan 1 Interest</t>
  </si>
  <si>
    <t>Loan 2 Interest</t>
  </si>
  <si>
    <t>Labour Cost / year (£)</t>
  </si>
  <si>
    <t>Server Cost / Year (£)</t>
  </si>
  <si>
    <t>Gross Out</t>
  </si>
  <si>
    <t>1st Loan interest (%)</t>
  </si>
  <si>
    <t>Total</t>
  </si>
  <si>
    <t>Balance In</t>
  </si>
  <si>
    <t>Balance Out</t>
  </si>
  <si>
    <t>2nd Loan interest (%)</t>
  </si>
  <si>
    <t>Net profit</t>
  </si>
  <si>
    <t>NPV</t>
  </si>
  <si>
    <t>i</t>
  </si>
  <si>
    <t xml:space="preserve">PV </t>
  </si>
  <si>
    <t>NPV Terms</t>
  </si>
  <si>
    <t>Membership Price / Month (£)</t>
  </si>
  <si>
    <t>Users</t>
  </si>
  <si>
    <t>0-500</t>
  </si>
  <si>
    <t>500-2000</t>
  </si>
  <si>
    <t>Incurred Costs</t>
  </si>
  <si>
    <t>2000-5000</t>
  </si>
  <si>
    <t>estimated remaining work</t>
  </si>
  <si>
    <t>5000+</t>
  </si>
  <si>
    <t>per month</t>
  </si>
  <si>
    <t>2.99/person</t>
  </si>
  <si>
    <t>estimated remaining cost</t>
  </si>
  <si>
    <t>Membership Price / Year (£)</t>
  </si>
  <si>
    <t>FBP estimated hours</t>
  </si>
  <si>
    <t>FBP estimated Labour cost</t>
  </si>
  <si>
    <t>FBP calced rent</t>
  </si>
  <si>
    <t>FBP estimated remaining hours</t>
  </si>
  <si>
    <t>FBP estimated remaining cost</t>
  </si>
  <si>
    <t>per year</t>
  </si>
  <si>
    <t>35.88/person</t>
  </si>
  <si>
    <t>current overspend hours</t>
  </si>
  <si>
    <t xml:space="preserve">current overspend </t>
  </si>
  <si>
    <t>Interest for period</t>
  </si>
  <si>
    <t>weeks left 1</t>
  </si>
  <si>
    <t>2nd Loan</t>
  </si>
  <si>
    <t>Interest 1 payment left</t>
  </si>
  <si>
    <t>weeks left 2</t>
  </si>
  <si>
    <t>Interest</t>
  </si>
  <si>
    <t>interest 2 Payment left</t>
  </si>
  <si>
    <t>Total for 2023</t>
  </si>
  <si>
    <t>Total for Project</t>
  </si>
  <si>
    <t>Total According to FBP</t>
  </si>
  <si>
    <t>2023: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</si>
  <si>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</si>
  <si>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</si>
  <si>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</si>
  <si>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</si>
  <si>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</si>
  <si>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</si>
  <si>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</si>
  <si>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Cash In </t>
  </si>
  <si>
    <t>Initial</t>
  </si>
  <si>
    <t>Membership</t>
  </si>
  <si>
    <t>Reskin Price</t>
  </si>
  <si>
    <t>Client No</t>
  </si>
  <si>
    <t>Current Number</t>
  </si>
  <si>
    <t>With Structure Changes</t>
  </si>
  <si>
    <t>Without Structure Changes</t>
  </si>
  <si>
    <t xml:space="preserve">Rent </t>
  </si>
  <si>
    <t>Utilites</t>
  </si>
  <si>
    <t>Gross Expenditure</t>
  </si>
  <si>
    <t>Post Launch</t>
  </si>
  <si>
    <t>Development Stage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</si>
</sst>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_);\(#,##0.00\)"/>
    <numFmt numFmtId="165" formatCode="_([$£-809]* #,##0.00_);_([$£-809]* \(#,##0.00\);_([$£-809]* &quot;-&quot;??_);_(@_)"/>
    <numFmt numFmtId="166" formatCode="_-&quot;£&quot;* #,##0.00_-;\-&quot;£&quot;* #,##0.00_-;_-&quot;£&quot;* &quot;-&quot;??_-;_-@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  <font>
      <sz val="10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9" fillId="0" fontId="1" numFmtId="0" xfId="0" applyBorder="1" applyFont="1"/>
    <xf borderId="0" fillId="0" fontId="3" numFmtId="0" xfId="0" applyAlignment="1" applyFont="1">
      <alignment horizontal="center"/>
    </xf>
    <xf borderId="0" fillId="0" fontId="3" numFmtId="3" xfId="0" applyAlignment="1" applyFont="1" applyNumberFormat="1">
      <alignment horizontal="center" vertical="center"/>
    </xf>
    <xf borderId="10" fillId="0" fontId="3" numFmtId="3" xfId="0" applyAlignment="1" applyBorder="1" applyFont="1" applyNumberForma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9" fillId="0" fontId="3" numFmtId="0" xfId="0" applyBorder="1" applyFont="1"/>
    <xf borderId="0" fillId="0" fontId="3" numFmtId="3" xfId="0" applyAlignment="1" applyFont="1" applyNumberFormat="1">
      <alignment horizontal="center"/>
    </xf>
    <xf borderId="10" fillId="0" fontId="3" numFmtId="3" xfId="0" applyAlignment="1" applyBorder="1" applyFont="1" applyNumberFormat="1">
      <alignment horizontal="center"/>
    </xf>
    <xf borderId="0" fillId="0" fontId="4" numFmtId="0" xfId="0" applyFont="1"/>
    <xf borderId="0" fillId="0" fontId="3" numFmtId="0" xfId="0" applyFont="1"/>
    <xf borderId="7" fillId="0" fontId="3" numFmtId="0" xfId="0" applyBorder="1" applyFont="1"/>
    <xf borderId="8" fillId="0" fontId="3" numFmtId="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8" fillId="0" fontId="3" numFmtId="0" xfId="0" applyBorder="1" applyFont="1"/>
    <xf borderId="0" fillId="0" fontId="3" numFmtId="4" xfId="0" applyFont="1" applyNumberFormat="1"/>
    <xf borderId="10" fillId="0" fontId="3" numFmtId="0" xfId="0" applyBorder="1" applyFont="1"/>
    <xf borderId="11" fillId="0" fontId="3" numFmtId="0" xfId="0" applyBorder="1" applyFont="1"/>
    <xf borderId="12" fillId="0" fontId="3" numFmtId="0" xfId="0" applyAlignment="1" applyBorder="1" applyFont="1">
      <alignment horizontal="center"/>
    </xf>
    <xf borderId="12" fillId="0" fontId="3" numFmtId="3" xfId="0" applyAlignment="1" applyBorder="1" applyFont="1" applyNumberFormat="1">
      <alignment horizontal="center" vertical="center"/>
    </xf>
    <xf borderId="13" fillId="0" fontId="3" numFmtId="3" xfId="0" applyAlignment="1" applyBorder="1" applyFont="1" applyNumberFormat="1">
      <alignment horizontal="center" vertical="center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0" fillId="0" fontId="1" numFmtId="0" xfId="0" applyFont="1"/>
    <xf borderId="0" fillId="0" fontId="3" numFmtId="164" xfId="0" applyAlignment="1" applyFont="1" applyNumberFormat="1">
      <alignment horizontal="center"/>
    </xf>
    <xf borderId="0" fillId="0" fontId="3" numFmtId="164" xfId="0" applyFont="1" applyNumberFormat="1"/>
    <xf borderId="4" fillId="0" fontId="1" numFmtId="0" xfId="0" applyAlignment="1" applyBorder="1" applyFont="1">
      <alignment horizontal="center" vertical="center"/>
    </xf>
    <xf borderId="5" fillId="0" fontId="2" numFmtId="0" xfId="0" applyBorder="1" applyFont="1"/>
    <xf borderId="6" fillId="0" fontId="3" numFmtId="164" xfId="0" applyAlignment="1" applyBorder="1" applyFont="1" applyNumberForma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7" fillId="0" fontId="1" numFmtId="0" xfId="0" applyBorder="1" applyFont="1"/>
    <xf borderId="8" fillId="0" fontId="3" numFmtId="0" xfId="0" applyAlignment="1" applyBorder="1" applyFont="1">
      <alignment horizontal="center"/>
    </xf>
    <xf borderId="14" fillId="0" fontId="3" numFmtId="0" xfId="0" applyBorder="1" applyFont="1"/>
    <xf borderId="15" fillId="0" fontId="3" numFmtId="0" xfId="0" applyAlignment="1" applyBorder="1" applyFont="1">
      <alignment horizontal="center" vertical="center"/>
    </xf>
    <xf borderId="16" fillId="0" fontId="3" numFmtId="0" xfId="0" applyBorder="1" applyFont="1"/>
    <xf borderId="17" fillId="2" fontId="5" numFmtId="3" xfId="0" applyBorder="1" applyFill="1" applyFont="1" applyNumberFormat="1"/>
    <xf borderId="5" fillId="0" fontId="1" numFmtId="0" xfId="0" applyAlignment="1" applyBorder="1" applyFont="1">
      <alignment horizontal="right"/>
    </xf>
    <xf borderId="5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0" fillId="0" fontId="3" numFmtId="0" xfId="0" applyAlignment="1" applyFont="1">
      <alignment horizontal="left"/>
    </xf>
    <xf borderId="0" fillId="0" fontId="3" numFmtId="165" xfId="0" applyAlignment="1" applyFont="1" applyNumberFormat="1">
      <alignment horizontal="center"/>
    </xf>
    <xf borderId="10" fillId="0" fontId="3" numFmtId="165" xfId="0" applyAlignment="1" applyBorder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11" fillId="0" fontId="1" numFmtId="0" xfId="0" applyBorder="1" applyFont="1"/>
    <xf borderId="12" fillId="0" fontId="3" numFmtId="0" xfId="0" applyAlignment="1" applyBorder="1" applyFont="1">
      <alignment horizontal="left"/>
    </xf>
    <xf borderId="12" fillId="0" fontId="3" numFmtId="1" xfId="0" applyAlignment="1" applyBorder="1" applyFont="1" applyNumberFormat="1">
      <alignment horizontal="center"/>
    </xf>
    <xf borderId="13" fillId="0" fontId="3" numFmtId="165" xfId="0" applyAlignment="1" applyBorder="1" applyFont="1" applyNumberFormat="1">
      <alignment horizontal="center"/>
    </xf>
    <xf borderId="0" fillId="0" fontId="6" numFmtId="0" xfId="0" applyFont="1"/>
    <xf borderId="0" fillId="0" fontId="3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Gross Monthly Expenditure</a:t>
            </a:r>
          </a:p>
        </c:rich>
      </c:tx>
      <c:overlay val="0"/>
    </c:title>
    <c:plotArea>
      <c:layout>
        <c:manualLayout>
          <c:xMode val="edge"/>
          <c:yMode val="edge"/>
          <c:x val="0.1664284776902887"/>
          <c:y val="0.134934041610318"/>
          <c:w val="0.811349300087489"/>
          <c:h val="0.7850295896804075"/>
        </c:manualLayout>
      </c:layout>
      <c:barChart>
        <c:barDir val="col"/>
        <c:ser>
          <c:idx val="0"/>
          <c:order val="0"/>
          <c:tx>
            <c:v>Gross Expenditure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B05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Sheet1!$L$84:$M$84</c:f>
              <c:numCache/>
            </c:numRef>
          </c:val>
        </c:ser>
        <c:axId val="249129866"/>
        <c:axId val="941951266"/>
      </c:barChart>
      <c:catAx>
        <c:axId val="249129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951266"/>
      </c:catAx>
      <c:valAx>
        <c:axId val="941951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912986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Monthly Expenditure Break-down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Server Rent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Sheet1!$L$78:$M$78</c:f>
            </c:strRef>
          </c:cat>
          <c:val>
            <c:numRef>
              <c:f>Sheet1!$L$79:$M$79</c:f>
              <c:numCache/>
            </c:numRef>
          </c:val>
        </c:ser>
        <c:ser>
          <c:idx val="1"/>
          <c:order val="1"/>
          <c:tx>
            <c:v>Salary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Sheet1!$L$78:$M$78</c:f>
            </c:strRef>
          </c:cat>
          <c:val>
            <c:numRef>
              <c:f>Sheet1!$L$80:$M$80</c:f>
              <c:numCache/>
            </c:numRef>
          </c:val>
        </c:ser>
        <c:ser>
          <c:idx val="2"/>
          <c:order val="2"/>
          <c:tx>
            <c:v>Loan Interest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Sheet1!$L$78:$M$78</c:f>
            </c:strRef>
          </c:cat>
          <c:val>
            <c:numRef>
              <c:f>Sheet1!$L$81:$M$81</c:f>
              <c:numCache/>
            </c:numRef>
          </c:val>
        </c:ser>
        <c:ser>
          <c:idx val="3"/>
          <c:order val="3"/>
          <c:tx>
            <c:v>Rent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Sheet1!$L$78:$M$78</c:f>
            </c:strRef>
          </c:cat>
          <c:val>
            <c:numRef>
              <c:f>Sheet1!$L$82:$M$82</c:f>
              <c:numCache/>
            </c:numRef>
          </c:val>
        </c:ser>
        <c:ser>
          <c:idx val="4"/>
          <c:order val="4"/>
          <c:tx>
            <c:v>Utilites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Sheet1!$L$78:$M$78</c:f>
            </c:strRef>
          </c:cat>
          <c:val>
            <c:numRef>
              <c:f>Sheet1!$L$83:$M$83</c:f>
              <c:numCache/>
            </c:numRef>
          </c:val>
        </c:ser>
        <c:overlap val="100"/>
        <c:axId val="885848821"/>
        <c:axId val="1398462146"/>
      </c:barChart>
      <c:catAx>
        <c:axId val="885848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8462146"/>
      </c:catAx>
      <c:valAx>
        <c:axId val="1398462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584882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Short Term Finances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Gross In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Sheet1!$M$75:$R$75</c:f>
            </c:strRef>
          </c:cat>
          <c:val>
            <c:numRef>
              <c:f>Sheet1!$M$69:$R$69</c:f>
              <c:numCache/>
            </c:numRef>
          </c:val>
          <c:smooth val="0"/>
        </c:ser>
        <c:ser>
          <c:idx val="1"/>
          <c:order val="1"/>
          <c:tx>
            <c:v>Net Profit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Sheet1!$M$75:$R$75</c:f>
            </c:strRef>
          </c:cat>
          <c:val>
            <c:numRef>
              <c:f>Sheet1!$M$73:$R$73</c:f>
              <c:numCache/>
            </c:numRef>
          </c:val>
          <c:smooth val="0"/>
        </c:ser>
        <c:ser>
          <c:idx val="2"/>
          <c:order val="2"/>
          <c:tx>
            <c:v>Balance Out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Sheet1!$M$75:$R$75</c:f>
            </c:strRef>
          </c:cat>
          <c:val>
            <c:numRef>
              <c:f>Sheet1!$M$72:$R$72</c:f>
              <c:numCache/>
            </c:numRef>
          </c:val>
          <c:smooth val="0"/>
        </c:ser>
        <c:ser>
          <c:idx val="3"/>
          <c:order val="3"/>
          <c:tx>
            <c:v>Gross Out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Sheet1!$M$75:$R$75</c:f>
            </c:strRef>
          </c:cat>
          <c:val>
            <c:numRef>
              <c:f>Sheet1!$M$64:$R$64</c:f>
              <c:numCache/>
            </c:numRef>
          </c:val>
          <c:smooth val="0"/>
        </c:ser>
        <c:axId val="1575566497"/>
        <c:axId val="135310783"/>
      </c:lineChart>
      <c:catAx>
        <c:axId val="1575566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Client ROster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35310783"/>
      </c:catAx>
      <c:valAx>
        <c:axId val="135310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_(&quot;£&quot;* #,##0.00_);_(&quot;£&quot;* \(#,##0.00\);_(&quot;£&quot;* &quot;-&quot;??_);_(@_)" sourceLinked="0"/>
        <c:majorTickMark val="in"/>
        <c:minorTickMark val="in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75566497"/>
        <c:minorUnit val="50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Long-Term Finances</a:t>
            </a:r>
          </a:p>
        </c:rich>
      </c:tx>
      <c:layout>
        <c:manualLayout>
          <c:xMode val="edge"/>
          <c:yMode val="edge"/>
          <c:x val="0.6650693350831146"/>
          <c:y val="0.07407407407407407"/>
        </c:manualLayout>
      </c:layout>
      <c:overlay val="0"/>
    </c:title>
    <c:plotArea>
      <c:layout/>
      <c:lineChart>
        <c:ser>
          <c:idx val="0"/>
          <c:order val="0"/>
          <c:tx>
            <c:v>Net Profit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Sheet1!$L$4:$S$4</c:f>
            </c:strRef>
          </c:cat>
          <c:val>
            <c:numRef>
              <c:f>Sheet1!$L$28:$S$28</c:f>
              <c:numCache/>
            </c:numRef>
          </c:val>
          <c:smooth val="0"/>
        </c:ser>
        <c:ser>
          <c:idx val="1"/>
          <c:order val="1"/>
          <c:tx>
            <c:v>Balance Out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Sheet1!$L$4:$S$4</c:f>
            </c:strRef>
          </c:cat>
          <c:val>
            <c:numRef>
              <c:f>Sheet1!$L$27:$S$27</c:f>
              <c:numCache/>
            </c:numRef>
          </c:val>
          <c:smooth val="0"/>
        </c:ser>
        <c:axId val="870671596"/>
        <c:axId val="344259965"/>
      </c:lineChart>
      <c:catAx>
        <c:axId val="870671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4259965"/>
      </c:catAx>
      <c:valAx>
        <c:axId val="344259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£-809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067159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Long-Term Client Roster</a:t>
            </a:r>
          </a:p>
        </c:rich>
      </c:tx>
      <c:layout>
        <c:manualLayout>
          <c:xMode val="edge"/>
          <c:yMode val="edge"/>
          <c:x val="0.6010693350831147"/>
          <c:y val="0.06944444444444445"/>
        </c:manualLayout>
      </c:layout>
      <c:overlay val="0"/>
    </c:title>
    <c:plotArea>
      <c:layout/>
      <c:lineChart>
        <c:ser>
          <c:idx val="0"/>
          <c:order val="0"/>
          <c:tx>
            <c:v>Tier 1 Clients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Sheet1!$L$4:$S$4</c:f>
            </c:strRef>
          </c:cat>
          <c:val>
            <c:numRef>
              <c:f>Sheet1!$L$5:$S$5</c:f>
              <c:numCache/>
            </c:numRef>
          </c:val>
          <c:smooth val="0"/>
        </c:ser>
        <c:ser>
          <c:idx val="1"/>
          <c:order val="1"/>
          <c:tx>
            <c:v>Tier 2 Clients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Sheet1!$L$4:$S$4</c:f>
            </c:strRef>
          </c:cat>
          <c:val>
            <c:numRef>
              <c:f>Sheet1!$L$6:$S$6</c:f>
              <c:numCache/>
            </c:numRef>
          </c:val>
          <c:smooth val="0"/>
        </c:ser>
        <c:ser>
          <c:idx val="2"/>
          <c:order val="2"/>
          <c:tx>
            <c:v>Tier 3 Clients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Sheet1!$L$4:$S$4</c:f>
            </c:strRef>
          </c:cat>
          <c:val>
            <c:numRef>
              <c:f>Sheet1!$L$7:$S$7</c:f>
              <c:numCache/>
            </c:numRef>
          </c:val>
          <c:smooth val="0"/>
        </c:ser>
        <c:ser>
          <c:idx val="3"/>
          <c:order val="3"/>
          <c:tx>
            <c:v>Total Clients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Sheet1!$L$4:$S$4</c:f>
            </c:strRef>
          </c:cat>
          <c:val>
            <c:numRef>
              <c:f>Sheet1!$L$8:$S$8</c:f>
              <c:numCache/>
            </c:numRef>
          </c:val>
          <c:smooth val="0"/>
        </c:ser>
        <c:axId val="1560843404"/>
        <c:axId val="1718107732"/>
      </c:lineChart>
      <c:catAx>
        <c:axId val="1560843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8107732"/>
      </c:catAx>
      <c:valAx>
        <c:axId val="1718107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084340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Mid-Term Stability</a:t>
            </a:r>
          </a:p>
        </c:rich>
      </c:tx>
      <c:layout>
        <c:manualLayout>
          <c:xMode val="edge"/>
          <c:yMode val="edge"/>
          <c:x val="0.6773888888888889"/>
          <c:y val="0.07407407407407407"/>
        </c:manualLayout>
      </c:layout>
      <c:overlay val="0"/>
    </c:title>
    <c:plotArea>
      <c:layout/>
      <c:lineChart>
        <c:ser>
          <c:idx val="0"/>
          <c:order val="0"/>
          <c:tx>
            <c:v>Gross In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Sheet1!$L$4:$S$4</c:f>
            </c:strRef>
          </c:cat>
          <c:val>
            <c:numRef>
              <c:f>Sheet1!$L$16:$N$16</c:f>
              <c:numCache/>
            </c:numRef>
          </c:val>
          <c:smooth val="0"/>
        </c:ser>
        <c:ser>
          <c:idx val="1"/>
          <c:order val="1"/>
          <c:tx>
            <c:v>Gross Out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Sheet1!$L$4:$S$4</c:f>
            </c:strRef>
          </c:cat>
          <c:val>
            <c:numRef>
              <c:f>Sheet1!$L$24:$N$24</c:f>
              <c:numCache/>
            </c:numRef>
          </c:val>
          <c:smooth val="0"/>
        </c:ser>
        <c:axId val="712854084"/>
        <c:axId val="1879947907"/>
      </c:lineChart>
      <c:catAx>
        <c:axId val="712854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9947907"/>
      </c:catAx>
      <c:valAx>
        <c:axId val="1879947907"/>
        <c:scaling>
          <c:orientation val="minMax"/>
          <c:max val="8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_(&quot;£&quot;* #,##0_);_(&quot;£&quot;* \(#,##0\);_(&quot;£&quot;* &quot;-&quot;_);_(@_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2854084"/>
        <c:minorUnit val="10000.0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Mid-Term Expenses</a:t>
            </a:r>
          </a:p>
        </c:rich>
      </c:tx>
      <c:layout>
        <c:manualLayout>
          <c:xMode val="edge"/>
          <c:yMode val="edge"/>
          <c:x val="0.6627210012109656"/>
          <c:y val="0.06848580975370049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v>Server Rent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Sheet1!$L$4:$N$4</c:f>
            </c:strRef>
          </c:cat>
          <c:val>
            <c:numRef>
              <c:f>Sheet1!$W$6:$Y$6</c:f>
              <c:numCache/>
            </c:numRef>
          </c:val>
        </c:ser>
        <c:ser>
          <c:idx val="1"/>
          <c:order val="1"/>
          <c:tx>
            <c:v>Salary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Sheet1!$L$4:$N$4</c:f>
            </c:strRef>
          </c:cat>
          <c:val>
            <c:numRef>
              <c:f>Sheet1!$W$7:$Y$7</c:f>
              <c:numCache/>
            </c:numRef>
          </c:val>
        </c:ser>
        <c:ser>
          <c:idx val="2"/>
          <c:order val="2"/>
          <c:tx>
            <c:v>Loan Interest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Sheet1!$L$4:$N$4</c:f>
            </c:strRef>
          </c:cat>
          <c:val>
            <c:numRef>
              <c:f>Sheet1!$W$8:$Y$8</c:f>
              <c:numCache/>
            </c:numRef>
          </c:val>
        </c:ser>
        <c:ser>
          <c:idx val="3"/>
          <c:order val="3"/>
          <c:tx>
            <c:v>Project Dev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Sheet1!$L$4:$N$4</c:f>
            </c:strRef>
          </c:cat>
          <c:val>
            <c:numRef>
              <c:f>Sheet1!$W$9:$Y$9</c:f>
              <c:numCache/>
            </c:numRef>
          </c:val>
        </c:ser>
        <c:ser>
          <c:idx val="4"/>
          <c:order val="4"/>
          <c:tx>
            <c:v>Paying Off Loan</c:v>
          </c:tx>
          <c:spPr>
            <a:solidFill>
              <a:srgbClr val="92D050"/>
            </a:solidFill>
            <a:ln cmpd="sng">
              <a:solidFill>
                <a:srgbClr val="000000"/>
              </a:solidFill>
            </a:ln>
          </c:spPr>
          <c:cat>
            <c:strRef>
              <c:f>Sheet1!$L$4:$N$4</c:f>
            </c:strRef>
          </c:cat>
          <c:val>
            <c:numRef>
              <c:f>Sheet1!$W$10:$Y$10</c:f>
              <c:numCache/>
            </c:numRef>
          </c:val>
        </c:ser>
        <c:overlap val="100"/>
        <c:axId val="1294852454"/>
        <c:axId val="1163435294"/>
      </c:barChart>
      <c:catAx>
        <c:axId val="1294852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63435294"/>
      </c:catAx>
      <c:valAx>
        <c:axId val="1163435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_(&quot;£&quot;* #,##0.00_);_(&quot;£&quot;* \(#,##0.00\);_(&quot;£&quot;* &quot;-&quot;??_);_(@_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4852454"/>
      </c:valAx>
    </c:plotArea>
    <c:legend>
      <c:legendPos val="b"/>
      <c:layout>
        <c:manualLayout>
          <c:xMode val="edge"/>
          <c:yMode val="edge"/>
          <c:x val="0.050000054794820795"/>
          <c:y val="0.9020861883130583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64</xdr:row>
      <xdr:rowOff>190500</xdr:rowOff>
    </xdr:from>
    <xdr:ext cx="4572000" cy="3495675"/>
    <xdr:graphicFrame>
      <xdr:nvGraphicFramePr>
        <xdr:cNvPr id="74171397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85</xdr:row>
      <xdr:rowOff>28575</xdr:rowOff>
    </xdr:from>
    <xdr:ext cx="8477250" cy="5381625"/>
    <xdr:graphicFrame>
      <xdr:nvGraphicFramePr>
        <xdr:cNvPr id="51649072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200025</xdr:colOff>
      <xdr:row>77</xdr:row>
      <xdr:rowOff>104775</xdr:rowOff>
    </xdr:from>
    <xdr:ext cx="8229600" cy="5772150"/>
    <xdr:graphicFrame>
      <xdr:nvGraphicFramePr>
        <xdr:cNvPr id="78078347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85725</xdr:colOff>
      <xdr:row>15</xdr:row>
      <xdr:rowOff>0</xdr:rowOff>
    </xdr:from>
    <xdr:ext cx="4572000" cy="2790825"/>
    <xdr:graphicFrame>
      <xdr:nvGraphicFramePr>
        <xdr:cNvPr id="112697206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20</xdr:col>
      <xdr:colOff>85725</xdr:colOff>
      <xdr:row>28</xdr:row>
      <xdr:rowOff>161925</xdr:rowOff>
    </xdr:from>
    <xdr:ext cx="4572000" cy="2743200"/>
    <xdr:graphicFrame>
      <xdr:nvGraphicFramePr>
        <xdr:cNvPr id="1482278327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28</xdr:col>
      <xdr:colOff>247650</xdr:colOff>
      <xdr:row>15</xdr:row>
      <xdr:rowOff>19050</xdr:rowOff>
    </xdr:from>
    <xdr:ext cx="4572000" cy="2790825"/>
    <xdr:graphicFrame>
      <xdr:nvGraphicFramePr>
        <xdr:cNvPr id="36658194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28</xdr:col>
      <xdr:colOff>238125</xdr:colOff>
      <xdr:row>29</xdr:row>
      <xdr:rowOff>57150</xdr:rowOff>
    </xdr:from>
    <xdr:ext cx="4562475" cy="2971800"/>
    <xdr:graphicFrame>
      <xdr:nvGraphicFramePr>
        <xdr:cNvPr id="1746255372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76200</xdr:colOff>
      <xdr:row>81</xdr:row>
      <xdr:rowOff>19050</xdr:rowOff>
    </xdr:from>
    <xdr:ext cx="1790700" cy="238125"/>
    <xdr:sp>
      <xdr:nvSpPr>
        <xdr:cNvPr id="3" name="Shape 3"/>
        <xdr:cNvSpPr txBox="1"/>
      </xdr:nvSpPr>
      <xdr:spPr>
        <a:xfrm>
          <a:off x="4450650" y="3660938"/>
          <a:ext cx="1790700" cy="2381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With Structure Changes</a:t>
          </a:r>
          <a:endParaRPr sz="1400"/>
        </a:p>
      </xdr:txBody>
    </xdr:sp>
    <xdr:clientData fLocksWithSheet="0"/>
  </xdr:oneCellAnchor>
  <xdr:oneCellAnchor>
    <xdr:from>
      <xdr:col>6</xdr:col>
      <xdr:colOff>638175</xdr:colOff>
      <xdr:row>81</xdr:row>
      <xdr:rowOff>19050</xdr:rowOff>
    </xdr:from>
    <xdr:ext cx="1743075" cy="276225"/>
    <xdr:sp>
      <xdr:nvSpPr>
        <xdr:cNvPr id="4" name="Shape 4"/>
        <xdr:cNvSpPr txBox="1"/>
      </xdr:nvSpPr>
      <xdr:spPr>
        <a:xfrm>
          <a:off x="4479225" y="3646650"/>
          <a:ext cx="1733550" cy="2667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Without Structure Changes</a:t>
          </a:r>
          <a:endParaRPr sz="1100"/>
        </a:p>
      </xdr:txBody>
    </xdr:sp>
    <xdr:clientData fLocksWithSheet="0"/>
  </xdr:oneCellAnchor>
  <xdr:oneCellAnchor>
    <xdr:from>
      <xdr:col>15</xdr:col>
      <xdr:colOff>485775</xdr:colOff>
      <xdr:row>102</xdr:row>
      <xdr:rowOff>123825</xdr:rowOff>
    </xdr:from>
    <xdr:ext cx="6762750" cy="295275"/>
    <xdr:sp>
      <xdr:nvSpPr>
        <xdr:cNvPr id="5" name="Shape 5"/>
        <xdr:cNvSpPr txBox="1"/>
      </xdr:nvSpPr>
      <xdr:spPr>
        <a:xfrm>
          <a:off x="1969388" y="3637125"/>
          <a:ext cx="6753225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July                             August</a:t>
          </a: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                    September                      October                      November                    December</a:t>
          </a:r>
          <a:endParaRPr sz="1100">
            <a:solidFill>
              <a:schemeClr val="lt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24.29"/>
    <col customWidth="1" min="8" max="8" width="10.14"/>
    <col customWidth="1" min="9" max="9" width="10.0"/>
    <col customWidth="1" min="10" max="10" width="12.0"/>
    <col customWidth="1" min="11" max="11" width="17.43"/>
    <col customWidth="1" min="12" max="13" width="18.71"/>
    <col customWidth="1" min="14" max="19" width="13.29"/>
    <col customWidth="1" min="20" max="26" width="8.71"/>
  </cols>
  <sheetData>
    <row r="4">
      <c r="F4" s="1" t="s">
        <v>0</v>
      </c>
      <c r="G4" s="2"/>
      <c r="H4" s="3"/>
      <c r="J4" s="4"/>
      <c r="K4" s="5"/>
      <c r="L4" s="6">
        <v>2023.0</v>
      </c>
      <c r="M4" s="5">
        <v>2024.0</v>
      </c>
      <c r="N4" s="5">
        <v>2025.0</v>
      </c>
      <c r="O4" s="5">
        <v>2026.0</v>
      </c>
      <c r="P4" s="5">
        <v>2027.0</v>
      </c>
      <c r="Q4" s="5">
        <v>2028.0</v>
      </c>
      <c r="R4" s="5">
        <v>2029.0</v>
      </c>
      <c r="S4" s="7">
        <v>2030.0</v>
      </c>
    </row>
    <row r="5">
      <c r="F5" s="8"/>
      <c r="H5" s="9"/>
      <c r="J5" s="10" t="s">
        <v>1</v>
      </c>
      <c r="K5" s="11" t="s">
        <v>2</v>
      </c>
      <c r="L5" s="12">
        <v>6.0</v>
      </c>
      <c r="M5" s="12">
        <f>M8</f>
        <v>18</v>
      </c>
      <c r="N5" s="12">
        <f>N8*0.75</f>
        <v>22.5</v>
      </c>
      <c r="O5" s="12">
        <f t="shared" ref="O5:S5" si="1">O8-O6-O7</f>
        <v>36</v>
      </c>
      <c r="P5" s="12">
        <f t="shared" si="1"/>
        <v>36</v>
      </c>
      <c r="Q5" s="12">
        <f t="shared" si="1"/>
        <v>43.5</v>
      </c>
      <c r="R5" s="12">
        <f t="shared" si="1"/>
        <v>36</v>
      </c>
      <c r="S5" s="13">
        <f t="shared" si="1"/>
        <v>36</v>
      </c>
    </row>
    <row r="6">
      <c r="F6" s="14" t="s">
        <v>3</v>
      </c>
      <c r="H6" s="15">
        <v>100.0</v>
      </c>
      <c r="J6" s="16"/>
      <c r="K6" s="11" t="s">
        <v>4</v>
      </c>
      <c r="L6" s="12">
        <v>0.0</v>
      </c>
      <c r="M6" s="17">
        <v>0.0</v>
      </c>
      <c r="N6" s="17">
        <v>0.0</v>
      </c>
      <c r="O6" s="17">
        <f t="shared" ref="O6:S6" si="2">L5</f>
        <v>6</v>
      </c>
      <c r="P6" s="17">
        <f t="shared" si="2"/>
        <v>18</v>
      </c>
      <c r="Q6" s="17">
        <f t="shared" si="2"/>
        <v>22.5</v>
      </c>
      <c r="R6" s="17">
        <f t="shared" si="2"/>
        <v>36</v>
      </c>
      <c r="S6" s="18">
        <f t="shared" si="2"/>
        <v>36</v>
      </c>
      <c r="V6" s="19" t="s">
        <v>5</v>
      </c>
      <c r="W6" s="19">
        <v>700.0</v>
      </c>
      <c r="X6" s="19">
        <v>1200.0</v>
      </c>
      <c r="Y6" s="19">
        <v>1200.0</v>
      </c>
    </row>
    <row r="7">
      <c r="F7" s="8"/>
      <c r="H7" s="9"/>
      <c r="J7" s="16"/>
      <c r="K7" s="11" t="s">
        <v>6</v>
      </c>
      <c r="L7" s="12">
        <v>0.0</v>
      </c>
      <c r="M7" s="17">
        <v>0.0</v>
      </c>
      <c r="N7" s="17">
        <v>0.0</v>
      </c>
      <c r="O7" s="17">
        <v>0.0</v>
      </c>
      <c r="P7" s="17">
        <f>N6</f>
        <v>0</v>
      </c>
      <c r="Q7" s="17">
        <v>0.0</v>
      </c>
      <c r="R7" s="17">
        <f t="shared" ref="R7:S7" si="3">O6</f>
        <v>6</v>
      </c>
      <c r="S7" s="18">
        <f t="shared" si="3"/>
        <v>18</v>
      </c>
      <c r="V7" s="19" t="s">
        <v>7</v>
      </c>
      <c r="W7" s="19">
        <v>93916.66666666667</v>
      </c>
      <c r="X7" s="19">
        <v>161000.0</v>
      </c>
      <c r="Y7" s="19">
        <v>161000.0</v>
      </c>
    </row>
    <row r="8">
      <c r="F8" s="14" t="s">
        <v>8</v>
      </c>
      <c r="H8" s="15">
        <v>0.0</v>
      </c>
      <c r="J8" s="16"/>
      <c r="K8" s="11" t="s">
        <v>9</v>
      </c>
      <c r="L8" s="12">
        <v>6.0</v>
      </c>
      <c r="M8" s="17">
        <f t="shared" ref="M8:S8" si="4">L8+12</f>
        <v>18</v>
      </c>
      <c r="N8" s="17">
        <f t="shared" si="4"/>
        <v>30</v>
      </c>
      <c r="O8" s="17">
        <f t="shared" si="4"/>
        <v>42</v>
      </c>
      <c r="P8" s="17">
        <f t="shared" si="4"/>
        <v>54</v>
      </c>
      <c r="Q8" s="17">
        <f t="shared" si="4"/>
        <v>66</v>
      </c>
      <c r="R8" s="17">
        <f t="shared" si="4"/>
        <v>78</v>
      </c>
      <c r="S8" s="18">
        <f t="shared" si="4"/>
        <v>90</v>
      </c>
      <c r="V8" s="20" t="s">
        <v>10</v>
      </c>
      <c r="W8" s="19">
        <v>7140.764320713494</v>
      </c>
      <c r="X8" s="19">
        <v>8430.0</v>
      </c>
    </row>
    <row r="9">
      <c r="F9" s="8"/>
      <c r="H9" s="9"/>
      <c r="J9" s="16"/>
      <c r="K9" s="11" t="s">
        <v>11</v>
      </c>
      <c r="L9" s="12">
        <f t="shared" ref="L9:S9" si="5">(L5*500) + (L6*2000) + (L7*5000)</f>
        <v>3000</v>
      </c>
      <c r="M9" s="12">
        <f t="shared" si="5"/>
        <v>9000</v>
      </c>
      <c r="N9" s="12">
        <f t="shared" si="5"/>
        <v>11250</v>
      </c>
      <c r="O9" s="12">
        <f t="shared" si="5"/>
        <v>30000</v>
      </c>
      <c r="P9" s="12">
        <f t="shared" si="5"/>
        <v>54000</v>
      </c>
      <c r="Q9" s="12">
        <f t="shared" si="5"/>
        <v>66750</v>
      </c>
      <c r="R9" s="12">
        <f t="shared" si="5"/>
        <v>120000</v>
      </c>
      <c r="S9" s="13">
        <f t="shared" si="5"/>
        <v>180000</v>
      </c>
      <c r="V9" s="19" t="s">
        <v>12</v>
      </c>
      <c r="W9" s="19">
        <v>43355.045</v>
      </c>
    </row>
    <row r="10">
      <c r="F10" s="21"/>
      <c r="G10" s="20"/>
      <c r="H10" s="15"/>
      <c r="J10" s="16"/>
      <c r="L10" s="12"/>
      <c r="M10" s="17"/>
      <c r="N10" s="17"/>
      <c r="O10" s="17"/>
      <c r="P10" s="17"/>
      <c r="Q10" s="17"/>
      <c r="R10" s="17"/>
      <c r="S10" s="18"/>
      <c r="V10" s="19" t="s">
        <v>13</v>
      </c>
      <c r="X10" s="19">
        <v>50000.0</v>
      </c>
    </row>
    <row r="11">
      <c r="F11" s="14" t="s">
        <v>14</v>
      </c>
      <c r="H11" s="22">
        <v>12.5</v>
      </c>
      <c r="J11" s="10" t="s">
        <v>15</v>
      </c>
      <c r="K11" s="11" t="s">
        <v>2</v>
      </c>
      <c r="L11" s="12">
        <f>SUM(L69:R69)-L66</f>
        <v>93400</v>
      </c>
      <c r="M11" s="17">
        <f>(M5-1)*I36*12 + (6*I36*0.75) + (6*I36)</f>
        <v>622050</v>
      </c>
      <c r="N11" s="17">
        <f t="shared" ref="N11:N13" si="6">N5*I36*12</f>
        <v>783000</v>
      </c>
      <c r="O11" s="17">
        <f t="shared" ref="O11:O13" si="7">O5*I36*12</f>
        <v>1252800</v>
      </c>
      <c r="P11" s="17">
        <f t="shared" ref="P11:P13" si="8">P5*I36*12</f>
        <v>1252800</v>
      </c>
      <c r="Q11" s="17">
        <f t="shared" ref="Q11:Q13" si="9">Q5*I36*12</f>
        <v>1513800</v>
      </c>
      <c r="R11" s="17">
        <f t="shared" ref="R11:R13" si="10">R5*I36*12</f>
        <v>1252800</v>
      </c>
      <c r="S11" s="18">
        <f t="shared" ref="S11:S13" si="11">S5*I36*12</f>
        <v>1252800</v>
      </c>
    </row>
    <row r="12">
      <c r="F12" s="8"/>
      <c r="H12" s="9"/>
      <c r="J12" s="16"/>
      <c r="K12" s="11" t="s">
        <v>4</v>
      </c>
      <c r="L12" s="12">
        <v>0.0</v>
      </c>
      <c r="M12" s="17">
        <f t="shared" ref="M12:M13" si="12">M6*I37*12</f>
        <v>0</v>
      </c>
      <c r="N12" s="17">
        <f t="shared" si="6"/>
        <v>0</v>
      </c>
      <c r="O12" s="17">
        <f t="shared" si="7"/>
        <v>331200</v>
      </c>
      <c r="P12" s="17">
        <f t="shared" si="8"/>
        <v>993600</v>
      </c>
      <c r="Q12" s="17">
        <f t="shared" si="9"/>
        <v>1242000</v>
      </c>
      <c r="R12" s="17">
        <f t="shared" si="10"/>
        <v>1987200</v>
      </c>
      <c r="S12" s="18">
        <f t="shared" si="11"/>
        <v>1987200</v>
      </c>
    </row>
    <row r="13">
      <c r="F13" s="14" t="s">
        <v>16</v>
      </c>
      <c r="H13" s="15">
        <f>H11*H15</f>
        <v>500</v>
      </c>
      <c r="J13" s="16"/>
      <c r="K13" s="11" t="s">
        <v>6</v>
      </c>
      <c r="L13" s="12">
        <v>0.0</v>
      </c>
      <c r="M13" s="17">
        <f t="shared" si="12"/>
        <v>0</v>
      </c>
      <c r="N13" s="17">
        <f t="shared" si="6"/>
        <v>0</v>
      </c>
      <c r="O13" s="17">
        <f t="shared" si="7"/>
        <v>0</v>
      </c>
      <c r="P13" s="17">
        <f t="shared" si="8"/>
        <v>0</v>
      </c>
      <c r="Q13" s="17">
        <f t="shared" si="9"/>
        <v>0</v>
      </c>
      <c r="R13" s="17">
        <f t="shared" si="10"/>
        <v>478800</v>
      </c>
      <c r="S13" s="18">
        <f t="shared" si="11"/>
        <v>1436400</v>
      </c>
    </row>
    <row r="14">
      <c r="F14" s="8"/>
      <c r="H14" s="9"/>
      <c r="J14" s="16"/>
      <c r="K14" s="23" t="s">
        <v>17</v>
      </c>
      <c r="L14" s="17">
        <v>40000.0</v>
      </c>
      <c r="M14" s="17"/>
      <c r="N14" s="17"/>
      <c r="O14" s="17"/>
      <c r="P14" s="17"/>
      <c r="Q14" s="17"/>
      <c r="R14" s="17"/>
      <c r="S14" s="18"/>
    </row>
    <row r="15">
      <c r="F15" s="14" t="s">
        <v>18</v>
      </c>
      <c r="H15" s="15">
        <v>40.0</v>
      </c>
      <c r="J15" s="16"/>
      <c r="K15" s="11" t="s">
        <v>19</v>
      </c>
      <c r="L15" s="17">
        <v>10000.0</v>
      </c>
      <c r="M15" s="17"/>
      <c r="N15" s="17"/>
      <c r="O15" s="17"/>
      <c r="P15" s="17"/>
      <c r="Q15" s="17"/>
      <c r="R15" s="17"/>
      <c r="S15" s="18"/>
    </row>
    <row r="16">
      <c r="F16" s="8"/>
      <c r="H16" s="9"/>
      <c r="J16" s="16"/>
      <c r="K16" s="11" t="s">
        <v>20</v>
      </c>
      <c r="L16" s="12">
        <f t="shared" ref="L16:S16" si="13">SUM(L11:L15)</f>
        <v>143400</v>
      </c>
      <c r="M16" s="12">
        <f t="shared" si="13"/>
        <v>622050</v>
      </c>
      <c r="N16" s="12">
        <f t="shared" si="13"/>
        <v>783000</v>
      </c>
      <c r="O16" s="12">
        <f t="shared" si="13"/>
        <v>1584000</v>
      </c>
      <c r="P16" s="12">
        <f t="shared" si="13"/>
        <v>2246400</v>
      </c>
      <c r="Q16" s="12">
        <f t="shared" si="13"/>
        <v>2755800</v>
      </c>
      <c r="R16" s="12">
        <f t="shared" si="13"/>
        <v>3718800</v>
      </c>
      <c r="S16" s="13">
        <f t="shared" si="13"/>
        <v>4676400</v>
      </c>
    </row>
    <row r="17">
      <c r="F17" s="14" t="s">
        <v>21</v>
      </c>
      <c r="H17" s="15">
        <v>46.0</v>
      </c>
      <c r="J17" s="16"/>
      <c r="L17" s="17"/>
      <c r="M17" s="17"/>
      <c r="N17" s="17"/>
      <c r="O17" s="17"/>
      <c r="P17" s="17"/>
      <c r="Q17" s="17"/>
      <c r="R17" s="17"/>
      <c r="S17" s="18"/>
    </row>
    <row r="18">
      <c r="F18" s="8"/>
      <c r="H18" s="9"/>
      <c r="J18" s="10" t="s">
        <v>22</v>
      </c>
      <c r="K18" s="11" t="s">
        <v>5</v>
      </c>
      <c r="L18" s="17">
        <f t="shared" ref="L18:L19" si="14">SUM(L60:R60)</f>
        <v>700</v>
      </c>
      <c r="M18" s="17">
        <f>H6*12*(1+ IF(M6=0,0,1) +  IF(M7=0,0,1))</f>
        <v>1200</v>
      </c>
      <c r="N18" s="17">
        <f>H6*12*(1+ IF(N6=0,0,1) +  IF(N7=0,0,1))</f>
        <v>1200</v>
      </c>
      <c r="O18" s="17">
        <f>H6*12*(1+ IF(O6=0,0,1) +  IF(O7=0,0,1))</f>
        <v>2400</v>
      </c>
      <c r="P18" s="17">
        <f>H6*12*(1+ IF(P6=0,0,1) +  IF(P7=0,0,1))</f>
        <v>2400</v>
      </c>
      <c r="Q18" s="17">
        <f>H6*12*(1+ IF(Q6=0,0,1) +  IF(Q7=0,0,1))</f>
        <v>2400</v>
      </c>
      <c r="R18" s="17">
        <f>H6*12*(1+ IF(R6=0,0,1) +  IF(R7=0,0,1))</f>
        <v>3600</v>
      </c>
      <c r="S18" s="18">
        <f>H6*12*(1+ IF(S6=0,0,1) +  IF(S7=0,0,1))</f>
        <v>3600</v>
      </c>
    </row>
    <row r="19">
      <c r="F19" s="14" t="s">
        <v>23</v>
      </c>
      <c r="H19" s="15">
        <v>7.0</v>
      </c>
      <c r="J19" s="16"/>
      <c r="K19" s="11" t="s">
        <v>7</v>
      </c>
      <c r="L19" s="17">
        <f t="shared" si="14"/>
        <v>93916.66667</v>
      </c>
      <c r="M19" s="17">
        <f>H22</f>
        <v>161000</v>
      </c>
      <c r="N19" s="17">
        <f t="shared" ref="N19:S19" si="15">M19</f>
        <v>161000</v>
      </c>
      <c r="O19" s="17">
        <f t="shared" si="15"/>
        <v>161000</v>
      </c>
      <c r="P19" s="17">
        <f t="shared" si="15"/>
        <v>161000</v>
      </c>
      <c r="Q19" s="17">
        <f t="shared" si="15"/>
        <v>161000</v>
      </c>
      <c r="R19" s="17">
        <f t="shared" si="15"/>
        <v>161000</v>
      </c>
      <c r="S19" s="18">
        <f t="shared" si="15"/>
        <v>161000</v>
      </c>
    </row>
    <row r="20">
      <c r="F20" s="8"/>
      <c r="H20" s="9"/>
      <c r="J20" s="16"/>
      <c r="K20" s="11" t="s">
        <v>24</v>
      </c>
      <c r="L20" s="17">
        <f>SUM(L62:R62)+M47</f>
        <v>6101.457356</v>
      </c>
      <c r="M20" s="17">
        <f>(L14*POWER(1+(H26/100),M4-2023))-L14</f>
        <v>6744</v>
      </c>
      <c r="N20" s="17"/>
      <c r="O20" s="17"/>
      <c r="P20" s="17"/>
      <c r="Q20" s="17"/>
      <c r="R20" s="17"/>
      <c r="S20" s="18"/>
    </row>
    <row r="21" ht="15.75" customHeight="1">
      <c r="F21" s="21"/>
      <c r="G21" s="20"/>
      <c r="H21" s="24"/>
      <c r="J21" s="16"/>
      <c r="K21" s="11" t="s">
        <v>25</v>
      </c>
      <c r="L21" s="17">
        <f>M51</f>
        <v>1039.306964</v>
      </c>
      <c r="M21" s="17">
        <f>(L15*POWER(1+(H28/100),M4-2023))-L15</f>
        <v>1686</v>
      </c>
      <c r="N21" s="17"/>
      <c r="O21" s="17"/>
      <c r="P21" s="17"/>
      <c r="Q21" s="17"/>
      <c r="R21" s="17"/>
      <c r="S21" s="18"/>
    </row>
    <row r="22" ht="15.75" customHeight="1">
      <c r="F22" s="14" t="s">
        <v>26</v>
      </c>
      <c r="H22" s="22">
        <f>H19*H17*H13</f>
        <v>161000</v>
      </c>
      <c r="J22" s="16"/>
      <c r="K22" s="11" t="s">
        <v>12</v>
      </c>
      <c r="L22" s="25">
        <f>M39+M41-M44+M42+M46</f>
        <v>43355.045</v>
      </c>
      <c r="S22" s="26"/>
    </row>
    <row r="23" ht="15.75" customHeight="1">
      <c r="F23" s="8"/>
      <c r="H23" s="9"/>
      <c r="J23" s="16"/>
      <c r="K23" s="20" t="s">
        <v>13</v>
      </c>
      <c r="M23" s="17">
        <v>50000.0</v>
      </c>
      <c r="S23" s="26"/>
    </row>
    <row r="24" ht="15.75" customHeight="1">
      <c r="F24" s="14" t="s">
        <v>27</v>
      </c>
      <c r="H24" s="15">
        <f>H6*12</f>
        <v>1200</v>
      </c>
      <c r="J24" s="16"/>
      <c r="K24" s="11" t="s">
        <v>28</v>
      </c>
      <c r="L24" s="17">
        <f t="shared" ref="L24:S24" si="16">SUM(L18:L23)</f>
        <v>145112.476</v>
      </c>
      <c r="M24" s="17">
        <f t="shared" si="16"/>
        <v>220630</v>
      </c>
      <c r="N24" s="17">
        <f t="shared" si="16"/>
        <v>162200</v>
      </c>
      <c r="O24" s="17">
        <f t="shared" si="16"/>
        <v>163400</v>
      </c>
      <c r="P24" s="17">
        <f t="shared" si="16"/>
        <v>163400</v>
      </c>
      <c r="Q24" s="17">
        <f t="shared" si="16"/>
        <v>163400</v>
      </c>
      <c r="R24" s="17">
        <f t="shared" si="16"/>
        <v>164600</v>
      </c>
      <c r="S24" s="18">
        <f t="shared" si="16"/>
        <v>164600</v>
      </c>
    </row>
    <row r="25" ht="15.75" customHeight="1">
      <c r="F25" s="8"/>
      <c r="H25" s="9"/>
      <c r="J25" s="16"/>
      <c r="S25" s="26"/>
    </row>
    <row r="26" ht="15.75" customHeight="1">
      <c r="F26" s="14" t="s">
        <v>29</v>
      </c>
      <c r="H26" s="15">
        <v>16.86</v>
      </c>
      <c r="J26" s="10" t="s">
        <v>30</v>
      </c>
      <c r="K26" s="11" t="s">
        <v>31</v>
      </c>
      <c r="L26" s="23"/>
      <c r="M26" s="12">
        <f t="shared" ref="M26:S26" si="17">L27</f>
        <v>2341.606804</v>
      </c>
      <c r="N26" s="12">
        <f t="shared" si="17"/>
        <v>399707.524</v>
      </c>
      <c r="O26" s="12">
        <f t="shared" si="17"/>
        <v>1022220</v>
      </c>
      <c r="P26" s="12">
        <f t="shared" si="17"/>
        <v>2041400</v>
      </c>
      <c r="Q26" s="12">
        <f t="shared" si="17"/>
        <v>3503600</v>
      </c>
      <c r="R26" s="12">
        <f t="shared" si="17"/>
        <v>4675400</v>
      </c>
      <c r="S26" s="13">
        <f t="shared" si="17"/>
        <v>6146600</v>
      </c>
    </row>
    <row r="27" ht="15.75" customHeight="1">
      <c r="F27" s="8"/>
      <c r="H27" s="9"/>
      <c r="J27" s="16"/>
      <c r="K27" s="11" t="s">
        <v>32</v>
      </c>
      <c r="L27" s="12">
        <f>R72</f>
        <v>2341.606804</v>
      </c>
      <c r="M27" s="12">
        <f t="shared" ref="M27:S27" si="18">L28+M28</f>
        <v>399707.524</v>
      </c>
      <c r="N27" s="12">
        <f t="shared" si="18"/>
        <v>1022220</v>
      </c>
      <c r="O27" s="12">
        <f t="shared" si="18"/>
        <v>2041400</v>
      </c>
      <c r="P27" s="12">
        <f t="shared" si="18"/>
        <v>3503600</v>
      </c>
      <c r="Q27" s="12">
        <f t="shared" si="18"/>
        <v>4675400</v>
      </c>
      <c r="R27" s="12">
        <f t="shared" si="18"/>
        <v>6146600</v>
      </c>
      <c r="S27" s="13">
        <f t="shared" si="18"/>
        <v>8066000</v>
      </c>
    </row>
    <row r="28" ht="15.75" customHeight="1">
      <c r="F28" s="14" t="s">
        <v>33</v>
      </c>
      <c r="H28" s="15">
        <v>16.86</v>
      </c>
      <c r="J28" s="27"/>
      <c r="K28" s="28" t="s">
        <v>34</v>
      </c>
      <c r="L28" s="29">
        <f t="shared" ref="L28:S28" si="19">L16-L24</f>
        <v>-1712.475987</v>
      </c>
      <c r="M28" s="29">
        <f t="shared" si="19"/>
        <v>401420</v>
      </c>
      <c r="N28" s="29">
        <f t="shared" si="19"/>
        <v>620800</v>
      </c>
      <c r="O28" s="29">
        <f t="shared" si="19"/>
        <v>1420600</v>
      </c>
      <c r="P28" s="29">
        <f t="shared" si="19"/>
        <v>2083000</v>
      </c>
      <c r="Q28" s="29">
        <f t="shared" si="19"/>
        <v>2592400</v>
      </c>
      <c r="R28" s="29">
        <f t="shared" si="19"/>
        <v>3554200</v>
      </c>
      <c r="S28" s="30">
        <f t="shared" si="19"/>
        <v>4511800</v>
      </c>
    </row>
    <row r="29" ht="15.75" customHeight="1">
      <c r="F29" s="31"/>
      <c r="G29" s="32"/>
      <c r="H29" s="33"/>
    </row>
    <row r="30" ht="15.75" customHeight="1">
      <c r="J30" s="34" t="s">
        <v>35</v>
      </c>
      <c r="K30" s="11" t="s">
        <v>36</v>
      </c>
      <c r="L30" s="11">
        <v>0.0</v>
      </c>
      <c r="M30" s="11">
        <v>1.0</v>
      </c>
      <c r="N30" s="11">
        <v>2.0</v>
      </c>
      <c r="O30" s="11">
        <v>3.0</v>
      </c>
      <c r="P30" s="11">
        <v>4.0</v>
      </c>
      <c r="Q30" s="11">
        <v>5.0</v>
      </c>
      <c r="R30" s="11">
        <v>6.0</v>
      </c>
      <c r="S30" s="11">
        <v>7.0</v>
      </c>
    </row>
    <row r="31" ht="15.75" customHeight="1">
      <c r="K31" s="11" t="s">
        <v>37</v>
      </c>
      <c r="L31" s="35">
        <f t="shared" ref="L31:S31" si="20">1/POWER(1+0.1686,L30)</f>
        <v>1</v>
      </c>
      <c r="M31" s="35">
        <f t="shared" si="20"/>
        <v>0.8557247989</v>
      </c>
      <c r="N31" s="35">
        <f t="shared" si="20"/>
        <v>0.7322649315</v>
      </c>
      <c r="O31" s="35">
        <f t="shared" si="20"/>
        <v>0.6266172612</v>
      </c>
      <c r="P31" s="35">
        <f t="shared" si="20"/>
        <v>0.5362119298</v>
      </c>
      <c r="Q31" s="35">
        <f t="shared" si="20"/>
        <v>0.4588498458</v>
      </c>
      <c r="R31" s="35">
        <f t="shared" si="20"/>
        <v>0.3926491921</v>
      </c>
      <c r="S31" s="35">
        <f t="shared" si="20"/>
        <v>0.3359996509</v>
      </c>
    </row>
    <row r="32" ht="15.75" customHeight="1">
      <c r="K32" s="20" t="s">
        <v>38</v>
      </c>
      <c r="L32" s="36">
        <f t="shared" ref="L32:S32" si="21">L28*L31</f>
        <v>-1712.475987</v>
      </c>
      <c r="M32" s="36">
        <f t="shared" si="21"/>
        <v>343505.0488</v>
      </c>
      <c r="N32" s="36">
        <f t="shared" si="21"/>
        <v>454590.0695</v>
      </c>
      <c r="O32" s="36">
        <f t="shared" si="21"/>
        <v>890172.4813</v>
      </c>
      <c r="P32" s="36">
        <f t="shared" si="21"/>
        <v>1116929.45</v>
      </c>
      <c r="Q32" s="36">
        <f t="shared" si="21"/>
        <v>1189522.34</v>
      </c>
      <c r="R32" s="36">
        <f t="shared" si="21"/>
        <v>1395553.758</v>
      </c>
      <c r="S32" s="36">
        <f t="shared" si="21"/>
        <v>1515963.225</v>
      </c>
    </row>
    <row r="33" ht="15.75" customHeight="1">
      <c r="K33" s="37" t="s">
        <v>35</v>
      </c>
      <c r="L33" s="38"/>
      <c r="M33" s="38"/>
      <c r="N33" s="39">
        <f>SUM(L32:S32)</f>
        <v>6904523.897</v>
      </c>
    </row>
    <row r="34" ht="15.75" customHeight="1">
      <c r="F34" s="1" t="s">
        <v>39</v>
      </c>
      <c r="G34" s="2"/>
      <c r="H34" s="2"/>
      <c r="I34" s="3"/>
      <c r="K34" s="40"/>
      <c r="N34" s="41"/>
    </row>
    <row r="35" ht="15.75" customHeight="1">
      <c r="F35" s="8"/>
      <c r="I35" s="9"/>
      <c r="K35" s="42"/>
      <c r="L35" s="43"/>
      <c r="M35" s="43"/>
      <c r="N35" s="44"/>
    </row>
    <row r="36" ht="15.75" customHeight="1">
      <c r="F36" s="45" t="s">
        <v>40</v>
      </c>
      <c r="G36" s="23" t="s">
        <v>41</v>
      </c>
      <c r="H36" s="23" t="s">
        <v>2</v>
      </c>
      <c r="I36" s="46">
        <v>2900.0</v>
      </c>
    </row>
    <row r="37" ht="15.75" customHeight="1">
      <c r="F37" s="21"/>
      <c r="G37" s="23" t="s">
        <v>42</v>
      </c>
      <c r="H37" s="23" t="s">
        <v>4</v>
      </c>
      <c r="I37" s="46">
        <v>4600.0</v>
      </c>
      <c r="K37" s="20" t="s">
        <v>43</v>
      </c>
    </row>
    <row r="38" ht="15.75" customHeight="1">
      <c r="F38" s="21"/>
      <c r="G38" s="23" t="s">
        <v>44</v>
      </c>
      <c r="H38" s="23" t="s">
        <v>6</v>
      </c>
      <c r="I38" s="46">
        <v>6650.0</v>
      </c>
      <c r="K38" s="20" t="s">
        <v>45</v>
      </c>
      <c r="M38" s="20">
        <v>389.0</v>
      </c>
    </row>
    <row r="39" ht="15.75" customHeight="1">
      <c r="F39" s="47"/>
      <c r="G39" s="48" t="s">
        <v>46</v>
      </c>
      <c r="H39" s="48" t="s">
        <v>47</v>
      </c>
      <c r="I39" s="49" t="s">
        <v>48</v>
      </c>
      <c r="K39" s="20" t="s">
        <v>49</v>
      </c>
      <c r="M39" s="20">
        <f>12.5*M38</f>
        <v>4862.5</v>
      </c>
    </row>
    <row r="40" ht="15.75" customHeight="1">
      <c r="F40" s="1" t="s">
        <v>50</v>
      </c>
      <c r="G40" s="2"/>
      <c r="H40" s="2"/>
      <c r="I40" s="3"/>
      <c r="K40" s="20" t="s">
        <v>51</v>
      </c>
      <c r="M40" s="20">
        <v>675.0</v>
      </c>
      <c r="O40" s="20">
        <f>M39*1.6</f>
        <v>7780</v>
      </c>
    </row>
    <row r="41" ht="15.75" customHeight="1">
      <c r="F41" s="8"/>
      <c r="I41" s="9"/>
      <c r="K41" s="20" t="s">
        <v>52</v>
      </c>
      <c r="M41" s="20">
        <f>12.5*M40</f>
        <v>8437.5</v>
      </c>
    </row>
    <row r="42" ht="15.75" customHeight="1">
      <c r="F42" s="45" t="s">
        <v>40</v>
      </c>
      <c r="G42" s="23" t="s">
        <v>41</v>
      </c>
      <c r="H42" s="23" t="s">
        <v>2</v>
      </c>
      <c r="I42" s="46">
        <f t="shared" ref="I42:I44" si="22">I36*12</f>
        <v>34800</v>
      </c>
      <c r="K42" s="20" t="s">
        <v>53</v>
      </c>
      <c r="M42" s="25">
        <v>28176.92</v>
      </c>
    </row>
    <row r="43" ht="15.75" customHeight="1">
      <c r="F43" s="21"/>
      <c r="G43" s="23" t="s">
        <v>42</v>
      </c>
      <c r="H43" s="23" t="s">
        <v>4</v>
      </c>
      <c r="I43" s="46">
        <f t="shared" si="22"/>
        <v>55200</v>
      </c>
      <c r="K43" s="20" t="s">
        <v>54</v>
      </c>
      <c r="M43" s="20">
        <v>33.75</v>
      </c>
      <c r="P43" s="20">
        <f>M40-M43+M45+M38</f>
        <v>1214.25</v>
      </c>
      <c r="Q43" s="20">
        <f>12.5*P43</f>
        <v>15178.125</v>
      </c>
    </row>
    <row r="44" ht="15.75" customHeight="1">
      <c r="F44" s="21"/>
      <c r="G44" s="23" t="s">
        <v>44</v>
      </c>
      <c r="H44" s="23" t="s">
        <v>6</v>
      </c>
      <c r="I44" s="46">
        <f t="shared" si="22"/>
        <v>79800</v>
      </c>
      <c r="K44" s="20" t="s">
        <v>55</v>
      </c>
      <c r="M44" s="20">
        <f>12.5*M43</f>
        <v>421.875</v>
      </c>
    </row>
    <row r="45" ht="15.75" customHeight="1">
      <c r="F45" s="47"/>
      <c r="G45" s="48" t="s">
        <v>46</v>
      </c>
      <c r="H45" s="48" t="s">
        <v>56</v>
      </c>
      <c r="I45" s="49" t="s">
        <v>57</v>
      </c>
      <c r="K45" s="20" t="s">
        <v>58</v>
      </c>
      <c r="M45" s="20">
        <v>184.0</v>
      </c>
    </row>
    <row r="46" ht="15.75" customHeight="1">
      <c r="K46" s="20" t="s">
        <v>59</v>
      </c>
      <c r="M46" s="20">
        <f>M45*12.5</f>
        <v>2300</v>
      </c>
      <c r="P46" s="20">
        <f>Q43*100/(M54-H51)</f>
        <v>33.1216819</v>
      </c>
    </row>
    <row r="47" ht="15.75" customHeight="1">
      <c r="K47" s="20" t="s">
        <v>60</v>
      </c>
      <c r="M47" s="20">
        <v>2470.3</v>
      </c>
      <c r="P47" s="20">
        <f>M42*100/(M54-H51)</f>
        <v>61.4876331</v>
      </c>
    </row>
    <row r="48" ht="15.75" customHeight="1">
      <c r="K48" s="20" t="s">
        <v>61</v>
      </c>
      <c r="M48" s="20">
        <v>29.0</v>
      </c>
      <c r="P48" s="20">
        <f>M47*100/(M54-H51)</f>
        <v>5.390685002</v>
      </c>
    </row>
    <row r="49" ht="15.75" customHeight="1">
      <c r="G49" s="23" t="s">
        <v>62</v>
      </c>
      <c r="H49" s="12">
        <v>10000.0</v>
      </c>
      <c r="K49" s="20" t="s">
        <v>63</v>
      </c>
      <c r="M49" s="20">
        <f>40000*POWER(1+0.1686,M48/52) - 40000</f>
        <v>3631.157356</v>
      </c>
    </row>
    <row r="50" ht="15.75" customHeight="1">
      <c r="K50" s="20" t="s">
        <v>64</v>
      </c>
      <c r="M50" s="20">
        <v>33.0</v>
      </c>
    </row>
    <row r="51" ht="15.75" customHeight="1">
      <c r="G51" s="23" t="s">
        <v>65</v>
      </c>
      <c r="H51" s="12">
        <f>( H49*POWER(1+0.1686,4/52) - H49 )</f>
        <v>120.5722087</v>
      </c>
      <c r="K51" s="20" t="s">
        <v>66</v>
      </c>
      <c r="M51" s="50">
        <f>H49*POWER(1+0.1686,M50/52) - H49</f>
        <v>1039.306964</v>
      </c>
    </row>
    <row r="52" ht="15.75" customHeight="1">
      <c r="K52" s="20"/>
    </row>
    <row r="53" ht="15.75" customHeight="1">
      <c r="K53" s="20" t="s">
        <v>67</v>
      </c>
      <c r="M53" s="25">
        <f>M39+M42-M44+M46+M47+M49+M51+M41</f>
        <v>50495.80932</v>
      </c>
    </row>
    <row r="54" ht="15.75" customHeight="1">
      <c r="K54" s="20" t="s">
        <v>68</v>
      </c>
      <c r="M54" s="25">
        <f>M53-M51-M49 + H51</f>
        <v>45945.91721</v>
      </c>
    </row>
    <row r="55" ht="15.75" customHeight="1">
      <c r="K55" s="20" t="s">
        <v>69</v>
      </c>
      <c r="M55" s="25">
        <f>M41+M42+M47</f>
        <v>39084.72</v>
      </c>
    </row>
    <row r="56" ht="15.75" customHeight="1">
      <c r="K56" s="20"/>
    </row>
    <row r="57" ht="15.75" customHeight="1"/>
    <row r="58" ht="15.75" customHeight="1">
      <c r="J58" s="4"/>
      <c r="K58" s="51" t="s">
        <v>70</v>
      </c>
      <c r="L58" s="52" t="s">
        <v>71</v>
      </c>
      <c r="M58" s="52" t="s">
        <v>72</v>
      </c>
      <c r="N58" s="52" t="s">
        <v>73</v>
      </c>
      <c r="O58" s="52" t="s">
        <v>74</v>
      </c>
      <c r="P58" s="52" t="s">
        <v>75</v>
      </c>
      <c r="Q58" s="52" t="s">
        <v>76</v>
      </c>
      <c r="R58" s="52" t="s">
        <v>77</v>
      </c>
      <c r="S58" s="53" t="s">
        <v>30</v>
      </c>
    </row>
    <row r="59" ht="15.75" customHeight="1">
      <c r="J59" s="16"/>
      <c r="K59" s="54"/>
      <c r="S59" s="26"/>
    </row>
    <row r="60" ht="15.75" customHeight="1">
      <c r="J60" s="10" t="s">
        <v>22</v>
      </c>
      <c r="K60" s="54" t="s">
        <v>5</v>
      </c>
      <c r="L60" s="55">
        <v>100.0</v>
      </c>
      <c r="M60" s="55">
        <v>100.0</v>
      </c>
      <c r="N60" s="55">
        <v>100.0</v>
      </c>
      <c r="O60" s="55">
        <v>100.0</v>
      </c>
      <c r="P60" s="55">
        <v>100.0</v>
      </c>
      <c r="Q60" s="55">
        <v>100.0</v>
      </c>
      <c r="R60" s="55">
        <v>100.0</v>
      </c>
      <c r="S60" s="56">
        <f t="shared" ref="S60:S64" si="24">SUM(L60:R60)</f>
        <v>700</v>
      </c>
    </row>
    <row r="61" ht="15.75" customHeight="1">
      <c r="J61" s="16"/>
      <c r="K61" s="54" t="s">
        <v>7</v>
      </c>
      <c r="L61" s="55">
        <f>M19/12</f>
        <v>13416.66667</v>
      </c>
      <c r="M61" s="55">
        <f t="shared" ref="M61:R61" si="23">L61</f>
        <v>13416.66667</v>
      </c>
      <c r="N61" s="55">
        <f t="shared" si="23"/>
        <v>13416.66667</v>
      </c>
      <c r="O61" s="55">
        <f t="shared" si="23"/>
        <v>13416.66667</v>
      </c>
      <c r="P61" s="55">
        <f t="shared" si="23"/>
        <v>13416.66667</v>
      </c>
      <c r="Q61" s="55">
        <f t="shared" si="23"/>
        <v>13416.66667</v>
      </c>
      <c r="R61" s="55">
        <f t="shared" si="23"/>
        <v>13416.66667</v>
      </c>
      <c r="S61" s="56">
        <f t="shared" si="24"/>
        <v>93916.66667</v>
      </c>
    </row>
    <row r="62" ht="15.75" customHeight="1">
      <c r="J62" s="16"/>
      <c r="K62" s="54" t="s">
        <v>24</v>
      </c>
      <c r="L62" s="55">
        <f>M49/7</f>
        <v>518.7367652</v>
      </c>
      <c r="M62" s="55">
        <f t="shared" ref="M62:R62" si="25">L62</f>
        <v>518.7367652</v>
      </c>
      <c r="N62" s="55">
        <f t="shared" si="25"/>
        <v>518.7367652</v>
      </c>
      <c r="O62" s="55">
        <f t="shared" si="25"/>
        <v>518.7367652</v>
      </c>
      <c r="P62" s="55">
        <f t="shared" si="25"/>
        <v>518.7367652</v>
      </c>
      <c r="Q62" s="55">
        <f t="shared" si="25"/>
        <v>518.7367652</v>
      </c>
      <c r="R62" s="55">
        <f t="shared" si="25"/>
        <v>518.7367652</v>
      </c>
      <c r="S62" s="56">
        <f t="shared" si="24"/>
        <v>3631.157356</v>
      </c>
    </row>
    <row r="63" ht="15.75" customHeight="1">
      <c r="J63" s="16"/>
      <c r="K63" s="54" t="s">
        <v>25</v>
      </c>
      <c r="L63" s="55">
        <f>(M51-H51)/7</f>
        <v>131.2478222</v>
      </c>
      <c r="M63" s="55">
        <f t="shared" ref="M63:R63" si="26">L63</f>
        <v>131.2478222</v>
      </c>
      <c r="N63" s="55">
        <f t="shared" si="26"/>
        <v>131.2478222</v>
      </c>
      <c r="O63" s="55">
        <f t="shared" si="26"/>
        <v>131.2478222</v>
      </c>
      <c r="P63" s="55">
        <f t="shared" si="26"/>
        <v>131.2478222</v>
      </c>
      <c r="Q63" s="55">
        <f t="shared" si="26"/>
        <v>131.2478222</v>
      </c>
      <c r="R63" s="55">
        <f t="shared" si="26"/>
        <v>131.2478222</v>
      </c>
      <c r="S63" s="56">
        <f t="shared" si="24"/>
        <v>918.7347557</v>
      </c>
    </row>
    <row r="64" ht="15.75" customHeight="1">
      <c r="J64" s="16"/>
      <c r="K64" s="54" t="s">
        <v>28</v>
      </c>
      <c r="L64" s="55">
        <f t="shared" ref="L64:R64" si="27">SUM(L60:L63)</f>
        <v>14166.65125</v>
      </c>
      <c r="M64" s="55">
        <f t="shared" si="27"/>
        <v>14166.65125</v>
      </c>
      <c r="N64" s="55">
        <f t="shared" si="27"/>
        <v>14166.65125</v>
      </c>
      <c r="O64" s="55">
        <f t="shared" si="27"/>
        <v>14166.65125</v>
      </c>
      <c r="P64" s="55">
        <f t="shared" si="27"/>
        <v>14166.65125</v>
      </c>
      <c r="Q64" s="55">
        <f t="shared" si="27"/>
        <v>14166.65125</v>
      </c>
      <c r="R64" s="55">
        <f t="shared" si="27"/>
        <v>14166.65125</v>
      </c>
      <c r="S64" s="56">
        <f t="shared" si="24"/>
        <v>99166.55878</v>
      </c>
    </row>
    <row r="65" ht="15.75" customHeight="1">
      <c r="J65" s="16"/>
      <c r="K65" s="54"/>
      <c r="L65" s="55"/>
      <c r="M65" s="55"/>
      <c r="N65" s="55"/>
      <c r="O65" s="55"/>
      <c r="P65" s="55"/>
      <c r="Q65" s="55"/>
      <c r="R65" s="55"/>
      <c r="S65" s="56"/>
    </row>
    <row r="66" ht="15.75" customHeight="1">
      <c r="J66" s="10" t="s">
        <v>78</v>
      </c>
      <c r="K66" s="54" t="s">
        <v>79</v>
      </c>
      <c r="L66" s="55">
        <f>50000-M54</f>
        <v>4054.082791</v>
      </c>
      <c r="M66" s="55"/>
      <c r="N66" s="55"/>
      <c r="O66" s="55"/>
      <c r="P66" s="55"/>
      <c r="Q66" s="55"/>
      <c r="R66" s="55"/>
      <c r="S66" s="56"/>
    </row>
    <row r="67" ht="15.75" customHeight="1">
      <c r="J67" s="16"/>
      <c r="K67" s="54" t="s">
        <v>80</v>
      </c>
      <c r="L67" s="55">
        <f>I42*0.75</f>
        <v>26100</v>
      </c>
      <c r="M67" s="55">
        <f>I36</f>
        <v>2900</v>
      </c>
      <c r="N67" s="55">
        <f>M67*3</f>
        <v>8700</v>
      </c>
      <c r="O67" s="55">
        <f>M67*4</f>
        <v>11600</v>
      </c>
      <c r="P67" s="55">
        <f>M67*5</f>
        <v>14500</v>
      </c>
      <c r="Q67" s="55">
        <f>M67*5</f>
        <v>14500</v>
      </c>
      <c r="R67" s="55">
        <f>M67*5</f>
        <v>14500</v>
      </c>
      <c r="S67" s="56">
        <f t="shared" ref="S67:S69" si="28">SUM(L67:R67)</f>
        <v>92800</v>
      </c>
    </row>
    <row r="68" ht="15.75" customHeight="1">
      <c r="J68" s="16"/>
      <c r="K68" s="54" t="s">
        <v>81</v>
      </c>
      <c r="L68" s="55">
        <v>0.0</v>
      </c>
      <c r="M68" s="55">
        <v>100.0</v>
      </c>
      <c r="N68" s="55">
        <v>200.0</v>
      </c>
      <c r="O68" s="55">
        <v>100.0</v>
      </c>
      <c r="P68" s="55">
        <v>100.0</v>
      </c>
      <c r="Q68" s="55">
        <v>100.0</v>
      </c>
      <c r="R68" s="55"/>
      <c r="S68" s="56">
        <f t="shared" si="28"/>
        <v>600</v>
      </c>
    </row>
    <row r="69" ht="15.75" customHeight="1">
      <c r="J69" s="16"/>
      <c r="K69" s="54" t="s">
        <v>20</v>
      </c>
      <c r="L69" s="55">
        <f t="shared" ref="L69:R69" si="29">SUM(L66:L68)</f>
        <v>30154.08279</v>
      </c>
      <c r="M69" s="55">
        <f t="shared" si="29"/>
        <v>3000</v>
      </c>
      <c r="N69" s="55">
        <f t="shared" si="29"/>
        <v>8900</v>
      </c>
      <c r="O69" s="55">
        <f t="shared" si="29"/>
        <v>11700</v>
      </c>
      <c r="P69" s="55">
        <f t="shared" si="29"/>
        <v>14600</v>
      </c>
      <c r="Q69" s="55">
        <f t="shared" si="29"/>
        <v>14600</v>
      </c>
      <c r="R69" s="55">
        <f t="shared" si="29"/>
        <v>14500</v>
      </c>
      <c r="S69" s="56">
        <f t="shared" si="28"/>
        <v>97454.08279</v>
      </c>
    </row>
    <row r="70" ht="15.75" customHeight="1">
      <c r="J70" s="16"/>
      <c r="K70" s="54"/>
      <c r="L70" s="55"/>
      <c r="M70" s="55"/>
      <c r="N70" s="55"/>
      <c r="O70" s="55"/>
      <c r="P70" s="55"/>
      <c r="Q70" s="55"/>
      <c r="R70" s="55"/>
      <c r="S70" s="56"/>
    </row>
    <row r="71" ht="15.75" customHeight="1">
      <c r="J71" s="10" t="s">
        <v>30</v>
      </c>
      <c r="K71" s="54" t="s">
        <v>31</v>
      </c>
      <c r="L71" s="55">
        <f>L66</f>
        <v>4054.082791</v>
      </c>
      <c r="M71" s="55">
        <f t="shared" ref="M71:R71" si="30">L72</f>
        <v>20041.51433</v>
      </c>
      <c r="N71" s="55">
        <f t="shared" si="30"/>
        <v>8874.863074</v>
      </c>
      <c r="O71" s="55">
        <f t="shared" si="30"/>
        <v>3608.21182</v>
      </c>
      <c r="P71" s="55">
        <f t="shared" si="30"/>
        <v>1141.560566</v>
      </c>
      <c r="Q71" s="55">
        <f t="shared" si="30"/>
        <v>1574.909312</v>
      </c>
      <c r="R71" s="55">
        <f t="shared" si="30"/>
        <v>2008.258058</v>
      </c>
      <c r="S71" s="56"/>
    </row>
    <row r="72" ht="15.75" customHeight="1">
      <c r="J72" s="16"/>
      <c r="K72" s="54" t="s">
        <v>32</v>
      </c>
      <c r="L72" s="55">
        <f t="shared" ref="L72:R72" si="31">L71+L73</f>
        <v>20041.51433</v>
      </c>
      <c r="M72" s="55">
        <f t="shared" si="31"/>
        <v>8874.863074</v>
      </c>
      <c r="N72" s="55">
        <f t="shared" si="31"/>
        <v>3608.21182</v>
      </c>
      <c r="O72" s="55">
        <f t="shared" si="31"/>
        <v>1141.560566</v>
      </c>
      <c r="P72" s="55">
        <f t="shared" si="31"/>
        <v>1574.909312</v>
      </c>
      <c r="Q72" s="55">
        <f t="shared" si="31"/>
        <v>2008.258058</v>
      </c>
      <c r="R72" s="55">
        <f t="shared" si="31"/>
        <v>2341.606804</v>
      </c>
      <c r="S72" s="56"/>
    </row>
    <row r="73" ht="15.75" customHeight="1">
      <c r="J73" s="16"/>
      <c r="K73" s="54" t="s">
        <v>34</v>
      </c>
      <c r="L73" s="55">
        <f t="shared" ref="L73:R73" si="32">L69-L64</f>
        <v>15987.43154</v>
      </c>
      <c r="M73" s="57">
        <f t="shared" si="32"/>
        <v>-11166.65125</v>
      </c>
      <c r="N73" s="57">
        <f t="shared" si="32"/>
        <v>-5266.651254</v>
      </c>
      <c r="O73" s="57">
        <f t="shared" si="32"/>
        <v>-2466.651254</v>
      </c>
      <c r="P73" s="57">
        <f t="shared" si="32"/>
        <v>433.3487459</v>
      </c>
      <c r="Q73" s="57">
        <f t="shared" si="32"/>
        <v>433.3487459</v>
      </c>
      <c r="R73" s="57">
        <f t="shared" si="32"/>
        <v>333.3487459</v>
      </c>
      <c r="S73" s="56">
        <f>SUM(L73:R73)</f>
        <v>-1712.475987</v>
      </c>
    </row>
    <row r="74" ht="15.75" customHeight="1">
      <c r="J74" s="16"/>
      <c r="K74" s="54"/>
      <c r="L74" s="55"/>
      <c r="M74" s="55"/>
      <c r="N74" s="55"/>
      <c r="O74" s="55"/>
      <c r="P74" s="55"/>
      <c r="Q74" s="55"/>
      <c r="R74" s="55"/>
      <c r="S74" s="56"/>
    </row>
    <row r="75" ht="15.75" customHeight="1">
      <c r="J75" s="58" t="s">
        <v>82</v>
      </c>
      <c r="K75" s="59" t="s">
        <v>83</v>
      </c>
      <c r="L75" s="60">
        <v>1.0</v>
      </c>
      <c r="M75" s="60">
        <v>2.0</v>
      </c>
      <c r="N75" s="60">
        <v>4.0</v>
      </c>
      <c r="O75" s="60">
        <v>5.0</v>
      </c>
      <c r="P75" s="60">
        <v>6.0</v>
      </c>
      <c r="Q75" s="60">
        <v>6.0</v>
      </c>
      <c r="R75" s="60">
        <v>6.0</v>
      </c>
      <c r="S75" s="61"/>
    </row>
    <row r="76" ht="15.75" customHeight="1"/>
    <row r="77" ht="15.75" customHeight="1"/>
    <row r="78" ht="15.75" customHeight="1">
      <c r="K78" s="20"/>
      <c r="L78" s="62" t="s">
        <v>84</v>
      </c>
      <c r="M78" s="62" t="s">
        <v>85</v>
      </c>
    </row>
    <row r="79" ht="15.75" customHeight="1">
      <c r="K79" s="19" t="s">
        <v>5</v>
      </c>
      <c r="L79" s="63">
        <v>100.0</v>
      </c>
      <c r="M79" s="63">
        <v>100.0</v>
      </c>
    </row>
    <row r="80" ht="15.75" customHeight="1">
      <c r="K80" s="19" t="s">
        <v>7</v>
      </c>
      <c r="L80" s="63">
        <v>13416.666666666666</v>
      </c>
      <c r="M80" s="63">
        <f>12.5*11*4*40</f>
        <v>22000</v>
      </c>
    </row>
    <row r="81" ht="15.75" customHeight="1">
      <c r="K81" s="20" t="s">
        <v>10</v>
      </c>
      <c r="L81" s="63">
        <v>649.9845874340551</v>
      </c>
      <c r="M81" s="63">
        <v>649.9845874340551</v>
      </c>
    </row>
    <row r="82" ht="15.75" customHeight="1">
      <c r="K82" s="20" t="s">
        <v>86</v>
      </c>
      <c r="L82" s="63"/>
      <c r="M82" s="63">
        <v>632.69</v>
      </c>
    </row>
    <row r="83" ht="15.75" customHeight="1">
      <c r="K83" s="20" t="s">
        <v>87</v>
      </c>
      <c r="L83" s="63"/>
      <c r="M83" s="63">
        <v>150.0</v>
      </c>
    </row>
    <row r="84" ht="15.75" customHeight="1">
      <c r="K84" s="20" t="s">
        <v>88</v>
      </c>
      <c r="L84" s="63">
        <v>14166.651254100721</v>
      </c>
      <c r="M84" s="63">
        <f>SUM(M79:M83)</f>
        <v>23532.67459</v>
      </c>
      <c r="O84" s="19">
        <f>L84*100/M84</f>
        <v>60.19991991</v>
      </c>
      <c r="P84" s="19">
        <f>100-O84</f>
        <v>39.80008009</v>
      </c>
    </row>
    <row r="85" ht="15.75" customHeight="1">
      <c r="L85" s="20"/>
      <c r="M85" s="20"/>
    </row>
    <row r="86" ht="15.75" customHeight="1"/>
    <row r="87" ht="15.75" customHeight="1"/>
    <row r="88" ht="15.75" customHeight="1"/>
    <row r="89" ht="15.75" customHeight="1"/>
    <row r="90" ht="15.75" customHeight="1">
      <c r="K90" s="20"/>
      <c r="L90" s="11" t="s">
        <v>89</v>
      </c>
      <c r="M90" s="11" t="s">
        <v>90</v>
      </c>
    </row>
    <row r="91" ht="15.75" customHeight="1">
      <c r="K91" s="19" t="s">
        <v>5</v>
      </c>
      <c r="L91" s="63">
        <v>100.0</v>
      </c>
      <c r="M91" s="63">
        <v>100.0</v>
      </c>
    </row>
    <row r="92" ht="15.75" customHeight="1">
      <c r="K92" s="19" t="s">
        <v>7</v>
      </c>
      <c r="L92" s="63">
        <v>13416.666666666666</v>
      </c>
      <c r="M92" s="63">
        <f>Q43/12</f>
        <v>1264.84375</v>
      </c>
    </row>
    <row r="93" ht="15.75" customHeight="1">
      <c r="K93" s="20" t="s">
        <v>10</v>
      </c>
      <c r="L93" s="63">
        <v>649.9845874340551</v>
      </c>
      <c r="M93" s="63">
        <v>649.9845874340551</v>
      </c>
    </row>
    <row r="94" ht="15.75" customHeight="1">
      <c r="K94" s="20" t="s">
        <v>86</v>
      </c>
      <c r="L94" s="63">
        <v>0.0</v>
      </c>
      <c r="M94" s="63">
        <v>632.69</v>
      </c>
    </row>
    <row r="95" ht="15.75" customHeight="1">
      <c r="K95" s="20" t="s">
        <v>87</v>
      </c>
      <c r="L95" s="63">
        <v>0.0</v>
      </c>
      <c r="M95" s="63">
        <v>150.0</v>
      </c>
    </row>
    <row r="96" ht="15.75" customHeight="1">
      <c r="K96" s="20" t="s">
        <v>88</v>
      </c>
      <c r="L96" s="63">
        <v>14166.651254100721</v>
      </c>
      <c r="M96" s="63">
        <f>SUM(M91:M95)</f>
        <v>2797.518337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">
    <mergeCell ref="F4:H5"/>
    <mergeCell ref="F6:G7"/>
    <mergeCell ref="H6:H7"/>
    <mergeCell ref="F8:G9"/>
    <mergeCell ref="H8:H9"/>
    <mergeCell ref="F11:G12"/>
    <mergeCell ref="H11:H12"/>
    <mergeCell ref="F13:G14"/>
    <mergeCell ref="H13:H14"/>
    <mergeCell ref="F15:G16"/>
    <mergeCell ref="H15:H16"/>
    <mergeCell ref="F17:G18"/>
    <mergeCell ref="H17:H18"/>
    <mergeCell ref="H19:H20"/>
    <mergeCell ref="F19:G20"/>
    <mergeCell ref="F22:G23"/>
    <mergeCell ref="H22:H23"/>
    <mergeCell ref="F24:G25"/>
    <mergeCell ref="H24:H25"/>
    <mergeCell ref="F26:G27"/>
    <mergeCell ref="H26:H27"/>
    <mergeCell ref="F28:G29"/>
    <mergeCell ref="H28:H29"/>
    <mergeCell ref="K33:M35"/>
    <mergeCell ref="N33:N35"/>
    <mergeCell ref="F34:I35"/>
    <mergeCell ref="K38:L38"/>
    <mergeCell ref="F40:I41"/>
    <mergeCell ref="K41:L41"/>
    <mergeCell ref="K39:L39"/>
    <mergeCell ref="K40:L40"/>
    <mergeCell ref="K42:L42"/>
    <mergeCell ref="K43:L43"/>
    <mergeCell ref="K44:L44"/>
    <mergeCell ref="K45:L45"/>
    <mergeCell ref="K46:L46"/>
    <mergeCell ref="K51:L51"/>
    <mergeCell ref="K52:L52"/>
    <mergeCell ref="K53:L53"/>
    <mergeCell ref="K54:L54"/>
    <mergeCell ref="K55:L55"/>
    <mergeCell ref="K56:L56"/>
    <mergeCell ref="K47:L47"/>
    <mergeCell ref="K48:L48"/>
    <mergeCell ref="G49:G50"/>
    <mergeCell ref="H49:H50"/>
    <mergeCell ref="K49:L49"/>
    <mergeCell ref="G51:G52"/>
    <mergeCell ref="H51:H5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2023-05-21T14:13:54Z</dcterms:created>
  <dc:creator>Matteo Pearce</dc:creator>
</cp:coreProperties>
</file>